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3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abel Bas Carbone\2. Dossiers agences LBC\Forestarn\LABARTHE BLEYS (81) - BOUSQUET\Doc fin\"/>
    </mc:Choice>
  </mc:AlternateContent>
  <xr:revisionPtr revIDLastSave="0" documentId="13_ncr:1_{9C03CEB1-BBB6-47AB-A6E4-38D38F2BCD92}" xr6:coauthVersionLast="36" xr6:coauthVersionMax="36" xr10:uidLastSave="{00000000-0000-0000-0000-000000000000}"/>
  <bookViews>
    <workbookView xWindow="0" yWindow="0" windowWidth="28800" windowHeight="12615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66" i="2" l="1" a="1"/>
  <c r="AH166" i="2" s="1"/>
  <c r="AH19" i="2" a="1"/>
  <c r="AH19" i="2" s="1"/>
  <c r="AH90" i="2" a="1"/>
  <c r="AH90" i="2" s="1"/>
  <c r="AH151" i="2" a="1"/>
  <c r="AH151" i="2" s="1"/>
  <c r="AH62" i="2" a="1"/>
  <c r="AH62" i="2" s="1"/>
  <c r="AH199" i="2" a="1"/>
  <c r="AH199" i="2" s="1"/>
  <c r="AH163" i="2" a="1"/>
  <c r="AH163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<sst xmlns="http://schemas.openxmlformats.org/spreadsheetml/2006/main" count="1171" uniqueCount="324">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</sst>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1.750057156815096</c:v>
                </c:pt>
                <c:pt idx="2">
                  <c:v>2.3079391787969676</c:v>
                </c:pt>
                <c:pt idx="3">
                  <c:v>3.0444016263271099</c:v>
                </c:pt>
                <c:pt idx="4">
                  <c:v>4.0168321848768551</c:v>
                </c:pt>
                <c:pt idx="5">
                  <c:v>5.3011275446780948</c:v>
                </c:pt>
                <c:pt idx="6">
                  <c:v>6.9976831693151231</c:v>
                </c:pt>
                <c:pt idx="7">
                  <c:v>9.2393274495584254</c:v>
                </c:pt>
                <c:pt idx="8">
                  <c:v>12.201833214185962</c:v>
                </c:pt>
                <c:pt idx="9">
                  <c:v>16.117846157059109</c:v>
                </c:pt>
                <c:pt idx="10">
                  <c:v>21.295343909794031</c:v>
                </c:pt>
                <c:pt idx="11">
                  <c:v>28.142103397151754</c:v>
                </c:pt>
                <c:pt idx="12">
                  <c:v>37.198137189550721</c:v>
                </c:pt>
                <c:pt idx="13">
                  <c:v>49.178700916248779</c:v>
                </c:pt>
                <c:pt idx="14">
                  <c:v>65.03132537939878</c:v>
                </c:pt>
                <c:pt idx="15">
                  <c:v>86.01145785397857</c:v>
                </c:pt>
                <c:pt idx="16">
                  <c:v>113.78279892400296</c:v>
                </c:pt>
                <c:pt idx="17">
                  <c:v>150.55041603834616</c:v>
                </c:pt>
                <c:pt idx="18">
                  <c:v>199.23736486234193</c:v>
                </c:pt>
                <c:pt idx="19">
                  <c:v>263.71906992686348</c:v>
                </c:pt>
                <c:pt idx="20">
                  <c:v>349.13439349147097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1.5393896938194491</c:v>
                </c:pt>
                <c:pt idx="2">
                  <c:v>1.9340929760579824</c:v>
                </c:pt>
                <c:pt idx="3">
                  <c:v>2.4304041826975693</c:v>
                </c:pt>
                <c:pt idx="4">
                  <c:v>3.0545787484439804</c:v>
                </c:pt>
                <c:pt idx="5">
                  <c:v>3.839680427957596</c:v>
                </c:pt>
                <c:pt idx="6">
                  <c:v>4.8273525502098815</c:v>
                </c:pt>
                <c:pt idx="7">
                  <c:v>6.0700514754683512</c:v>
                </c:pt>
                <c:pt idx="8">
                  <c:v>7.6338631993393991</c:v>
                </c:pt>
                <c:pt idx="9">
                  <c:v>9.6020557757857823</c:v>
                </c:pt>
                <c:pt idx="10">
                  <c:v>12.079560300720253</c:v>
                </c:pt>
                <c:pt idx="11">
                  <c:v>15.198623807640407</c:v>
                </c:pt>
                <c:pt idx="12">
                  <c:v>19.125941354992019</c:v>
                </c:pt>
                <c:pt idx="13">
                  <c:v>24.071655343316234</c:v>
                </c:pt>
                <c:pt idx="14">
                  <c:v>30.300712128179242</c:v>
                </c:pt>
                <c:pt idx="15">
                  <c:v>38.147194904899251</c:v>
                </c:pt>
                <c:pt idx="16">
                  <c:v>48.03241472919786</c:v>
                </c:pt>
                <c:pt idx="17">
                  <c:v>60.487747376389791</c:v>
                </c:pt>
                <c:pt idx="18">
                  <c:v>76.183463875958196</c:v>
                </c:pt>
                <c:pt idx="19">
                  <c:v>95.96513133539338</c:v>
                </c:pt>
                <c:pt idx="20">
                  <c:v>120.89957623101225</c:v>
                </c:pt>
                <c:pt idx="21">
                  <c:v>127.54994966375402</c:v>
                </c:pt>
                <c:pt idx="22">
                  <c:v>134.19192451868898</c:v>
                </c:pt>
                <c:pt idx="23">
                  <c:v>140.82597594357114</c:v>
                </c:pt>
                <c:pt idx="24">
                  <c:v>147.45253056632168</c:v>
                </c:pt>
                <c:pt idx="25">
                  <c:v>154.0719734572057</c:v>
                </c:pt>
                <c:pt idx="26">
                  <c:v>160.68465382913149</c:v>
                </c:pt>
                <c:pt idx="27">
                  <c:v>167.2908897484331</c:v>
                </c:pt>
                <c:pt idx="28">
                  <c:v>173.89097206104813</c:v>
                </c:pt>
                <c:pt idx="29">
                  <c:v>180.48516769023783</c:v>
                </c:pt>
                <c:pt idx="30">
                  <c:v>187.07372242622981</c:v>
                </c:pt>
                <c:pt idx="31">
                  <c:v>194.16304064471555</c:v>
                </c:pt>
                <c:pt idx="32">
                  <c:v>201.24634176616689</c:v>
                </c:pt>
                <c:pt idx="33">
                  <c:v>208.32386777264207</c:v>
                </c:pt>
                <c:pt idx="34">
                  <c:v>215.39584283593408</c:v>
                </c:pt>
                <c:pt idx="35">
                  <c:v>222.46247518327695</c:v>
                </c:pt>
                <c:pt idx="36">
                  <c:v>229.52395871325157</c:v>
                </c:pt>
                <c:pt idx="37">
                  <c:v>236.58047440215805</c:v>
                </c:pt>
                <c:pt idx="38">
                  <c:v>243.63219153359822</c:v>
                </c:pt>
                <c:pt idx="39">
                  <c:v>250.67926877807722</c:v>
                </c:pt>
                <c:pt idx="40">
                  <c:v>257.72185514470988</c:v>
                </c:pt>
                <c:pt idx="41">
                  <c:v>201.24634176616689</c:v>
                </c:pt>
                <c:pt idx="42">
                  <c:v>208.32386777264207</c:v>
                </c:pt>
                <c:pt idx="43">
                  <c:v>215.39584283593408</c:v>
                </c:pt>
                <c:pt idx="44">
                  <c:v>222.46247518327695</c:v>
                </c:pt>
                <c:pt idx="45">
                  <c:v>229.52395871325157</c:v>
                </c:pt>
                <c:pt idx="46">
                  <c:v>236.58047440215805</c:v>
                </c:pt>
                <c:pt idx="47">
                  <c:v>243.63219153359822</c:v>
                </c:pt>
                <c:pt idx="48">
                  <c:v>250.67926877807722</c:v>
                </c:pt>
                <c:pt idx="49">
                  <c:v>257.72185514470988</c:v>
                </c:pt>
                <c:pt idx="50">
                  <c:v>264.76009082333889</c:v>
                </c:pt>
                <c:pt idx="51">
                  <c:v>272.79863050588671</c:v>
                </c:pt>
                <c:pt idx="52">
                  <c:v>280.83184541341694</c:v>
                </c:pt>
                <c:pt idx="53">
                  <c:v>288.85990949975201</c:v>
                </c:pt>
                <c:pt idx="54">
                  <c:v>296.88298625047742</c:v>
                </c:pt>
                <c:pt idx="55">
                  <c:v>304.90122958502047</c:v>
                </c:pt>
                <c:pt idx="56">
                  <c:v>312.91478465880101</c:v>
                </c:pt>
                <c:pt idx="57">
                  <c:v>320.9237885788545</c:v>
                </c:pt>
                <c:pt idx="58">
                  <c:v>328.92837104423444</c:v>
                </c:pt>
                <c:pt idx="59">
                  <c:v>336.92865492077652</c:v>
                </c:pt>
                <c:pt idx="60">
                  <c:v>344.92475675838381</c:v>
                </c:pt>
                <c:pt idx="61">
                  <c:v>285.34825454721067</c:v>
                </c:pt>
                <c:pt idx="62">
                  <c:v>292.8720614577478</c:v>
                </c:pt>
                <c:pt idx="63">
                  <c:v>300.39155369431421</c:v>
                </c:pt>
                <c:pt idx="64">
                  <c:v>307.90685461043864</c:v>
                </c:pt>
                <c:pt idx="65">
                  <c:v>315.41808104045475</c:v>
                </c:pt>
                <c:pt idx="66">
                  <c:v>322.92534379451826</c:v>
                </c:pt>
                <c:pt idx="67">
                  <c:v>330.4287481051519</c:v>
                </c:pt>
                <c:pt idx="68">
                  <c:v>337.92839403108081</c:v>
                </c:pt>
                <c:pt idx="69">
                  <c:v>345.42437682332138</c:v>
                </c:pt>
                <c:pt idx="70">
                  <c:v>352.9167872578102</c:v>
                </c:pt>
                <c:pt idx="71">
                  <c:v>291.56824760988326</c:v>
                </c:pt>
                <c:pt idx="72">
                  <c:v>299.28895999218292</c:v>
                </c:pt>
                <c:pt idx="73">
                  <c:v>307.00523587874881</c:v>
                </c:pt>
                <c:pt idx="74">
                  <c:v>314.71720261424775</c:v>
                </c:pt>
                <c:pt idx="75">
                  <c:v>322.42498078691864</c:v>
                </c:pt>
                <c:pt idx="76">
                  <c:v>330.12868474355952</c:v>
                </c:pt>
                <c:pt idx="77">
                  <c:v>337.82842305389983</c:v>
                </c:pt>
                <c:pt idx="78">
                  <c:v>345.52429893039567</c:v>
                </c:pt>
                <c:pt idx="79">
                  <c:v>353.21641060864749</c:v>
                </c:pt>
                <c:pt idx="80">
                  <c:v>360.90485169292765</c:v>
                </c:pt>
                <c:pt idx="81">
                  <c:v>298.18627576151783</c:v>
                </c:pt>
                <c:pt idx="82">
                  <c:v>306.50431116158171</c:v>
                </c:pt>
                <c:pt idx="83">
                  <c:v>314.81733022074974</c:v>
                </c:pt>
                <c:pt idx="84">
                  <c:v>323.12548419477213</c:v>
                </c:pt>
                <c:pt idx="85">
                  <c:v>331.42891591987274</c:v>
                </c:pt>
                <c:pt idx="86">
                  <c:v>339.72776048524321</c:v>
                </c:pt>
                <c:pt idx="87">
                  <c:v>348.02214583635424</c:v>
                </c:pt>
                <c:pt idx="88">
                  <c:v>356.31219331771285</c:v>
                </c:pt>
                <c:pt idx="89">
                  <c:v>364.59801816244266</c:v>
                </c:pt>
                <c:pt idx="90">
                  <c:v>372.87972993501268</c:v>
                </c:pt>
                <c:pt idx="91">
                  <c:v>308.20738114119689</c:v>
                </c:pt>
                <c:pt idx="92">
                  <c:v>316.51939170560036</c:v>
                </c:pt>
                <c:pt idx="93">
                  <c:v>324.82656710302007</c:v>
                </c:pt>
                <c:pt idx="94">
                  <c:v>333.1290485305754</c:v>
                </c:pt>
                <c:pt idx="95">
                  <c:v>341.42696956725422</c:v>
                </c:pt>
                <c:pt idx="96">
                  <c:v>349.7204567641636</c:v>
                </c:pt>
                <c:pt idx="97">
                  <c:v>358.00963017583189</c:v>
                </c:pt>
                <c:pt idx="98">
                  <c:v>366.29460383970871</c:v>
                </c:pt>
                <c:pt idx="99">
                  <c:v>374.57548620999506</c:v>
                </c:pt>
                <c:pt idx="100">
                  <c:v>382.85238055108965</c:v>
                </c:pt>
                <c:pt idx="101">
                  <c:v>1.590873277977066E-12</c:v>
                </c:pt>
                <c:pt idx="102">
                  <c:v>1.590873277977066E-12</c:v>
                </c:pt>
                <c:pt idx="103">
                  <c:v>1.590873277977066E-12</c:v>
                </c:pt>
                <c:pt idx="104">
                  <c:v>1.590873277977066E-12</c:v>
                </c:pt>
                <c:pt idx="105">
                  <c:v>1.590873277977066E-12</c:v>
                </c:pt>
                <c:pt idx="106">
                  <c:v>1.590873277977066E-12</c:v>
                </c:pt>
                <c:pt idx="107">
                  <c:v>1.590873277977066E-12</c:v>
                </c:pt>
                <c:pt idx="108">
                  <c:v>1.590873277977066E-12</c:v>
                </c:pt>
                <c:pt idx="109">
                  <c:v>1.590873277977066E-12</c:v>
                </c:pt>
                <c:pt idx="110">
                  <c:v>1.590873277977066E-12</c:v>
                </c:pt>
                <c:pt idx="111">
                  <c:v>1.590873277977066E-12</c:v>
                </c:pt>
                <c:pt idx="112">
                  <c:v>1.590873277977066E-12</c:v>
                </c:pt>
                <c:pt idx="113">
                  <c:v>1.590873277977066E-12</c:v>
                </c:pt>
                <c:pt idx="114">
                  <c:v>1.590873277977066E-12</c:v>
                </c:pt>
                <c:pt idx="115">
                  <c:v>1.590873277977066E-12</c:v>
                </c:pt>
                <c:pt idx="116">
                  <c:v>1.590873277977066E-12</c:v>
                </c:pt>
                <c:pt idx="117">
                  <c:v>1.590873277977066E-12</c:v>
                </c:pt>
                <c:pt idx="118">
                  <c:v>1.590873277977066E-12</c:v>
                </c:pt>
                <c:pt idx="119">
                  <c:v>1.590873277977066E-12</c:v>
                </c:pt>
                <c:pt idx="120">
                  <c:v>1.590873277977066E-12</c:v>
                </c:pt>
                <c:pt idx="121">
                  <c:v>1.590873277977066E-12</c:v>
                </c:pt>
                <c:pt idx="122">
                  <c:v>1.590873277977066E-12</c:v>
                </c:pt>
                <c:pt idx="123">
                  <c:v>1.590873277977066E-12</c:v>
                </c:pt>
                <c:pt idx="124">
                  <c:v>1.590873277977066E-12</c:v>
                </c:pt>
                <c:pt idx="125">
                  <c:v>1.590873277977066E-12</c:v>
                </c:pt>
                <c:pt idx="126">
                  <c:v>1.590873277977066E-12</c:v>
                </c:pt>
                <c:pt idx="127">
                  <c:v>1.590873277977066E-12</c:v>
                </c:pt>
                <c:pt idx="128">
                  <c:v>1.590873277977066E-12</c:v>
                </c:pt>
                <c:pt idx="129">
                  <c:v>1.590873277977066E-12</c:v>
                </c:pt>
                <c:pt idx="130">
                  <c:v>1.590873277977066E-12</c:v>
                </c:pt>
                <c:pt idx="131">
                  <c:v>1.590873277977066E-12</c:v>
                </c:pt>
                <c:pt idx="132">
                  <c:v>1.590873277977066E-12</c:v>
                </c:pt>
                <c:pt idx="133">
                  <c:v>1.590873277977066E-12</c:v>
                </c:pt>
                <c:pt idx="134">
                  <c:v>1.590873277977066E-12</c:v>
                </c:pt>
                <c:pt idx="135">
                  <c:v>1.590873277977066E-12</c:v>
                </c:pt>
                <c:pt idx="136">
                  <c:v>1.590873277977066E-12</c:v>
                </c:pt>
                <c:pt idx="137">
                  <c:v>1.590873277977066E-12</c:v>
                </c:pt>
                <c:pt idx="138">
                  <c:v>1.590873277977066E-12</c:v>
                </c:pt>
                <c:pt idx="139">
                  <c:v>1.590873277977066E-12</c:v>
                </c:pt>
                <c:pt idx="140">
                  <c:v>1.590873277977066E-12</c:v>
                </c:pt>
                <c:pt idx="141">
                  <c:v>1.590873277977066E-12</c:v>
                </c:pt>
                <c:pt idx="142">
                  <c:v>1.590873277977066E-12</c:v>
                </c:pt>
                <c:pt idx="143">
                  <c:v>1.590873277977066E-12</c:v>
                </c:pt>
                <c:pt idx="144">
                  <c:v>1.590873277977066E-12</c:v>
                </c:pt>
                <c:pt idx="145">
                  <c:v>1.590873277977066E-12</c:v>
                </c:pt>
                <c:pt idx="146">
                  <c:v>1.590873277977066E-12</c:v>
                </c:pt>
                <c:pt idx="147">
                  <c:v>1.590873277977066E-12</c:v>
                </c:pt>
                <c:pt idx="148">
                  <c:v>1.590873277977066E-12</c:v>
                </c:pt>
                <c:pt idx="149">
                  <c:v>1.590873277977066E-12</c:v>
                </c:pt>
                <c:pt idx="150">
                  <c:v>1.590873277977066E-12</c:v>
                </c:pt>
                <c:pt idx="151">
                  <c:v>1.590873277977066E-12</c:v>
                </c:pt>
                <c:pt idx="152">
                  <c:v>1.590873277977066E-12</c:v>
                </c:pt>
                <c:pt idx="153">
                  <c:v>1.590873277977066E-12</c:v>
                </c:pt>
                <c:pt idx="154">
                  <c:v>1.590873277977066E-12</c:v>
                </c:pt>
                <c:pt idx="155">
                  <c:v>1.590873277977066E-12</c:v>
                </c:pt>
                <c:pt idx="156">
                  <c:v>1.590873277977066E-12</c:v>
                </c:pt>
                <c:pt idx="157">
                  <c:v>1.590873277977066E-12</c:v>
                </c:pt>
                <c:pt idx="158">
                  <c:v>1.590873277977066E-12</c:v>
                </c:pt>
                <c:pt idx="159">
                  <c:v>1.590873277977066E-12</c:v>
                </c:pt>
                <c:pt idx="160">
                  <c:v>1.590873277977066E-12</c:v>
                </c:pt>
                <c:pt idx="161">
                  <c:v>1.590873277977066E-12</c:v>
                </c:pt>
                <c:pt idx="162">
                  <c:v>1.590873277977066E-12</c:v>
                </c:pt>
                <c:pt idx="163">
                  <c:v>1.590873277977066E-12</c:v>
                </c:pt>
                <c:pt idx="164">
                  <c:v>1.590873277977066E-12</c:v>
                </c:pt>
                <c:pt idx="165">
                  <c:v>1.590873277977066E-12</c:v>
                </c:pt>
                <c:pt idx="166">
                  <c:v>1.590873277977066E-12</c:v>
                </c:pt>
                <c:pt idx="167">
                  <c:v>1.590873277977066E-12</c:v>
                </c:pt>
                <c:pt idx="168">
                  <c:v>1.590873277977066E-12</c:v>
                </c:pt>
                <c:pt idx="169">
                  <c:v>1.590873277977066E-12</c:v>
                </c:pt>
                <c:pt idx="170">
                  <c:v>1.590873277977066E-12</c:v>
                </c:pt>
                <c:pt idx="171">
                  <c:v>1.590873277977066E-12</c:v>
                </c:pt>
                <c:pt idx="172">
                  <c:v>1.590873277977066E-12</c:v>
                </c:pt>
                <c:pt idx="173">
                  <c:v>1.590873277977066E-12</c:v>
                </c:pt>
                <c:pt idx="174">
                  <c:v>1.590873277977066E-12</c:v>
                </c:pt>
                <c:pt idx="175">
                  <c:v>1.590873277977066E-12</c:v>
                </c:pt>
                <c:pt idx="176">
                  <c:v>1.590873277977066E-12</c:v>
                </c:pt>
                <c:pt idx="177">
                  <c:v>1.590873277977066E-12</c:v>
                </c:pt>
                <c:pt idx="178">
                  <c:v>1.590873277977066E-12</c:v>
                </c:pt>
                <c:pt idx="179">
                  <c:v>1.590873277977066E-12</c:v>
                </c:pt>
                <c:pt idx="180">
                  <c:v>1.590873277977066E-12</c:v>
                </c:pt>
                <c:pt idx="181">
                  <c:v>1.590873277977066E-12</c:v>
                </c:pt>
                <c:pt idx="182">
                  <c:v>1.590873277977066E-12</c:v>
                </c:pt>
                <c:pt idx="183">
                  <c:v>1.590873277977066E-12</c:v>
                </c:pt>
                <c:pt idx="184">
                  <c:v>1.590873277977066E-12</c:v>
                </c:pt>
                <c:pt idx="185">
                  <c:v>1.590873277977066E-12</c:v>
                </c:pt>
                <c:pt idx="186">
                  <c:v>1.590873277977066E-12</c:v>
                </c:pt>
                <c:pt idx="187">
                  <c:v>1.590873277977066E-12</c:v>
                </c:pt>
                <c:pt idx="188">
                  <c:v>1.590873277977066E-12</c:v>
                </c:pt>
                <c:pt idx="189">
                  <c:v>1.590873277977066E-12</c:v>
                </c:pt>
                <c:pt idx="190">
                  <c:v>1.590873277977066E-12</c:v>
                </c:pt>
                <c:pt idx="191">
                  <c:v>1.590873277977066E-12</c:v>
                </c:pt>
                <c:pt idx="192">
                  <c:v>1.590873277977066E-12</c:v>
                </c:pt>
                <c:pt idx="193">
                  <c:v>1.590873277977066E-12</c:v>
                </c:pt>
                <c:pt idx="194">
                  <c:v>1.590873277977066E-12</c:v>
                </c:pt>
                <c:pt idx="195">
                  <c:v>1.590873277977066E-12</c:v>
                </c:pt>
                <c:pt idx="196">
                  <c:v>1.590873277977066E-12</c:v>
                </c:pt>
                <c:pt idx="197">
                  <c:v>1.590873277977066E-12</c:v>
                </c:pt>
                <c:pt idx="198">
                  <c:v>1.590873277977066E-12</c:v>
                </c:pt>
                <c:pt idx="199">
                  <c:v>1.590873277977066E-12</c:v>
                </c:pt>
                <c:pt idx="200">
                  <c:v>1.590873277977066E-12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25" zoomScale="90" zoomScaleNormal="90" workbookViewId="0">
      <selection activeCell="H23" sqref="H23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1.8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112</v>
      </c>
      <c r="C9" s="35">
        <v>0.28000000000000003</v>
      </c>
      <c r="D9" s="36">
        <f t="shared" ref="D9:D18" si="0">C9*$C$5</f>
        <v>0.50400000000000011</v>
      </c>
      <c r="E9" s="37">
        <v>20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164</v>
      </c>
      <c r="C10" s="35">
        <v>0.72</v>
      </c>
      <c r="D10" s="36">
        <f t="shared" si="0"/>
        <v>1.296</v>
      </c>
      <c r="E10" s="37">
        <v>100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1.8000000000000003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0.05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Peuplier Koster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20</v>
      </c>
      <c r="B36" s="63">
        <v>314</v>
      </c>
      <c r="C36" s="63">
        <v>1</v>
      </c>
      <c r="D36" s="63">
        <v>314</v>
      </c>
      <c r="E36" s="54">
        <v>0.55000000000000004</v>
      </c>
      <c r="F36" s="54">
        <v>0.22500000000000001</v>
      </c>
      <c r="G36" s="54">
        <v>0.22</v>
      </c>
      <c r="H36" s="54"/>
      <c r="I36" s="52">
        <f>IFERROR(B36/A36,"")</f>
        <v>15.7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/>
      <c r="B37" s="63"/>
      <c r="C37" s="63"/>
      <c r="D37" s="63"/>
      <c r="E37" s="54"/>
      <c r="F37" s="54"/>
      <c r="G37" s="54"/>
      <c r="H37" s="54"/>
      <c r="I37" s="56" t="str">
        <f t="shared" ref="I37:I55" si="1">IF(A37&lt;&gt;0,(B37-(B36-D36))/(A37-A36),"")</f>
        <v/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/>
      <c r="B38" s="63"/>
      <c r="C38" s="63"/>
      <c r="D38" s="63"/>
      <c r="E38" s="54"/>
      <c r="F38" s="54"/>
      <c r="G38" s="54"/>
      <c r="H38" s="54"/>
      <c r="I38" s="56" t="str">
        <f t="shared" si="1"/>
        <v/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/>
      <c r="B39" s="63"/>
      <c r="C39" s="63"/>
      <c r="D39" s="63"/>
      <c r="E39" s="54"/>
      <c r="F39" s="54"/>
      <c r="G39" s="54"/>
      <c r="H39" s="54"/>
      <c r="I39" s="52" t="str">
        <f t="shared" si="1"/>
        <v/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Cèdre de l'Atlas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20</v>
      </c>
      <c r="B62" s="63">
        <v>115</v>
      </c>
      <c r="C62" s="63">
        <v>1</v>
      </c>
      <c r="D62" s="63">
        <v>0</v>
      </c>
      <c r="E62" s="54">
        <v>0.6</v>
      </c>
      <c r="F62" s="54"/>
      <c r="G62" s="54">
        <v>0.4</v>
      </c>
      <c r="H62" s="54"/>
      <c r="I62" s="56">
        <f>IFERROR(B62/A62,"")</f>
        <v>5.75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30</v>
      </c>
      <c r="B63" s="63">
        <v>180</v>
      </c>
      <c r="C63" s="63">
        <v>2</v>
      </c>
      <c r="D63" s="63">
        <v>0</v>
      </c>
      <c r="E63" s="54">
        <v>0.8</v>
      </c>
      <c r="F63" s="54"/>
      <c r="G63" s="54">
        <v>0.2</v>
      </c>
      <c r="H63" s="54"/>
      <c r="I63" s="52">
        <f>IF(A63&lt;&gt;0,(B63-(B62-D62))/(A63-A62),"")</f>
        <v>6.5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40</v>
      </c>
      <c r="B64" s="63">
        <v>250</v>
      </c>
      <c r="C64" s="63">
        <v>3</v>
      </c>
      <c r="D64" s="63">
        <v>63</v>
      </c>
      <c r="E64" s="54"/>
      <c r="F64" s="54"/>
      <c r="G64" s="54"/>
      <c r="H64" s="54"/>
      <c r="I64" s="52">
        <f>IF(A64&lt;&gt;0,(B64-(B63-D63))/(A64-A63),"")</f>
        <v>7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50</v>
      </c>
      <c r="B65" s="63">
        <v>257</v>
      </c>
      <c r="C65" s="63">
        <v>4</v>
      </c>
      <c r="D65" s="63">
        <v>0</v>
      </c>
      <c r="E65" s="54"/>
      <c r="F65" s="54"/>
      <c r="G65" s="54"/>
      <c r="H65" s="54"/>
      <c r="I65" s="52">
        <f>IF(A65&lt;&gt;0,(B65-(B64-D64))/(A65-A64),"")</f>
        <v>7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60</v>
      </c>
      <c r="B66" s="63">
        <v>337</v>
      </c>
      <c r="C66" s="63">
        <v>5</v>
      </c>
      <c r="D66" s="63">
        <v>67</v>
      </c>
      <c r="E66" s="54"/>
      <c r="F66" s="54"/>
      <c r="G66" s="54"/>
      <c r="H66" s="54"/>
      <c r="I66" s="52">
        <f t="shared" ref="I66:I81" si="2">IF(A66&lt;&gt;0,(B66-(B65-D65))/(A66-A65),"")</f>
        <v>8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70</v>
      </c>
      <c r="B67" s="63">
        <v>345</v>
      </c>
      <c r="C67" s="63">
        <v>6</v>
      </c>
      <c r="D67" s="63">
        <v>69</v>
      </c>
      <c r="E67" s="54"/>
      <c r="F67" s="54"/>
      <c r="G67" s="54"/>
      <c r="H67" s="54"/>
      <c r="I67" s="52">
        <f t="shared" si="2"/>
        <v>7.5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80</v>
      </c>
      <c r="B68" s="63">
        <v>353</v>
      </c>
      <c r="C68" s="63">
        <v>7</v>
      </c>
      <c r="D68" s="63">
        <v>71</v>
      </c>
      <c r="E68" s="54"/>
      <c r="F68" s="54"/>
      <c r="G68" s="54"/>
      <c r="H68" s="54"/>
      <c r="I68" s="52">
        <f t="shared" si="2"/>
        <v>7.7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90</v>
      </c>
      <c r="B69" s="53">
        <v>365</v>
      </c>
      <c r="C69" s="53">
        <v>8</v>
      </c>
      <c r="D69" s="53">
        <v>73</v>
      </c>
      <c r="E69" s="54"/>
      <c r="F69" s="54"/>
      <c r="G69" s="54"/>
      <c r="H69" s="54"/>
      <c r="I69" s="52">
        <f t="shared" si="2"/>
        <v>8.3000000000000007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100</v>
      </c>
      <c r="B70" s="53">
        <v>375</v>
      </c>
      <c r="C70" s="53">
        <v>9</v>
      </c>
      <c r="D70" s="53">
        <v>375</v>
      </c>
      <c r="E70" s="54"/>
      <c r="F70" s="54"/>
      <c r="G70" s="54"/>
      <c r="H70" s="54"/>
      <c r="I70" s="52">
        <f t="shared" si="2"/>
        <v>8.3000000000000007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C23" sqref="C23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Peuplier Koster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Cèdre de l'Atlas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80.044039344639373</v>
      </c>
      <c r="T3" s="62">
        <f>IF('Données projet'!E9&gt;30,$R$33-$H$33,LOOKUP('Données projet'!$E$9,$A$3:$A$203,R3:R203)-LOOKUP('Données projet'!$E$9,$A$3:$A$203,$H$3:$H$203))</f>
        <v>373.57883793591537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259.74478933784656</v>
      </c>
      <c r="AO3" s="62">
        <f>IF('Données projet'!E10&gt;30,$AM$33-$H$33,LOOKUP('Données projet'!$E$10,$A$3:$A$203,AM3:AM203)-LOOKUP('Données projet'!$E$10,$A$3:$A$203,$H$3:$H$203))</f>
        <v>223.74038909289646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15.7</v>
      </c>
      <c r="N4" s="14">
        <f>IF('Données projet'!$A$36&gt;35,N3+M4-V3,IF(A4&lt;'Données projet'!$A$36,$K$205^A4,IF(A4='Données projet'!$A$36,'Données projet'!$B$36,N3+M4-V3)))</f>
        <v>1.3330501325384438</v>
      </c>
      <c r="O4" s="14">
        <f>N4*VLOOKUP('Données projet'!$B$9,Paramètres!$A$1:$I$89,3,0)*VLOOKUP('Données projet'!$B$9,Paramètres!$A$1:$I$89,5,0)</f>
        <v>0.67793597540375106</v>
      </c>
      <c r="P4" s="14">
        <f>EXP(-1.0587+0.8836*LN(O4)+0.284)</f>
        <v>0.3268815309015673</v>
      </c>
      <c r="Q4" s="22">
        <f t="shared" ref="Q4:Q34" si="2">(O4+P4)*0.475*44/12</f>
        <v>1.750057156815096</v>
      </c>
      <c r="R4" s="62">
        <f t="shared" si="0"/>
        <v>259.63894604570396</v>
      </c>
      <c r="S4" s="62">
        <f ca="1">AVERAGE(OFFSET($R$3,0,0,'Données projet'!$E$9+1,1))-AVERAGE(OFFSET($H$3,0,0,'Données projet'!$E$9+1,1))</f>
        <v>80.044039344639373</v>
      </c>
      <c r="T4" s="62">
        <f>$T$3</f>
        <v>373.57883793591537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5.75</v>
      </c>
      <c r="AI4" s="14">
        <f>IF('Données projet'!$A$62&gt;35,AI3+AH4-AQ3,IF(A4&lt;'Données projet'!$A$62,$AF$205^A4,IF(A4='Données projet'!$A$62,'Données projet'!$B$62,AI3+AH4-AQ3)))</f>
        <v>1.2677537154322802</v>
      </c>
      <c r="AJ4" s="14">
        <f>AI4*VLOOKUP('Données projet'!$B$10,Paramètres!$A$1:$I$89,3,0)*VLOOKUP('Données projet'!$B$10,Paramètres!$A$1:$I$89,5,0)</f>
        <v>0.59330873882230706</v>
      </c>
      <c r="AK4" s="14">
        <f>EXP(-1.0587+0.8836*LN(AJ4)+0.284)</f>
        <v>0.29055137246158741</v>
      </c>
      <c r="AL4" s="22">
        <f t="shared" ref="AL4:AL67" si="4">(AJ4+AK4)*0.475*44/12</f>
        <v>1.5393896938194491</v>
      </c>
      <c r="AM4" s="62">
        <f t="shared" ref="AM4:AM67" si="5">AL4+(AD4+AE4)*44/12</f>
        <v>259.42827858270829</v>
      </c>
      <c r="AN4" s="62">
        <f ca="1">AVERAGE(OFFSET($AM$3,0,0,'Données projet'!$E$10+1,1))-AVERAGE(OFFSET($H$3,0,0,'Données projet'!$E$10+1,1))</f>
        <v>259.74478933784656</v>
      </c>
      <c r="AO4" s="62">
        <f>$AO$3</f>
        <v>223.74038909289646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15.7</v>
      </c>
      <c r="N5" s="14">
        <f>IF('Données projet'!$A$36&gt;35,N4+M5-V4,IF(A5&lt;'Données projet'!$A$36,$K$205^A5,IF(A5='Données projet'!$A$36,'Données projet'!$B$36,N4+M5-V4)))</f>
        <v>1.7770226558607627</v>
      </c>
      <c r="O5" s="14">
        <f>N5*VLOOKUP('Données projet'!$B$9,Paramètres!$A$1:$I$89,3,0)*VLOOKUP('Données projet'!$B$9,Paramètres!$A$1:$I$89,5,0)</f>
        <v>0.90372264186454954</v>
      </c>
      <c r="P5" s="14">
        <f t="shared" ref="P5:P68" si="33">EXP(-1.0587+0.8836*LN(O5)+0.284)</f>
        <v>0.42140990098538411</v>
      </c>
      <c r="Q5" s="22">
        <f t="shared" si="2"/>
        <v>2.3079391787969676</v>
      </c>
      <c r="R5" s="62">
        <f t="shared" si="0"/>
        <v>261.41905028990811</v>
      </c>
      <c r="S5" s="62">
        <f ca="1">AVERAGE(OFFSET($R$3,0,0,'Données projet'!$E$9+1,1))-AVERAGE(OFFSET($H$3,0,0,'Données projet'!$E$9+1,1))</f>
        <v>80.044039344639373</v>
      </c>
      <c r="T5" s="62">
        <f t="shared" ref="T5:T68" si="34">$T$3</f>
        <v>373.57883793591537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5.75</v>
      </c>
      <c r="AI5" s="14">
        <f>IF('Données projet'!$A$62&gt;35,AI4+AH5-AQ4,IF(A5&lt;'Données projet'!$A$62,$AF$205^A5,IF(A5='Données projet'!$A$62,'Données projet'!$B$62,AI4+AH5-AQ4)))</f>
        <v>1.6071994829923508</v>
      </c>
      <c r="AJ5" s="14">
        <f>AI5*VLOOKUP('Données projet'!$B$10,Paramètres!$A$1:$I$89,3,0)*VLOOKUP('Données projet'!$B$10,Paramètres!$A$1:$I$89,5,0)</f>
        <v>0.75216935804042018</v>
      </c>
      <c r="AK5" s="14">
        <f t="shared" ref="AK5:AK68" si="35">EXP(-1.0587+0.8836*LN(AJ5)+0.284)</f>
        <v>0.35831464735172275</v>
      </c>
      <c r="AL5" s="22">
        <f t="shared" si="4"/>
        <v>1.9340929760579824</v>
      </c>
      <c r="AM5" s="62">
        <f t="shared" si="5"/>
        <v>261.04520408716911</v>
      </c>
      <c r="AN5" s="62">
        <f ca="1">AVERAGE(OFFSET($AM$3,0,0,'Données projet'!$E$10+1,1))-AVERAGE(OFFSET($H$3,0,0,'Données projet'!$E$10+1,1))</f>
        <v>259.74478933784656</v>
      </c>
      <c r="AO5" s="62">
        <f t="shared" ref="AO5:AO68" si="36">$AO$3</f>
        <v>223.74038909289646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15.7</v>
      </c>
      <c r="N6" s="14">
        <f>IF('Données projet'!$A$36&gt;35,N5+M6-V5,IF(A6&lt;'Données projet'!$A$36,$K$205^A6,IF(A6='Données projet'!$A$36,'Données projet'!$B$36,N5+M6-V5)))</f>
        <v>2.3688602869190074</v>
      </c>
      <c r="O6" s="14">
        <f>N6*VLOOKUP('Données projet'!$B$9,Paramètres!$A$1:$I$89,3,0)*VLOOKUP('Données projet'!$B$9,Paramètres!$A$1:$I$89,5,0)</f>
        <v>1.2047075875155304</v>
      </c>
      <c r="P6" s="14">
        <f t="shared" si="33"/>
        <v>0.5432742075048197</v>
      </c>
      <c r="Q6" s="22">
        <f t="shared" si="2"/>
        <v>3.0444016263271099</v>
      </c>
      <c r="R6" s="62">
        <f t="shared" si="0"/>
        <v>263.37773495966042</v>
      </c>
      <c r="S6" s="62">
        <f ca="1">AVERAGE(OFFSET($R$3,0,0,'Données projet'!$E$9+1,1))-AVERAGE(OFFSET($H$3,0,0,'Données projet'!$E$9+1,1))</f>
        <v>80.044039344639373</v>
      </c>
      <c r="T6" s="62">
        <f t="shared" si="34"/>
        <v>373.57883793591537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5.75</v>
      </c>
      <c r="AI6" s="14">
        <f>IF('Données projet'!$A$62&gt;35,AI5+AH6-AQ5,IF(A6&lt;'Données projet'!$A$62,$AF$205^A6,IF(A6='Données projet'!$A$62,'Données projet'!$B$62,AI5+AH6-AQ5)))</f>
        <v>2.0375331160043926</v>
      </c>
      <c r="AJ6" s="14">
        <f>AI6*VLOOKUP('Données projet'!$B$10,Paramètres!$A$1:$I$89,3,0)*VLOOKUP('Données projet'!$B$10,Paramètres!$A$1:$I$89,5,0)</f>
        <v>0.95356549829005577</v>
      </c>
      <c r="AK6" s="14">
        <f t="shared" si="35"/>
        <v>0.44188187933534279</v>
      </c>
      <c r="AL6" s="22">
        <f t="shared" si="4"/>
        <v>2.4304041826975693</v>
      </c>
      <c r="AM6" s="62">
        <f t="shared" si="5"/>
        <v>262.76373751603086</v>
      </c>
      <c r="AN6" s="62">
        <f ca="1">AVERAGE(OFFSET($AM$3,0,0,'Données projet'!$E$10+1,1))-AVERAGE(OFFSET($H$3,0,0,'Données projet'!$E$10+1,1))</f>
        <v>259.74478933784656</v>
      </c>
      <c r="AO6" s="62">
        <f t="shared" si="36"/>
        <v>223.74038909289646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15.7</v>
      </c>
      <c r="N7" s="14">
        <f>IF('Données projet'!$A$36&gt;35,N6+M7-V6,IF(A7&lt;'Données projet'!$A$36,$K$205^A7,IF(A7='Données projet'!$A$36,'Données projet'!$B$36,N6+M7-V6)))</f>
        <v>3.1578095194424387</v>
      </c>
      <c r="O7" s="14">
        <f>N7*VLOOKUP('Données projet'!$B$9,Paramètres!$A$1:$I$89,3,0)*VLOOKUP('Données projet'!$B$9,Paramètres!$A$1:$I$89,5,0)</f>
        <v>1.6059356092076467</v>
      </c>
      <c r="P7" s="14">
        <f t="shared" si="33"/>
        <v>0.70037952086518862</v>
      </c>
      <c r="Q7" s="22">
        <f t="shared" si="2"/>
        <v>4.0168321848768551</v>
      </c>
      <c r="R7" s="62">
        <f t="shared" si="0"/>
        <v>265.57238774043242</v>
      </c>
      <c r="S7" s="62">
        <f ca="1">AVERAGE(OFFSET($R$3,0,0,'Données projet'!$E$9+1,1))-AVERAGE(OFFSET($H$3,0,0,'Données projet'!$E$9+1,1))</f>
        <v>80.044039344639373</v>
      </c>
      <c r="T7" s="62">
        <f t="shared" si="34"/>
        <v>373.57883793591537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5.75</v>
      </c>
      <c r="AI7" s="14">
        <f>IF('Données projet'!$A$62&gt;35,AI6+AH7-AQ6,IF(A7&lt;'Données projet'!$A$62,$AF$205^A7,IF(A7='Données projet'!$A$62,'Données projet'!$B$62,AI6+AH7-AQ6)))</f>
        <v>2.5830901781308797</v>
      </c>
      <c r="AJ7" s="14">
        <f>AI7*VLOOKUP('Données projet'!$B$10,Paramètres!$A$1:$I$89,3,0)*VLOOKUP('Données projet'!$B$10,Paramètres!$A$1:$I$89,5,0)</f>
        <v>1.2088862033652517</v>
      </c>
      <c r="AK7" s="14">
        <f t="shared" si="35"/>
        <v>0.54493891535856476</v>
      </c>
      <c r="AL7" s="22">
        <f t="shared" si="4"/>
        <v>3.0545787484439804</v>
      </c>
      <c r="AM7" s="62">
        <f t="shared" si="5"/>
        <v>264.61013430399953</v>
      </c>
      <c r="AN7" s="62">
        <f ca="1">AVERAGE(OFFSET($AM$3,0,0,'Données projet'!$E$10+1,1))-AVERAGE(OFFSET($H$3,0,0,'Données projet'!$E$10+1,1))</f>
        <v>259.74478933784656</v>
      </c>
      <c r="AO7" s="62">
        <f t="shared" si="36"/>
        <v>223.74038909289646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15.7</v>
      </c>
      <c r="N8" s="14">
        <f>IF('Données projet'!$A$36&gt;35,N7+M8-V7,IF(A8&lt;'Données projet'!$A$36,$K$205^A8,IF(A8='Données projet'!$A$36,'Données projet'!$B$36,N7+M8-V7)))</f>
        <v>4.2095183984239029</v>
      </c>
      <c r="O8" s="14">
        <f>N8*VLOOKUP('Données projet'!$B$9,Paramètres!$A$1:$I$89,3,0)*VLOOKUP('Données projet'!$B$9,Paramètres!$A$1:$I$89,5,0)</f>
        <v>2.1407926767024605</v>
      </c>
      <c r="P8" s="14">
        <f t="shared" si="33"/>
        <v>0.90291691832802434</v>
      </c>
      <c r="Q8" s="22">
        <f t="shared" si="2"/>
        <v>5.3011275446780948</v>
      </c>
      <c r="R8" s="62">
        <f t="shared" si="0"/>
        <v>268.07890532245585</v>
      </c>
      <c r="S8" s="62">
        <f ca="1">AVERAGE(OFFSET($R$3,0,0,'Données projet'!$E$9+1,1))-AVERAGE(OFFSET($H$3,0,0,'Données projet'!$E$9+1,1))</f>
        <v>80.044039344639373</v>
      </c>
      <c r="T8" s="62">
        <f t="shared" si="34"/>
        <v>373.57883793591537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5.75</v>
      </c>
      <c r="AI8" s="14">
        <f>IF('Données projet'!$A$62&gt;35,AI7+AH8-AQ7,IF(A8&lt;'Données projet'!$A$62,$AF$205^A8,IF(A8='Données projet'!$A$62,'Données projet'!$B$62,AI7+AH8-AQ7)))</f>
        <v>3.2747221706220535</v>
      </c>
      <c r="AJ8" s="14">
        <f>AI8*VLOOKUP('Données projet'!$B$10,Paramètres!$A$1:$I$89,3,0)*VLOOKUP('Données projet'!$B$10,Paramètres!$A$1:$I$89,5,0)</f>
        <v>1.5325699758511209</v>
      </c>
      <c r="AK8" s="14">
        <f t="shared" si="35"/>
        <v>0.67203122680395833</v>
      </c>
      <c r="AL8" s="22">
        <f t="shared" si="4"/>
        <v>3.839680427957596</v>
      </c>
      <c r="AM8" s="62">
        <f t="shared" si="5"/>
        <v>266.61745820573537</v>
      </c>
      <c r="AN8" s="62">
        <f ca="1">AVERAGE(OFFSET($AM$3,0,0,'Données projet'!$E$10+1,1))-AVERAGE(OFFSET($H$3,0,0,'Données projet'!$E$10+1,1))</f>
        <v>259.74478933784656</v>
      </c>
      <c r="AO8" s="62">
        <f t="shared" si="36"/>
        <v>223.74038909289646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15.7</v>
      </c>
      <c r="N9" s="14">
        <f>IF('Données projet'!$A$36&gt;35,N8+M9-V8,IF(A9&lt;'Données projet'!$A$36,$K$205^A9,IF(A9='Données projet'!$A$36,'Données projet'!$B$36,N8+M9-V8)))</f>
        <v>5.6114990589420009</v>
      </c>
      <c r="O9" s="14">
        <f>N9*VLOOKUP('Données projet'!$B$9,Paramètres!$A$1:$I$89,3,0)*VLOOKUP('Données projet'!$B$9,Paramètres!$A$1:$I$89,5,0)</f>
        <v>2.8537839614155445</v>
      </c>
      <c r="P9" s="14">
        <f t="shared" si="33"/>
        <v>1.1640245568515122</v>
      </c>
      <c r="Q9" s="22">
        <f t="shared" si="2"/>
        <v>6.9976831693151231</v>
      </c>
      <c r="R9" s="62">
        <f t="shared" si="0"/>
        <v>270.99768316931511</v>
      </c>
      <c r="S9" s="62">
        <f ca="1">AVERAGE(OFFSET($R$3,0,0,'Données projet'!$E$9+1,1))-AVERAGE(OFFSET($H$3,0,0,'Données projet'!$E$9+1,1))</f>
        <v>80.044039344639373</v>
      </c>
      <c r="T9" s="62">
        <f t="shared" si="34"/>
        <v>373.57883793591537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5.75</v>
      </c>
      <c r="AI9" s="14">
        <f>IF('Données projet'!$A$62&gt;35,AI8+AH9-AQ8,IF(A9&lt;'Données projet'!$A$62,$AF$205^A9,IF(A9='Données projet'!$A$62,'Données projet'!$B$62,AI8+AH9-AQ8)))</f>
        <v>4.1515411988145692</v>
      </c>
      <c r="AJ9" s="14">
        <f>AI9*VLOOKUP('Données projet'!$B$10,Paramètres!$A$1:$I$89,3,0)*VLOOKUP('Données projet'!$B$10,Paramètres!$A$1:$I$89,5,0)</f>
        <v>1.9429212810452183</v>
      </c>
      <c r="AK9" s="14">
        <f t="shared" si="35"/>
        <v>0.82876439371643607</v>
      </c>
      <c r="AL9" s="22">
        <f t="shared" si="4"/>
        <v>4.8273525502098815</v>
      </c>
      <c r="AM9" s="62">
        <f t="shared" si="5"/>
        <v>268.82735255020987</v>
      </c>
      <c r="AN9" s="62">
        <f ca="1">AVERAGE(OFFSET($AM$3,0,0,'Données projet'!$E$10+1,1))-AVERAGE(OFFSET($H$3,0,0,'Données projet'!$E$10+1,1))</f>
        <v>259.74478933784656</v>
      </c>
      <c r="AO9" s="62">
        <f t="shared" si="36"/>
        <v>223.74038909289646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15.7</v>
      </c>
      <c r="N10" s="14">
        <f>IF('Données projet'!$A$36&gt;35,N9+M10-V9,IF(A10&lt;'Données projet'!$A$36,$K$205^A10,IF(A10='Données projet'!$A$36,'Données projet'!$B$36,N9+M10-V9)))</f>
        <v>7.4804095642619881</v>
      </c>
      <c r="O10" s="14">
        <f>N10*VLOOKUP('Données projet'!$B$9,Paramètres!$A$1:$I$89,3,0)*VLOOKUP('Données projet'!$B$9,Paramètres!$A$1:$I$89,5,0)</f>
        <v>3.8042370880010772</v>
      </c>
      <c r="P10" s="14">
        <f t="shared" si="33"/>
        <v>1.5006399165300763</v>
      </c>
      <c r="Q10" s="22">
        <f t="shared" si="2"/>
        <v>9.2393274495584254</v>
      </c>
      <c r="R10" s="62">
        <f t="shared" si="0"/>
        <v>274.46154967178063</v>
      </c>
      <c r="S10" s="62">
        <f ca="1">AVERAGE(OFFSET($R$3,0,0,'Données projet'!$E$9+1,1))-AVERAGE(OFFSET($H$3,0,0,'Données projet'!$E$9+1,1))</f>
        <v>80.044039344639373</v>
      </c>
      <c r="T10" s="62">
        <f t="shared" si="34"/>
        <v>373.57883793591537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5.75</v>
      </c>
      <c r="AI10" s="14">
        <f>IF('Données projet'!$A$62&gt;35,AI9+AH10-AQ9,IF(A10&lt;'Données projet'!$A$62,$AF$205^A10,IF(A10='Données projet'!$A$62,'Données projet'!$B$62,AI9+AH10-AQ9)))</f>
        <v>5.2631317795673525</v>
      </c>
      <c r="AJ10" s="14">
        <f>AI10*VLOOKUP('Données projet'!$B$10,Paramètres!$A$1:$I$89,3,0)*VLOOKUP('Données projet'!$B$10,Paramètres!$A$1:$I$89,5,0)</f>
        <v>2.4631456728375212</v>
      </c>
      <c r="AK10" s="14">
        <f t="shared" si="35"/>
        <v>1.0220513465701448</v>
      </c>
      <c r="AL10" s="22">
        <f t="shared" si="4"/>
        <v>6.0700514754683512</v>
      </c>
      <c r="AM10" s="62">
        <f t="shared" si="5"/>
        <v>271.29227369769058</v>
      </c>
      <c r="AN10" s="62">
        <f ca="1">AVERAGE(OFFSET($AM$3,0,0,'Données projet'!$E$10+1,1))-AVERAGE(OFFSET($H$3,0,0,'Données projet'!$E$10+1,1))</f>
        <v>259.74478933784656</v>
      </c>
      <c r="AO10" s="62">
        <f t="shared" si="36"/>
        <v>223.74038909289646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15.7</v>
      </c>
      <c r="N11" s="14">
        <f>IF('Données projet'!$A$36&gt;35,N10+M11-V10,IF(A11&lt;'Données projet'!$A$36,$K$205^A11,IF(A11='Données projet'!$A$36,'Données projet'!$B$36,N10+M11-V10)))</f>
        <v>9.9717609610812854</v>
      </c>
      <c r="O11" s="14">
        <f>N11*VLOOKUP('Données projet'!$B$9,Paramètres!$A$1:$I$89,3,0)*VLOOKUP('Données projet'!$B$9,Paramètres!$A$1:$I$89,5,0)</f>
        <v>5.0712387543674993</v>
      </c>
      <c r="P11" s="14">
        <f t="shared" si="33"/>
        <v>1.9345984977966901</v>
      </c>
      <c r="Q11" s="22">
        <f t="shared" si="2"/>
        <v>12.201833214185962</v>
      </c>
      <c r="R11" s="62">
        <f t="shared" si="0"/>
        <v>278.64627765863042</v>
      </c>
      <c r="S11" s="62">
        <f ca="1">AVERAGE(OFFSET($R$3,0,0,'Données projet'!$E$9+1,1))-AVERAGE(OFFSET($H$3,0,0,'Données projet'!$E$9+1,1))</f>
        <v>80.044039344639373</v>
      </c>
      <c r="T11" s="62">
        <f t="shared" si="34"/>
        <v>373.57883793591537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5.75</v>
      </c>
      <c r="AI11" s="14">
        <f>IF('Données projet'!$A$62&gt;35,AI10+AH11-AQ10,IF(A11&lt;'Données projet'!$A$62,$AF$205^A11,IF(A11='Données projet'!$A$62,'Données projet'!$B$62,AI10+AH11-AQ10)))</f>
        <v>6.6723548683562202</v>
      </c>
      <c r="AJ11" s="14">
        <f>AI11*VLOOKUP('Données projet'!$B$10,Paramètres!$A$1:$I$89,3,0)*VLOOKUP('Données projet'!$B$10,Paramètres!$A$1:$I$89,5,0)</f>
        <v>3.1226620783907113</v>
      </c>
      <c r="AK11" s="14">
        <f t="shared" si="35"/>
        <v>1.2604172705122936</v>
      </c>
      <c r="AL11" s="22">
        <f t="shared" si="4"/>
        <v>7.6338631993393991</v>
      </c>
      <c r="AM11" s="62">
        <f t="shared" si="5"/>
        <v>274.07830764378383</v>
      </c>
      <c r="AN11" s="62">
        <f ca="1">AVERAGE(OFFSET($AM$3,0,0,'Données projet'!$E$10+1,1))-AVERAGE(OFFSET($H$3,0,0,'Données projet'!$E$10+1,1))</f>
        <v>259.74478933784656</v>
      </c>
      <c r="AO11" s="62">
        <f t="shared" si="36"/>
        <v>223.74038909289646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15.7</v>
      </c>
      <c r="N12" s="14">
        <f>IF('Données projet'!$A$36&gt;35,N11+M12-V11,IF(A12&lt;'Données projet'!$A$36,$K$205^A12,IF(A12='Données projet'!$A$36,'Données projet'!$B$36,N11+M12-V11)))</f>
        <v>13.292857270811087</v>
      </c>
      <c r="O12" s="14">
        <f>N12*VLOOKUP('Données projet'!$B$9,Paramètres!$A$1:$I$89,3,0)*VLOOKUP('Données projet'!$B$9,Paramètres!$A$1:$I$89,5,0)</f>
        <v>6.7602154936436865</v>
      </c>
      <c r="P12" s="14">
        <f t="shared" si="33"/>
        <v>2.4940502424668094</v>
      </c>
      <c r="Q12" s="22">
        <f t="shared" si="2"/>
        <v>16.117846157059109</v>
      </c>
      <c r="R12" s="62">
        <f t="shared" si="0"/>
        <v>283.78451282372578</v>
      </c>
      <c r="S12" s="62">
        <f ca="1">AVERAGE(OFFSET($R$3,0,0,'Données projet'!$E$9+1,1))-AVERAGE(OFFSET($H$3,0,0,'Données projet'!$E$9+1,1))</f>
        <v>80.044039344639373</v>
      </c>
      <c r="T12" s="62">
        <f t="shared" si="34"/>
        <v>373.57883793591537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5.75</v>
      </c>
      <c r="AI12" s="14">
        <f>IF('Données projet'!$A$62&gt;35,AI11+AH12-AQ11,IF(A12&lt;'Données projet'!$A$62,$AF$205^A12,IF(A12='Données projet'!$A$62,'Données projet'!$B$62,AI11+AH12-AQ11)))</f>
        <v>8.4589026750412604</v>
      </c>
      <c r="AJ12" s="14">
        <f>AI12*VLOOKUP('Données projet'!$B$10,Paramètres!$A$1:$I$89,3,0)*VLOOKUP('Données projet'!$B$10,Paramètres!$A$1:$I$89,5,0)</f>
        <v>3.9587664519193098</v>
      </c>
      <c r="AK12" s="14">
        <f t="shared" si="35"/>
        <v>1.5543756203021926</v>
      </c>
      <c r="AL12" s="22">
        <f t="shared" si="4"/>
        <v>9.6020557757857823</v>
      </c>
      <c r="AM12" s="62">
        <f t="shared" si="5"/>
        <v>277.26872244245249</v>
      </c>
      <c r="AN12" s="62">
        <f ca="1">AVERAGE(OFFSET($AM$3,0,0,'Données projet'!$E$10+1,1))-AVERAGE(OFFSET($H$3,0,0,'Données projet'!$E$10+1,1))</f>
        <v>259.74478933784656</v>
      </c>
      <c r="AO12" s="62">
        <f t="shared" si="36"/>
        <v>223.74038909289646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15.7</v>
      </c>
      <c r="N13" s="14">
        <f>IF('Données projet'!$A$36&gt;35,N12+M13-V12,IF(A13&lt;'Données projet'!$A$36,$K$205^A13,IF(A13='Données projet'!$A$36,'Données projet'!$B$36,N12+M13-V12)))</f>
        <v>17.720045146669339</v>
      </c>
      <c r="O13" s="14">
        <f>N13*VLOOKUP('Données projet'!$B$9,Paramètres!$A$1:$I$89,3,0)*VLOOKUP('Données projet'!$B$9,Paramètres!$A$1:$I$89,5,0)</f>
        <v>9.01170615979016</v>
      </c>
      <c r="P13" s="14">
        <f t="shared" si="33"/>
        <v>3.2152855587518667</v>
      </c>
      <c r="Q13" s="22">
        <f t="shared" si="2"/>
        <v>21.295343909794031</v>
      </c>
      <c r="R13" s="62">
        <f t="shared" si="0"/>
        <v>290.1842327986829</v>
      </c>
      <c r="S13" s="62">
        <f ca="1">AVERAGE(OFFSET($R$3,0,0,'Données projet'!$E$9+1,1))-AVERAGE(OFFSET($H$3,0,0,'Données projet'!$E$9+1,1))</f>
        <v>80.044039344639373</v>
      </c>
      <c r="T13" s="62">
        <f t="shared" si="34"/>
        <v>373.57883793591537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5.75</v>
      </c>
      <c r="AI13" s="14">
        <f>IF('Données projet'!$A$62&gt;35,AI12+AH13-AQ12,IF(A13&lt;'Données projet'!$A$62,$AF$205^A13,IF(A13='Données projet'!$A$62,'Données projet'!$B$62,AI12+AH13-AQ12)))</f>
        <v>10.723805294763611</v>
      </c>
      <c r="AJ13" s="14">
        <f>AI13*VLOOKUP('Données projet'!$B$10,Paramètres!$A$1:$I$89,3,0)*VLOOKUP('Données projet'!$B$10,Paramètres!$A$1:$I$89,5,0)</f>
        <v>5.0187408779493703</v>
      </c>
      <c r="AK13" s="14">
        <f t="shared" si="35"/>
        <v>1.9168918305981435</v>
      </c>
      <c r="AL13" s="22">
        <f t="shared" si="4"/>
        <v>12.079560300720253</v>
      </c>
      <c r="AM13" s="62">
        <f t="shared" si="5"/>
        <v>280.96844918960909</v>
      </c>
      <c r="AN13" s="62">
        <f ca="1">AVERAGE(OFFSET($AM$3,0,0,'Données projet'!$E$10+1,1))-AVERAGE(OFFSET($H$3,0,0,'Données projet'!$E$10+1,1))</f>
        <v>259.74478933784656</v>
      </c>
      <c r="AO13" s="62">
        <f t="shared" si="36"/>
        <v>223.74038909289646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15.7</v>
      </c>
      <c r="N14" s="14">
        <f>IF('Données projet'!$A$36&gt;35,N13+M14-V13,IF(A14&lt;'Données projet'!$A$36,$K$205^A14,IF(A14='Données projet'!$A$36,'Données projet'!$B$36,N13+M14-V13)))</f>
        <v>23.62170853135477</v>
      </c>
      <c r="O14" s="14">
        <f>N14*VLOOKUP('Données projet'!$B$9,Paramètres!$A$1:$I$89,3,0)*VLOOKUP('Données projet'!$B$9,Paramètres!$A$1:$I$89,5,0)</f>
        <v>12.013056090705783</v>
      </c>
      <c r="P14" s="14">
        <f t="shared" si="33"/>
        <v>4.1450894004818286</v>
      </c>
      <c r="Q14" s="22">
        <f t="shared" si="2"/>
        <v>28.142103397151754</v>
      </c>
      <c r="R14" s="62">
        <f t="shared" si="0"/>
        <v>298.25321450826289</v>
      </c>
      <c r="S14" s="62">
        <f ca="1">AVERAGE(OFFSET($R$3,0,0,'Données projet'!$E$9+1,1))-AVERAGE(OFFSET($H$3,0,0,'Données projet'!$E$9+1,1))</f>
        <v>80.044039344639373</v>
      </c>
      <c r="T14" s="62">
        <f t="shared" si="34"/>
        <v>373.57883793591537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5.75</v>
      </c>
      <c r="AI14" s="14">
        <f>IF('Données projet'!$A$62&gt;35,AI13+AH14-AQ13,IF(A14&lt;'Données projet'!$A$62,$AF$205^A14,IF(A14='Données projet'!$A$62,'Données projet'!$B$62,AI13+AH14-AQ13)))</f>
        <v>13.595144006008928</v>
      </c>
      <c r="AJ14" s="14">
        <f>AI14*VLOOKUP('Données projet'!$B$10,Paramètres!$A$1:$I$89,3,0)*VLOOKUP('Données projet'!$B$10,Paramètres!$A$1:$I$89,5,0)</f>
        <v>6.3625273948121777</v>
      </c>
      <c r="AK14" s="14">
        <f t="shared" si="35"/>
        <v>2.3639551741679612</v>
      </c>
      <c r="AL14" s="22">
        <f t="shared" si="4"/>
        <v>15.198623807640407</v>
      </c>
      <c r="AM14" s="62">
        <f t="shared" si="5"/>
        <v>285.30973491875153</v>
      </c>
      <c r="AN14" s="62">
        <f ca="1">AVERAGE(OFFSET($AM$3,0,0,'Données projet'!$E$10+1,1))-AVERAGE(OFFSET($H$3,0,0,'Données projet'!$E$10+1,1))</f>
        <v>259.74478933784656</v>
      </c>
      <c r="AO14" s="62">
        <f t="shared" si="36"/>
        <v>223.74038909289646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15.7</v>
      </c>
      <c r="N15" s="14">
        <f>IF('Données projet'!$A$36&gt;35,N14+M15-V14,IF(A15&lt;'Données projet'!$A$36,$K$205^A15,IF(A15='Données projet'!$A$36,'Données projet'!$B$36,N14+M15-V14)))</f>
        <v>31.488921688506963</v>
      </c>
      <c r="O15" s="14">
        <f>N15*VLOOKUP('Données projet'!$B$9,Paramètres!$A$1:$I$89,3,0)*VLOOKUP('Données projet'!$B$9,Paramètres!$A$1:$I$89,5,0)</f>
        <v>16.014006013907103</v>
      </c>
      <c r="P15" s="14">
        <f t="shared" si="33"/>
        <v>5.3437761044952223</v>
      </c>
      <c r="Q15" s="22">
        <f t="shared" si="2"/>
        <v>37.198137189550721</v>
      </c>
      <c r="R15" s="62">
        <f t="shared" si="0"/>
        <v>308.53147052288404</v>
      </c>
      <c r="S15" s="62">
        <f ca="1">AVERAGE(OFFSET($R$3,0,0,'Données projet'!$E$9+1,1))-AVERAGE(OFFSET($H$3,0,0,'Données projet'!$E$9+1,1))</f>
        <v>80.044039344639373</v>
      </c>
      <c r="T15" s="62">
        <f t="shared" si="34"/>
        <v>373.57883793591537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5.75</v>
      </c>
      <c r="AI15" s="14">
        <f>IF('Données projet'!$A$62&gt;35,AI14+AH15-AQ14,IF(A15&lt;'Données projet'!$A$62,$AF$205^A15,IF(A15='Données projet'!$A$62,'Données projet'!$B$62,AI14+AH15-AQ14)))</f>
        <v>17.23529432545471</v>
      </c>
      <c r="AJ15" s="14">
        <f>AI15*VLOOKUP('Données projet'!$B$10,Paramètres!$A$1:$I$89,3,0)*VLOOKUP('Données projet'!$B$10,Paramètres!$A$1:$I$89,5,0)</f>
        <v>8.0661177443128054</v>
      </c>
      <c r="AK15" s="14">
        <f t="shared" si="35"/>
        <v>2.915283990610841</v>
      </c>
      <c r="AL15" s="22">
        <f t="shared" si="4"/>
        <v>19.125941354992019</v>
      </c>
      <c r="AM15" s="62">
        <f t="shared" si="5"/>
        <v>290.45927468832531</v>
      </c>
      <c r="AN15" s="62">
        <f ca="1">AVERAGE(OFFSET($AM$3,0,0,'Données projet'!$E$10+1,1))-AVERAGE(OFFSET($H$3,0,0,'Données projet'!$E$10+1,1))</f>
        <v>259.74478933784656</v>
      </c>
      <c r="AO15" s="62">
        <f t="shared" si="36"/>
        <v>223.74038909289646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15.7</v>
      </c>
      <c r="N16" s="14">
        <f>IF('Données projet'!$A$36&gt;35,N15+M16-V15,IF(A16&lt;'Données projet'!$A$36,$K$205^A16,IF(A16='Données projet'!$A$36,'Données projet'!$B$36,N15+M16-V15)))</f>
        <v>41.976311230356892</v>
      </c>
      <c r="O16" s="14">
        <f>N16*VLOOKUP('Données projet'!$B$9,Paramètres!$A$1:$I$89,3,0)*VLOOKUP('Données projet'!$B$9,Paramètres!$A$1:$I$89,5,0)</f>
        <v>21.347472839310303</v>
      </c>
      <c r="P16" s="14">
        <f t="shared" si="33"/>
        <v>6.8891018494449803</v>
      </c>
      <c r="Q16" s="22">
        <f t="shared" si="2"/>
        <v>49.178700916248779</v>
      </c>
      <c r="R16" s="62">
        <f t="shared" si="0"/>
        <v>321.73425647180431</v>
      </c>
      <c r="S16" s="62">
        <f ca="1">AVERAGE(OFFSET($R$3,0,0,'Données projet'!$E$9+1,1))-AVERAGE(OFFSET($H$3,0,0,'Données projet'!$E$9+1,1))</f>
        <v>80.044039344639373</v>
      </c>
      <c r="T16" s="62">
        <f t="shared" si="34"/>
        <v>373.57883793591537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5.75</v>
      </c>
      <c r="AI16" s="14">
        <f>IF('Données projet'!$A$62&gt;35,AI15+AH16-AQ15,IF(A16&lt;'Données projet'!$A$62,$AF$205^A16,IF(A16='Données projet'!$A$62,'Données projet'!$B$62,AI15+AH16-AQ15)))</f>
        <v>21.850108417664106</v>
      </c>
      <c r="AJ16" s="14">
        <f>AI16*VLOOKUP('Données projet'!$B$10,Paramètres!$A$1:$I$89,3,0)*VLOOKUP('Données projet'!$B$10,Paramètres!$A$1:$I$89,5,0)</f>
        <v>10.225850739466802</v>
      </c>
      <c r="AK16" s="14">
        <f t="shared" si="35"/>
        <v>3.5951953906669201</v>
      </c>
      <c r="AL16" s="22">
        <f t="shared" si="4"/>
        <v>24.071655343316234</v>
      </c>
      <c r="AM16" s="62">
        <f t="shared" si="5"/>
        <v>296.62721089887179</v>
      </c>
      <c r="AN16" s="62">
        <f ca="1">AVERAGE(OFFSET($AM$3,0,0,'Données projet'!$E$10+1,1))-AVERAGE(OFFSET($H$3,0,0,'Données projet'!$E$10+1,1))</f>
        <v>259.74478933784656</v>
      </c>
      <c r="AO16" s="62">
        <f t="shared" si="36"/>
        <v>223.74038909289646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15.7</v>
      </c>
      <c r="N17" s="14">
        <f>IF('Données projet'!$A$36&gt;35,N16+M17-V16,IF(A17&lt;'Données projet'!$A$36,$K$205^A17,IF(A17='Données projet'!$A$36,'Données projet'!$B$36,N16+M17-V16)))</f>
        <v>55.956527249102216</v>
      </c>
      <c r="O17" s="14">
        <f>N17*VLOOKUP('Données projet'!$B$9,Paramètres!$A$1:$I$89,3,0)*VLOOKUP('Données projet'!$B$9,Paramètres!$A$1:$I$89,5,0)</f>
        <v>28.457251497803423</v>
      </c>
      <c r="P17" s="14">
        <f t="shared" si="33"/>
        <v>8.8813085286456435</v>
      </c>
      <c r="Q17" s="22">
        <f t="shared" si="2"/>
        <v>65.03132537939878</v>
      </c>
      <c r="R17" s="62">
        <f t="shared" si="0"/>
        <v>338.80910315717654</v>
      </c>
      <c r="S17" s="62">
        <f ca="1">AVERAGE(OFFSET($R$3,0,0,'Données projet'!$E$9+1,1))-AVERAGE(OFFSET($H$3,0,0,'Données projet'!$E$9+1,1))</f>
        <v>80.044039344639373</v>
      </c>
      <c r="T17" s="62">
        <f t="shared" si="34"/>
        <v>373.57883793591537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5.75</v>
      </c>
      <c r="AI17" s="14">
        <f>IF('Données projet'!$A$62&gt;35,AI16+AH17-AQ16,IF(A17&lt;'Données projet'!$A$62,$AF$205^A17,IF(A17='Données projet'!$A$62,'Données projet'!$B$62,AI16+AH17-AQ16)))</f>
        <v>27.700556129091808</v>
      </c>
      <c r="AJ17" s="14">
        <f>AI17*VLOOKUP('Données projet'!$B$10,Paramètres!$A$1:$I$89,3,0)*VLOOKUP('Données projet'!$B$10,Paramètres!$A$1:$I$89,5,0)</f>
        <v>12.963860268414967</v>
      </c>
      <c r="AK17" s="14">
        <f t="shared" si="35"/>
        <v>4.4336777956113931</v>
      </c>
      <c r="AL17" s="22">
        <f t="shared" si="4"/>
        <v>30.300712128179242</v>
      </c>
      <c r="AM17" s="62">
        <f t="shared" si="5"/>
        <v>304.07848990595699</v>
      </c>
      <c r="AN17" s="62">
        <f ca="1">AVERAGE(OFFSET($AM$3,0,0,'Données projet'!$E$10+1,1))-AVERAGE(OFFSET($H$3,0,0,'Données projet'!$E$10+1,1))</f>
        <v>259.74478933784656</v>
      </c>
      <c r="AO17" s="62">
        <f t="shared" si="36"/>
        <v>223.74038909289646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15.7</v>
      </c>
      <c r="N18" s="14">
        <f>IF('Données projet'!$A$36&gt;35,N17+M18-V17,IF(A18&lt;'Données projet'!$A$36,$K$205^A18,IF(A18='Données projet'!$A$36,'Données projet'!$B$36,N17+M18-V17)))</f>
        <v>74.592856065806757</v>
      </c>
      <c r="O18" s="14">
        <f>N18*VLOOKUP('Données projet'!$B$9,Paramètres!$A$1:$I$89,3,0)*VLOOKUP('Données projet'!$B$9,Paramètres!$A$1:$I$89,5,0)</f>
        <v>37.934942880826689</v>
      </c>
      <c r="P18" s="14">
        <f t="shared" si="33"/>
        <v>11.449626221936123</v>
      </c>
      <c r="Q18" s="22">
        <f t="shared" si="2"/>
        <v>86.01145785397857</v>
      </c>
      <c r="R18" s="62">
        <f t="shared" si="0"/>
        <v>361.01145785397858</v>
      </c>
      <c r="S18" s="62">
        <f ca="1">AVERAGE(OFFSET($R$3,0,0,'Données projet'!$E$9+1,1))-AVERAGE(OFFSET($H$3,0,0,'Données projet'!$E$9+1,1))</f>
        <v>80.044039344639373</v>
      </c>
      <c r="T18" s="62">
        <f t="shared" si="34"/>
        <v>373.57883793591537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5.75</v>
      </c>
      <c r="AI18" s="14">
        <f>IF('Données projet'!$A$62&gt;35,AI17+AH18-AQ17,IF(A18&lt;'Données projet'!$A$62,$AF$205^A18,IF(A18='Données projet'!$A$62,'Données projet'!$B$62,AI17+AH18-AQ17)))</f>
        <v>35.117482952196561</v>
      </c>
      <c r="AJ18" s="14">
        <f>AI18*VLOOKUP('Données projet'!$B$10,Paramètres!$A$1:$I$89,3,0)*VLOOKUP('Données projet'!$B$10,Paramètres!$A$1:$I$89,5,0)</f>
        <v>16.434982021627992</v>
      </c>
      <c r="AK18" s="14">
        <f t="shared" si="35"/>
        <v>5.4677136175486121</v>
      </c>
      <c r="AL18" s="22">
        <f t="shared" si="4"/>
        <v>38.147194904899251</v>
      </c>
      <c r="AM18" s="62">
        <f t="shared" si="5"/>
        <v>313.14719490489927</v>
      </c>
      <c r="AN18" s="62">
        <f ca="1">AVERAGE(OFFSET($AM$3,0,0,'Données projet'!$E$10+1,1))-AVERAGE(OFFSET($H$3,0,0,'Données projet'!$E$10+1,1))</f>
        <v>259.74478933784656</v>
      </c>
      <c r="AO18" s="62">
        <f t="shared" si="36"/>
        <v>223.74038909289646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15.7</v>
      </c>
      <c r="N19" s="14">
        <f>IF('Données projet'!$A$36&gt;35,N18+M19-V18,IF(A19&lt;'Données projet'!$A$36,$K$205^A19,IF(A19='Données projet'!$A$36,'Données projet'!$B$36,N18+M19-V18)))</f>
        <v>99.436016664944759</v>
      </c>
      <c r="O19" s="14">
        <f>N19*VLOOKUP('Données projet'!$B$9,Paramètres!$A$1:$I$89,3,0)*VLOOKUP('Données projet'!$B$9,Paramètres!$A$1:$I$89,5,0)</f>
        <v>50.569180635124312</v>
      </c>
      <c r="P19" s="14">
        <f t="shared" si="33"/>
        <v>14.760656067652507</v>
      </c>
      <c r="Q19" s="22">
        <f t="shared" si="2"/>
        <v>113.78279892400296</v>
      </c>
      <c r="R19" s="62">
        <f t="shared" si="0"/>
        <v>390.0050211462252</v>
      </c>
      <c r="S19" s="62">
        <f ca="1">AVERAGE(OFFSET($R$3,0,0,'Données projet'!$E$9+1,1))-AVERAGE(OFFSET($H$3,0,0,'Données projet'!$E$9+1,1))</f>
        <v>80.044039344639373</v>
      </c>
      <c r="T19" s="62">
        <f t="shared" si="34"/>
        <v>373.57883793591537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5.75</v>
      </c>
      <c r="AI19" s="14">
        <f>IF('Données projet'!$A$62&gt;35,AI18+AH19-AQ18,IF(A19&lt;'Données projet'!$A$62,$AF$205^A19,IF(A19='Données projet'!$A$62,'Données projet'!$B$62,AI18+AH19-AQ18)))</f>
        <v>44.52031948927695</v>
      </c>
      <c r="AJ19" s="14">
        <f>AI19*VLOOKUP('Données projet'!$B$10,Paramètres!$A$1:$I$89,3,0)*VLOOKUP('Données projet'!$B$10,Paramètres!$A$1:$I$89,5,0)</f>
        <v>20.835509520981613</v>
      </c>
      <c r="AK19" s="14">
        <f t="shared" si="35"/>
        <v>6.7429104192276883</v>
      </c>
      <c r="AL19" s="22">
        <f t="shared" si="4"/>
        <v>48.03241472919786</v>
      </c>
      <c r="AM19" s="62">
        <f t="shared" si="5"/>
        <v>324.25463695142008</v>
      </c>
      <c r="AN19" s="62">
        <f ca="1">AVERAGE(OFFSET($AM$3,0,0,'Données projet'!$E$10+1,1))-AVERAGE(OFFSET($H$3,0,0,'Données projet'!$E$10+1,1))</f>
        <v>259.74478933784656</v>
      </c>
      <c r="AO19" s="62">
        <f t="shared" si="36"/>
        <v>223.74038909289646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15.7</v>
      </c>
      <c r="N20" s="14">
        <f>IF('Données projet'!$A$36&gt;35,N19+M20-V19,IF(A20&lt;'Données projet'!$A$36,$K$205^A20,IF(A20='Données projet'!$A$36,'Données projet'!$B$36,N19+M20-V19)))</f>
        <v>132.55319519429952</v>
      </c>
      <c r="O20" s="14">
        <f>N20*VLOOKUP('Données projet'!$B$9,Paramètres!$A$1:$I$89,3,0)*VLOOKUP('Données projet'!$B$9,Paramètres!$A$1:$I$89,5,0)</f>
        <v>67.411252948012972</v>
      </c>
      <c r="P20" s="14">
        <f t="shared" si="33"/>
        <v>19.029177313238424</v>
      </c>
      <c r="Q20" s="22">
        <f t="shared" si="2"/>
        <v>150.55041603834616</v>
      </c>
      <c r="R20" s="62">
        <f t="shared" si="0"/>
        <v>427.99486048279061</v>
      </c>
      <c r="S20" s="62">
        <f ca="1">AVERAGE(OFFSET($R$3,0,0,'Données projet'!$E$9+1,1))-AVERAGE(OFFSET($H$3,0,0,'Données projet'!$E$9+1,1))</f>
        <v>80.044039344639373</v>
      </c>
      <c r="T20" s="62">
        <f t="shared" si="34"/>
        <v>373.57883793591537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5.75</v>
      </c>
      <c r="AI20" s="14">
        <f>IF('Données projet'!$A$62&gt;35,AI19+AH20-AQ19,IF(A20&lt;'Données projet'!$A$62,$AF$205^A20,IF(A20='Données projet'!$A$62,'Données projet'!$B$62,AI19+AH20-AQ19)))</f>
        <v>56.440800444763006</v>
      </c>
      <c r="AJ20" s="14">
        <f>AI20*VLOOKUP('Données projet'!$B$10,Paramètres!$A$1:$I$89,3,0)*VLOOKUP('Données projet'!$B$10,Paramètres!$A$1:$I$89,5,0)</f>
        <v>26.414294608149088</v>
      </c>
      <c r="AK20" s="14">
        <f t="shared" si="35"/>
        <v>8.3155124979120405</v>
      </c>
      <c r="AL20" s="22">
        <f t="shared" si="4"/>
        <v>60.487747376389791</v>
      </c>
      <c r="AM20" s="62">
        <f t="shared" si="5"/>
        <v>337.93219182083425</v>
      </c>
      <c r="AN20" s="62">
        <f ca="1">AVERAGE(OFFSET($AM$3,0,0,'Données projet'!$E$10+1,1))-AVERAGE(OFFSET($H$3,0,0,'Données projet'!$E$10+1,1))</f>
        <v>259.74478933784656</v>
      </c>
      <c r="AO20" s="62">
        <f t="shared" si="36"/>
        <v>223.74038909289646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15.7</v>
      </c>
      <c r="N21" s="14">
        <f>IF('Données projet'!$A$36&gt;35,N20+M21-V20,IF(A21&lt;'Données projet'!$A$36,$K$205^A21,IF(A21='Données projet'!$A$36,'Données projet'!$B$36,N20+M21-V20)))</f>
        <v>176.7000544221552</v>
      </c>
      <c r="O21" s="14">
        <f>N21*VLOOKUP('Données projet'!$B$9,Paramètres!$A$1:$I$89,3,0)*VLOOKUP('Données projet'!$B$9,Paramètres!$A$1:$I$89,5,0)</f>
        <v>89.862579676931261</v>
      </c>
      <c r="P21" s="14">
        <f t="shared" si="33"/>
        <v>24.532079574174173</v>
      </c>
      <c r="Q21" s="22">
        <f t="shared" si="2"/>
        <v>199.23736486234193</v>
      </c>
      <c r="R21" s="62">
        <f t="shared" si="0"/>
        <v>477.90403152900865</v>
      </c>
      <c r="S21" s="62">
        <f ca="1">AVERAGE(OFFSET($R$3,0,0,'Données projet'!$E$9+1,1))-AVERAGE(OFFSET($H$3,0,0,'Données projet'!$E$9+1,1))</f>
        <v>80.044039344639373</v>
      </c>
      <c r="T21" s="62">
        <f t="shared" si="34"/>
        <v>373.57883793591537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5.75</v>
      </c>
      <c r="AI21" s="14">
        <f>IF('Données projet'!$A$62&gt;35,AI20+AH21-AQ20,IF(A21&lt;'Données projet'!$A$62,$AF$205^A21,IF(A21='Données projet'!$A$62,'Données projet'!$B$62,AI20+AH21-AQ20)))</f>
        <v>71.55303446582019</v>
      </c>
      <c r="AJ21" s="14">
        <f>AI21*VLOOKUP('Données projet'!$B$10,Paramètres!$A$1:$I$89,3,0)*VLOOKUP('Données projet'!$B$10,Paramètres!$A$1:$I$89,5,0)</f>
        <v>33.486820130003849</v>
      </c>
      <c r="AK21" s="14">
        <f t="shared" si="35"/>
        <v>10.254881616957807</v>
      </c>
      <c r="AL21" s="22">
        <f t="shared" si="4"/>
        <v>76.183463875958196</v>
      </c>
      <c r="AM21" s="62">
        <f t="shared" si="5"/>
        <v>354.85013054262487</v>
      </c>
      <c r="AN21" s="62">
        <f ca="1">AVERAGE(OFFSET($AM$3,0,0,'Données projet'!$E$10+1,1))-AVERAGE(OFFSET($H$3,0,0,'Données projet'!$E$10+1,1))</f>
        <v>259.74478933784656</v>
      </c>
      <c r="AO21" s="62">
        <f t="shared" si="36"/>
        <v>223.74038909289646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15.7</v>
      </c>
      <c r="N22" s="14">
        <f>IF('Données projet'!$A$36&gt;35,N21+M22-V21,IF(A22&lt;'Données projet'!$A$36,$K$205^A22,IF(A22='Données projet'!$A$36,'Données projet'!$B$36,N21+M22-V21)))</f>
        <v>235.55003096700423</v>
      </c>
      <c r="O22" s="14">
        <f>N22*VLOOKUP('Données projet'!$B$9,Paramètres!$A$1:$I$89,3,0)*VLOOKUP('Données projet'!$B$9,Paramètres!$A$1:$I$89,5,0)</f>
        <v>119.79132374857967</v>
      </c>
      <c r="P22" s="14">
        <f t="shared" si="33"/>
        <v>31.62632405631803</v>
      </c>
      <c r="Q22" s="22">
        <f t="shared" si="2"/>
        <v>263.71906992686348</v>
      </c>
      <c r="R22" s="62">
        <f t="shared" si="0"/>
        <v>543.60795881575234</v>
      </c>
      <c r="S22" s="62">
        <f ca="1">AVERAGE(OFFSET($R$3,0,0,'Données projet'!$E$9+1,1))-AVERAGE(OFFSET($H$3,0,0,'Données projet'!$E$9+1,1))</f>
        <v>80.044039344639373</v>
      </c>
      <c r="T22" s="62">
        <f t="shared" si="34"/>
        <v>373.57883793591537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5.75</v>
      </c>
      <c r="AI22" s="14">
        <f>IF('Données projet'!$A$62&gt;35,AI21+AH22-AQ21,IF(A22&lt;'Données projet'!$A$62,$AF$205^A22,IF(A22='Données projet'!$A$62,'Données projet'!$B$62,AI21+AH22-AQ21)))</f>
        <v>90.711625294497551</v>
      </c>
      <c r="AJ22" s="14">
        <f>AI22*VLOOKUP('Données projet'!$B$10,Paramètres!$A$1:$I$89,3,0)*VLOOKUP('Données projet'!$B$10,Paramètres!$A$1:$I$89,5,0)</f>
        <v>42.453040637824856</v>
      </c>
      <c r="AK22" s="14">
        <f t="shared" si="35"/>
        <v>12.646556301156998</v>
      </c>
      <c r="AL22" s="22">
        <f t="shared" si="4"/>
        <v>95.96513133539338</v>
      </c>
      <c r="AM22" s="62">
        <f t="shared" si="5"/>
        <v>375.85402022428224</v>
      </c>
      <c r="AN22" s="62">
        <f ca="1">AVERAGE(OFFSET($AM$3,0,0,'Données projet'!$E$10+1,1))-AVERAGE(OFFSET($H$3,0,0,'Données projet'!$E$10+1,1))</f>
        <v>259.74478933784656</v>
      </c>
      <c r="AO22" s="62">
        <f t="shared" si="36"/>
        <v>223.74038909289646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314</v>
      </c>
      <c r="L23" s="13">
        <f>VLOOKUP(A23,'Données projet'!$A$35:$I$55,9,0)</f>
        <v>15.7</v>
      </c>
      <c r="M23" s="13">
        <f t="array" ref="M23">INDEX(L:L,MIN(IF(ISNUMBER(L23:L219),ROW(L23:L219),"")))</f>
        <v>15.7</v>
      </c>
      <c r="N23" s="14">
        <f>IF('Données projet'!$A$36&gt;35,N22+M23-V22,IF(A23&lt;'Données projet'!$A$36,$K$205^A23,IF(A23='Données projet'!$A$36,'Données projet'!$B$36,N22+M23-V22)))</f>
        <v>314</v>
      </c>
      <c r="O23" s="14">
        <f>N23*VLOOKUP('Données projet'!$B$9,Paramètres!$A$1:$I$89,3,0)*VLOOKUP('Données projet'!$B$9,Paramètres!$A$1:$I$89,5,0)</f>
        <v>159.68784000000002</v>
      </c>
      <c r="P23" s="14">
        <f t="shared" si="33"/>
        <v>40.772098846777567</v>
      </c>
      <c r="Q23" s="22">
        <f t="shared" si="2"/>
        <v>349.13439349147097</v>
      </c>
      <c r="R23" s="62">
        <f t="shared" si="0"/>
        <v>630.24550460258206</v>
      </c>
      <c r="S23" s="62">
        <f ca="1">AVERAGE(OFFSET($R$3,0,0,'Données projet'!$E$9+1,1))-AVERAGE(OFFSET($H$3,0,0,'Données projet'!$E$9+1,1))</f>
        <v>80.044039344639373</v>
      </c>
      <c r="T23" s="62">
        <f t="shared" si="34"/>
        <v>373.57883793591537</v>
      </c>
      <c r="U23" s="16">
        <f>IF(ISNA(VLOOKUP(A23,'Données projet'!$A$35:$I$55,3,0)),0,VLOOKUP(A23,'Données projet'!$A$35:$I$55,3,0))</f>
        <v>1</v>
      </c>
      <c r="V23" s="16">
        <f>IF(ISNA(VLOOKUP(A23,'Données projet'!$A$35:$I$55,4,0)),0,VLOOKUP(A23,'Données projet'!$A$35:$I$55,4,0))</f>
        <v>314</v>
      </c>
      <c r="W23" s="17">
        <f>IF(ISNA(VLOOKUP(A23,'Données projet'!$A$35:$I$55,5,0)),0%,VLOOKUP(A23,'Données projet'!$A$35:$I$55,5,0)*VLOOKUP('Données projet'!$B$9,Paramètres!$A$1:$I$89,7,0))</f>
        <v>0.33</v>
      </c>
      <c r="X23" s="78">
        <f>IF(ISNA(VLOOKUP(A23,'Données projet'!$A$35:$I$55,6,0)),0%,VLOOKUP(A23,'Données projet'!$A$35:$I$55,6,0)*VLOOKUP('Données projet'!$B$9,Paramètres!$A$1:$I$89,7,0))</f>
        <v>0.13500000000000001</v>
      </c>
      <c r="Y23" s="17">
        <f>IF(ISNA(VLOOKUP(A23,'Données projet'!$A$35:$I$55,7,0)),0%,VLOOKUP(A23,'Données projet'!$A$35:$I$55,7,0))</f>
        <v>0.22</v>
      </c>
      <c r="Z23" s="23">
        <f>EXP(-LN(2)/35)*Z22+(1-EXP(-LN(2)/35))/(LN(2)/35)*V23*W23*VLOOKUP('Données projet'!$B$9,Paramètres!$A$1:$I$89,3,0)*0.475*44/12</f>
        <v>58.254958440227021</v>
      </c>
      <c r="AA23" s="23">
        <f>EXP(-LN(2)/25)*AA22+(1-EXP(-LN(2)/25))/(LN(2)/25)*Calculateur!V23*Calculateur!X23*VLOOKUP('Données projet'!$B$9,Paramètres!$A$1:$I$89,3,0)*0.475*44/12</f>
        <v>23.737739920350737</v>
      </c>
      <c r="AB23" s="23">
        <f>EXP(-LN(2)/2)*AB22+(1-EXP(-LN(2)/2))/(LN(2)/2)*V23*Y23*VLOOKUP('Données projet'!$B$9,Paramètres!$A$1:$I$89,3,0)*0.475*44/12</f>
        <v>33.147350494543765</v>
      </c>
      <c r="AC23" s="24">
        <f t="shared" si="3"/>
        <v>115.14004885512153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115</v>
      </c>
      <c r="AG23" s="13">
        <f>VLOOKUP(A23,'Données projet'!$A$61:$I$81,9,0)</f>
        <v>5.75</v>
      </c>
      <c r="AH23" s="13">
        <f t="array" ref="AH23">INDEX(AG:AG,MIN(IF(ISNUMBER(AG23:AG219),ROW(AG23:AG219),"")))</f>
        <v>5.75</v>
      </c>
      <c r="AI23" s="14">
        <f>IF('Données projet'!$A$62&gt;35,AI22+AH23-AQ22,IF(A23&lt;'Données projet'!$A$62,$AF$205^A23,IF(A23='Données projet'!$A$62,'Données projet'!$B$62,AI22+AH23-AQ22)))</f>
        <v>115</v>
      </c>
      <c r="AJ23" s="14">
        <f>AI23*VLOOKUP('Données projet'!$B$10,Paramètres!$A$1:$I$89,3,0)*VLOOKUP('Données projet'!$B$10,Paramètres!$A$1:$I$89,5,0)</f>
        <v>53.82</v>
      </c>
      <c r="AK23" s="14">
        <f t="shared" si="35"/>
        <v>15.596024630246266</v>
      </c>
      <c r="AL23" s="22">
        <f t="shared" si="4"/>
        <v>120.89957623101225</v>
      </c>
      <c r="AM23" s="62">
        <f t="shared" si="5"/>
        <v>402.01068734212339</v>
      </c>
      <c r="AN23" s="62">
        <f ca="1">AVERAGE(OFFSET($AM$3,0,0,'Données projet'!$E$10+1,1))-AVERAGE(OFFSET($H$3,0,0,'Données projet'!$E$10+1,1))</f>
        <v>259.74478933784656</v>
      </c>
      <c r="AO23" s="62">
        <f t="shared" si="36"/>
        <v>223.74038909289646</v>
      </c>
      <c r="AP23" s="16">
        <f>IF(ISNA(VLOOKUP(A23,'Données projet'!$A$61:$I$81,3,0)),0,VLOOKUP(A23,'Données projet'!$A$61:$I$81,3,0))</f>
        <v>1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0.33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0.4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0</v>
      </c>
      <c r="N24" s="14">
        <f>IF('Données projet'!$A$36&gt;35,N23+M24-V23,IF(A24&lt;'Données projet'!$A$36,$K$205^A24,IF(A24='Données projet'!$A$36,'Données projet'!$B$36,N23+M24-V23)))</f>
        <v>0</v>
      </c>
      <c r="O24" s="14">
        <f>N24*VLOOKUP('Données projet'!$B$9,Paramètres!$A$1:$I$89,3,0)*VLOOKUP('Données projet'!$B$9,Paramètres!$A$1:$I$89,5,0)</f>
        <v>0</v>
      </c>
      <c r="P24" s="14" t="e">
        <f t="shared" si="33"/>
        <v>#NUM!</v>
      </c>
      <c r="Q24" s="22" t="e">
        <f t="shared" si="2"/>
        <v>#NUM!</v>
      </c>
      <c r="R24" s="62" t="e">
        <f t="shared" si="0"/>
        <v>#NUM!</v>
      </c>
      <c r="S24" s="62">
        <f ca="1">AVERAGE(OFFSET($R$3,0,0,'Données projet'!$E$9+1,1))-AVERAGE(OFFSET($H$3,0,0,'Données projet'!$E$9+1,1))</f>
        <v>80.044039344639373</v>
      </c>
      <c r="T24" s="62">
        <f t="shared" si="34"/>
        <v>373.57883793591537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57.112614237230325</v>
      </c>
      <c r="AA24" s="23">
        <f>EXP(-LN(2)/25)*AA23+(1-EXP(-LN(2)/25))/(LN(2)/25)*Calculateur!V24*Calculateur!X24*VLOOKUP('Données projet'!$B$9,Paramètres!$A$1:$I$89,3,0)*0.475*44/12</f>
        <v>23.088630173915256</v>
      </c>
      <c r="AB24" s="23">
        <f>EXP(-LN(2)/2)*AB23+(1-EXP(-LN(2)/2))/(LN(2)/2)*V24*Y24*VLOOKUP('Données projet'!$B$9,Paramètres!$A$1:$I$89,3,0)*0.475*44/12</f>
        <v>23.438716313059157</v>
      </c>
      <c r="AC24" s="24">
        <f t="shared" si="3"/>
        <v>103.63996072420474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6.5</v>
      </c>
      <c r="AI24" s="14">
        <f>IF('Données projet'!$A$62&gt;35,AI23+AH24-AQ23,IF(A24&lt;'Données projet'!$A$62,$AF$205^A24,IF(A24='Données projet'!$A$62,'Données projet'!$B$62,AI23+AH24-AQ23)))</f>
        <v>121.5</v>
      </c>
      <c r="AJ24" s="14">
        <f>AI24*VLOOKUP('Données projet'!$B$10,Paramètres!$A$1:$I$89,3,0)*VLOOKUP('Données projet'!$B$10,Paramètres!$A$1:$I$89,5,0)</f>
        <v>56.861999999999995</v>
      </c>
      <c r="AK24" s="14">
        <f t="shared" si="35"/>
        <v>16.372420859571687</v>
      </c>
      <c r="AL24" s="22">
        <f t="shared" si="4"/>
        <v>127.54994966375402</v>
      </c>
      <c r="AM24" s="62">
        <f t="shared" si="5"/>
        <v>409.88328299708735</v>
      </c>
      <c r="AN24" s="62">
        <f ca="1">AVERAGE(OFFSET($AM$3,0,0,'Données projet'!$E$10+1,1))-AVERAGE(OFFSET($H$3,0,0,'Données projet'!$E$10+1,1))</f>
        <v>259.74478933784656</v>
      </c>
      <c r="AO24" s="62">
        <f t="shared" si="36"/>
        <v>223.74038909289646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0</v>
      </c>
      <c r="N25" s="14">
        <f>IF('Données projet'!$A$36&gt;35,N24+M25-V24,IF(A25&lt;'Données projet'!$A$36,$K$205^A25,IF(A25='Données projet'!$A$36,'Données projet'!$B$36,N24+M25-V24)))</f>
        <v>0</v>
      </c>
      <c r="O25" s="14">
        <f>N25*VLOOKUP('Données projet'!$B$9,Paramètres!$A$1:$I$89,3,0)*VLOOKUP('Données projet'!$B$9,Paramètres!$A$1:$I$89,5,0)</f>
        <v>0</v>
      </c>
      <c r="P25" s="14" t="e">
        <f t="shared" si="33"/>
        <v>#NUM!</v>
      </c>
      <c r="Q25" s="22" t="e">
        <f t="shared" si="2"/>
        <v>#NUM!</v>
      </c>
      <c r="R25" s="62" t="e">
        <f t="shared" si="0"/>
        <v>#NUM!</v>
      </c>
      <c r="S25" s="62">
        <f ca="1">AVERAGE(OFFSET($R$3,0,0,'Données projet'!$E$9+1,1))-AVERAGE(OFFSET($H$3,0,0,'Données projet'!$E$9+1,1))</f>
        <v>80.044039344639373</v>
      </c>
      <c r="T25" s="62">
        <f t="shared" si="34"/>
        <v>373.57883793591537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55.992670707293229</v>
      </c>
      <c r="AA25" s="23">
        <f>EXP(-LN(2)/25)*AA24+(1-EXP(-LN(2)/25))/(LN(2)/25)*Calculateur!V25*Calculateur!X25*VLOOKUP('Données projet'!$B$9,Paramètres!$A$1:$I$89,3,0)*0.475*44/12</f>
        <v>22.457270367631253</v>
      </c>
      <c r="AB25" s="23">
        <f>EXP(-LN(2)/2)*AB24+(1-EXP(-LN(2)/2))/(LN(2)/2)*V25*Y25*VLOOKUP('Données projet'!$B$9,Paramètres!$A$1:$I$89,3,0)*0.475*44/12</f>
        <v>16.573675247271883</v>
      </c>
      <c r="AC25" s="24">
        <f t="shared" si="3"/>
        <v>95.023616322196361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6.5</v>
      </c>
      <c r="AI25" s="14">
        <f>IF('Données projet'!$A$62&gt;35,AI24+AH25-AQ24,IF(A25&lt;'Données projet'!$A$62,$AF$205^A25,IF(A25='Données projet'!$A$62,'Données projet'!$B$62,AI24+AH25-AQ24)))</f>
        <v>128</v>
      </c>
      <c r="AJ25" s="14">
        <f>AI25*VLOOKUP('Données projet'!$B$10,Paramètres!$A$1:$I$89,3,0)*VLOOKUP('Données projet'!$B$10,Paramètres!$A$1:$I$89,5,0)</f>
        <v>59.903999999999996</v>
      </c>
      <c r="AK25" s="14">
        <f t="shared" si="35"/>
        <v>17.143994938960184</v>
      </c>
      <c r="AL25" s="22">
        <f t="shared" si="4"/>
        <v>134.19192451868898</v>
      </c>
      <c r="AM25" s="62">
        <f t="shared" si="5"/>
        <v>417.74748007424455</v>
      </c>
      <c r="AN25" s="62">
        <f ca="1">AVERAGE(OFFSET($AM$3,0,0,'Données projet'!$E$10+1,1))-AVERAGE(OFFSET($H$3,0,0,'Données projet'!$E$10+1,1))</f>
        <v>259.74478933784656</v>
      </c>
      <c r="AO25" s="62">
        <f t="shared" si="36"/>
        <v>223.74038909289646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0</v>
      </c>
      <c r="N26" s="14">
        <f>IF('Données projet'!$A$36&gt;35,N25+M26-V25,IF(A26&lt;'Données projet'!$A$36,$K$205^A26,IF(A26='Données projet'!$A$36,'Données projet'!$B$36,N25+M26-V25)))</f>
        <v>0</v>
      </c>
      <c r="O26" s="14">
        <f>N26*VLOOKUP('Données projet'!$B$9,Paramètres!$A$1:$I$89,3,0)*VLOOKUP('Données projet'!$B$9,Paramètres!$A$1:$I$89,5,0)</f>
        <v>0</v>
      </c>
      <c r="P26" s="14" t="e">
        <f t="shared" si="33"/>
        <v>#NUM!</v>
      </c>
      <c r="Q26" s="22" t="e">
        <f t="shared" si="2"/>
        <v>#NUM!</v>
      </c>
      <c r="R26" s="62" t="e">
        <f t="shared" si="0"/>
        <v>#NUM!</v>
      </c>
      <c r="S26" s="62">
        <f ca="1">AVERAGE(OFFSET($R$3,0,0,'Données projet'!$E$9+1,1))-AVERAGE(OFFSET($H$3,0,0,'Données projet'!$E$9+1,1))</f>
        <v>80.044039344639373</v>
      </c>
      <c r="T26" s="62">
        <f t="shared" si="34"/>
        <v>373.57883793591537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54.894688586880093</v>
      </c>
      <c r="AA26" s="23">
        <f>EXP(-LN(2)/25)*AA25+(1-EXP(-LN(2)/25))/(LN(2)/25)*Calculateur!V26*Calculateur!X26*VLOOKUP('Données projet'!$B$9,Paramètres!$A$1:$I$89,3,0)*0.475*44/12</f>
        <v>21.843175128451854</v>
      </c>
      <c r="AB26" s="23">
        <f>EXP(-LN(2)/2)*AB25+(1-EXP(-LN(2)/2))/(LN(2)/2)*V26*Y26*VLOOKUP('Données projet'!$B$9,Paramètres!$A$1:$I$89,3,0)*0.475*44/12</f>
        <v>11.719358156529578</v>
      </c>
      <c r="AC26" s="24">
        <f t="shared" si="3"/>
        <v>88.45722187186152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6.5</v>
      </c>
      <c r="AI26" s="14">
        <f>IF('Données projet'!$A$62&gt;35,AI25+AH26-AQ25,IF(A26&lt;'Données projet'!$A$62,$AF$205^A26,IF(A26='Données projet'!$A$62,'Données projet'!$B$62,AI25+AH26-AQ25)))</f>
        <v>134.5</v>
      </c>
      <c r="AJ26" s="14">
        <f>AI26*VLOOKUP('Données projet'!$B$10,Paramètres!$A$1:$I$89,3,0)*VLOOKUP('Données projet'!$B$10,Paramètres!$A$1:$I$89,5,0)</f>
        <v>62.946000000000005</v>
      </c>
      <c r="AK26" s="14">
        <f t="shared" si="35"/>
        <v>17.911019680519331</v>
      </c>
      <c r="AL26" s="22">
        <f t="shared" si="4"/>
        <v>140.82597594357114</v>
      </c>
      <c r="AM26" s="62">
        <f t="shared" si="5"/>
        <v>425.60375372134888</v>
      </c>
      <c r="AN26" s="62">
        <f ca="1">AVERAGE(OFFSET($AM$3,0,0,'Données projet'!$E$10+1,1))-AVERAGE(OFFSET($H$3,0,0,'Données projet'!$E$10+1,1))</f>
        <v>259.74478933784656</v>
      </c>
      <c r="AO26" s="62">
        <f t="shared" si="36"/>
        <v>223.74038909289646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0</v>
      </c>
      <c r="N27" s="14">
        <f>IF('Données projet'!$A$36&gt;35,N26+M27-V26,IF(A27&lt;'Données projet'!$A$36,$K$205^A27,IF(A27='Données projet'!$A$36,'Données projet'!$B$36,N26+M27-V26)))</f>
        <v>0</v>
      </c>
      <c r="O27" s="14">
        <f>N27*VLOOKUP('Données projet'!$B$9,Paramètres!$A$1:$I$89,3,0)*VLOOKUP('Données projet'!$B$9,Paramètres!$A$1:$I$89,5,0)</f>
        <v>0</v>
      </c>
      <c r="P27" s="14" t="e">
        <f t="shared" si="33"/>
        <v>#NUM!</v>
      </c>
      <c r="Q27" s="22" t="e">
        <f t="shared" si="2"/>
        <v>#NUM!</v>
      </c>
      <c r="R27" s="62" t="e">
        <f t="shared" si="0"/>
        <v>#NUM!</v>
      </c>
      <c r="S27" s="62">
        <f ca="1">AVERAGE(OFFSET($R$3,0,0,'Données projet'!$E$9+1,1))-AVERAGE(OFFSET($H$3,0,0,'Données projet'!$E$9+1,1))</f>
        <v>80.044039344639373</v>
      </c>
      <c r="T27" s="62">
        <f t="shared" si="34"/>
        <v>373.57883793591537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53.818237226145293</v>
      </c>
      <c r="AA27" s="23">
        <f>EXP(-LN(2)/25)*AA26+(1-EXP(-LN(2)/25))/(LN(2)/25)*Calculateur!V27*Calculateur!X27*VLOOKUP('Données projet'!$B$9,Paramètres!$A$1:$I$89,3,0)*0.475*44/12</f>
        <v>21.24587235588168</v>
      </c>
      <c r="AB27" s="23">
        <f>EXP(-LN(2)/2)*AB26+(1-EXP(-LN(2)/2))/(LN(2)/2)*V27*Y27*VLOOKUP('Données projet'!$B$9,Paramètres!$A$1:$I$89,3,0)*0.475*44/12</f>
        <v>8.2868376236359413</v>
      </c>
      <c r="AC27" s="24">
        <f t="shared" si="3"/>
        <v>83.350947205662919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6.5</v>
      </c>
      <c r="AI27" s="14">
        <f>IF('Données projet'!$A$62&gt;35,AI26+AH27-AQ26,IF(A27&lt;'Données projet'!$A$62,$AF$205^A27,IF(A27='Données projet'!$A$62,'Données projet'!$B$62,AI26+AH27-AQ26)))</f>
        <v>141</v>
      </c>
      <c r="AJ27" s="14">
        <f>AI27*VLOOKUP('Données projet'!$B$10,Paramètres!$A$1:$I$89,3,0)*VLOOKUP('Données projet'!$B$10,Paramètres!$A$1:$I$89,5,0)</f>
        <v>65.988</v>
      </c>
      <c r="AK27" s="14">
        <f t="shared" si="35"/>
        <v>18.67374003807944</v>
      </c>
      <c r="AL27" s="22">
        <f t="shared" si="4"/>
        <v>147.45253056632168</v>
      </c>
      <c r="AM27" s="62">
        <f t="shared" si="5"/>
        <v>433.45253056632168</v>
      </c>
      <c r="AN27" s="62">
        <f ca="1">AVERAGE(OFFSET($AM$3,0,0,'Données projet'!$E$10+1,1))-AVERAGE(OFFSET($H$3,0,0,'Données projet'!$E$10+1,1))</f>
        <v>259.74478933784656</v>
      </c>
      <c r="AO27" s="62">
        <f t="shared" si="36"/>
        <v>223.74038909289646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0</v>
      </c>
      <c r="N28" s="14">
        <f>IF('Données projet'!$A$36&gt;35,N27+M28-V27,IF(A28&lt;'Données projet'!$A$36,$K$205^A28,IF(A28='Données projet'!$A$36,'Données projet'!$B$36,N27+M28-V27)))</f>
        <v>0</v>
      </c>
      <c r="O28" s="14">
        <f>N28*VLOOKUP('Données projet'!$B$9,Paramètres!$A$1:$I$89,3,0)*VLOOKUP('Données projet'!$B$9,Paramètres!$A$1:$I$89,5,0)</f>
        <v>0</v>
      </c>
      <c r="P28" s="14" t="e">
        <f t="shared" si="33"/>
        <v>#NUM!</v>
      </c>
      <c r="Q28" s="22" t="e">
        <f t="shared" si="2"/>
        <v>#NUM!</v>
      </c>
      <c r="R28" s="62" t="e">
        <f t="shared" si="0"/>
        <v>#NUM!</v>
      </c>
      <c r="S28" s="62">
        <f ca="1">AVERAGE(OFFSET($R$3,0,0,'Données projet'!$E$9+1,1))-AVERAGE(OFFSET($H$3,0,0,'Données projet'!$E$9+1,1))</f>
        <v>80.044039344639373</v>
      </c>
      <c r="T28" s="62">
        <f t="shared" si="34"/>
        <v>373.57883793591537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52.762894420024004</v>
      </c>
      <c r="AA28" s="23">
        <f>EXP(-LN(2)/25)*AA27+(1-EXP(-LN(2)/25))/(LN(2)/25)*Calculateur!V28*Calculateur!X28*VLOOKUP('Données projet'!$B$9,Paramètres!$A$1:$I$89,3,0)*0.475*44/12</f>
        <v>20.664902859038225</v>
      </c>
      <c r="AB28" s="23">
        <f>EXP(-LN(2)/2)*AB27+(1-EXP(-LN(2)/2))/(LN(2)/2)*V28*Y28*VLOOKUP('Données projet'!$B$9,Paramètres!$A$1:$I$89,3,0)*0.475*44/12</f>
        <v>5.8596790782647892</v>
      </c>
      <c r="AC28" s="24">
        <f t="shared" si="3"/>
        <v>79.287476357327023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6.5</v>
      </c>
      <c r="AI28" s="14">
        <f>IF('Données projet'!$A$62&gt;35,AI27+AH28-AQ27,IF(A28&lt;'Données projet'!$A$62,$AF$205^A28,IF(A28='Données projet'!$A$62,'Données projet'!$B$62,AI27+AH28-AQ27)))</f>
        <v>147.5</v>
      </c>
      <c r="AJ28" s="14">
        <f>AI28*VLOOKUP('Données projet'!$B$10,Paramètres!$A$1:$I$89,3,0)*VLOOKUP('Données projet'!$B$10,Paramètres!$A$1:$I$89,5,0)</f>
        <v>69.03</v>
      </c>
      <c r="AK28" s="14">
        <f t="shared" si="35"/>
        <v>19.432377104615718</v>
      </c>
      <c r="AL28" s="22">
        <f t="shared" si="4"/>
        <v>154.0719734572057</v>
      </c>
      <c r="AM28" s="62">
        <f t="shared" si="5"/>
        <v>441.29419567942796</v>
      </c>
      <c r="AN28" s="62">
        <f ca="1">AVERAGE(OFFSET($AM$3,0,0,'Données projet'!$E$10+1,1))-AVERAGE(OFFSET($H$3,0,0,'Données projet'!$E$10+1,1))</f>
        <v>259.74478933784656</v>
      </c>
      <c r="AO28" s="62">
        <f t="shared" si="36"/>
        <v>223.74038909289646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0</v>
      </c>
      <c r="N29" s="14">
        <f>IF('Données projet'!$A$36&gt;35,N28+M29-V28,IF(A29&lt;'Données projet'!$A$36,$K$205^A29,IF(A29='Données projet'!$A$36,'Données projet'!$B$36,N28+M29-V28)))</f>
        <v>0</v>
      </c>
      <c r="O29" s="14">
        <f>N29*VLOOKUP('Données projet'!$B$9,Paramètres!$A$1:$I$89,3,0)*VLOOKUP('Données projet'!$B$9,Paramètres!$A$1:$I$89,5,0)</f>
        <v>0</v>
      </c>
      <c r="P29" s="14" t="e">
        <f t="shared" si="33"/>
        <v>#NUM!</v>
      </c>
      <c r="Q29" s="22" t="e">
        <f t="shared" si="2"/>
        <v>#NUM!</v>
      </c>
      <c r="R29" s="62" t="e">
        <f t="shared" si="0"/>
        <v>#NUM!</v>
      </c>
      <c r="S29" s="62">
        <f ca="1">AVERAGE(OFFSET($R$3,0,0,'Données projet'!$E$9+1,1))-AVERAGE(OFFSET($H$3,0,0,'Données projet'!$E$9+1,1))</f>
        <v>80.044039344639373</v>
      </c>
      <c r="T29" s="62">
        <f t="shared" si="34"/>
        <v>373.57883793591537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51.728246242635201</v>
      </c>
      <c r="AA29" s="23">
        <f>EXP(-LN(2)/25)*AA28+(1-EXP(-LN(2)/25))/(LN(2)/25)*Calculateur!V29*Calculateur!X29*VLOOKUP('Données projet'!$B$9,Paramètres!$A$1:$I$89,3,0)*0.475*44/12</f>
        <v>20.099820003637813</v>
      </c>
      <c r="AB29" s="23">
        <f>EXP(-LN(2)/2)*AB28+(1-EXP(-LN(2)/2))/(LN(2)/2)*V29*Y29*VLOOKUP('Données projet'!$B$9,Paramètres!$A$1:$I$89,3,0)*0.475*44/12</f>
        <v>4.1434188118179707</v>
      </c>
      <c r="AC29" s="24">
        <f t="shared" si="3"/>
        <v>75.971485058090977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6.5</v>
      </c>
      <c r="AI29" s="14">
        <f>IF('Données projet'!$A$62&gt;35,AI28+AH29-AQ28,IF(A29&lt;'Données projet'!$A$62,$AF$205^A29,IF(A29='Données projet'!$A$62,'Données projet'!$B$62,AI28+AH29-AQ28)))</f>
        <v>154</v>
      </c>
      <c r="AJ29" s="14">
        <f>AI29*VLOOKUP('Données projet'!$B$10,Paramètres!$A$1:$I$89,3,0)*VLOOKUP('Données projet'!$B$10,Paramètres!$A$1:$I$89,5,0)</f>
        <v>72.072000000000003</v>
      </c>
      <c r="AK29" s="14">
        <f t="shared" si="35"/>
        <v>20.187131385147271</v>
      </c>
      <c r="AL29" s="22">
        <f t="shared" si="4"/>
        <v>160.68465382913149</v>
      </c>
      <c r="AM29" s="62">
        <f t="shared" si="5"/>
        <v>449.12909827357595</v>
      </c>
      <c r="AN29" s="62">
        <f ca="1">AVERAGE(OFFSET($AM$3,0,0,'Données projet'!$E$10+1,1))-AVERAGE(OFFSET($H$3,0,0,'Données projet'!$E$10+1,1))</f>
        <v>259.74478933784656</v>
      </c>
      <c r="AO29" s="62">
        <f t="shared" si="36"/>
        <v>223.74038909289646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0</v>
      </c>
      <c r="N30" s="14">
        <f>IF('Données projet'!$A$36&gt;35,N29+M30-V29,IF(A30&lt;'Données projet'!$A$36,$K$205^A30,IF(A30='Données projet'!$A$36,'Données projet'!$B$36,N29+M30-V29)))</f>
        <v>0</v>
      </c>
      <c r="O30" s="14">
        <f>N30*VLOOKUP('Données projet'!$B$9,Paramètres!$A$1:$I$89,3,0)*VLOOKUP('Données projet'!$B$9,Paramètres!$A$1:$I$89,5,0)</f>
        <v>0</v>
      </c>
      <c r="P30" s="14" t="e">
        <f t="shared" si="33"/>
        <v>#NUM!</v>
      </c>
      <c r="Q30" s="22" t="e">
        <f t="shared" si="2"/>
        <v>#NUM!</v>
      </c>
      <c r="R30" s="62" t="e">
        <f t="shared" si="0"/>
        <v>#NUM!</v>
      </c>
      <c r="S30" s="62">
        <f ca="1">AVERAGE(OFFSET($R$3,0,0,'Données projet'!$E$9+1,1))-AVERAGE(OFFSET($H$3,0,0,'Données projet'!$E$9+1,1))</f>
        <v>80.044039344639373</v>
      </c>
      <c r="T30" s="62">
        <f t="shared" si="34"/>
        <v>373.57883793591537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50.713886884931917</v>
      </c>
      <c r="AA30" s="23">
        <f>EXP(-LN(2)/25)*AA29+(1-EXP(-LN(2)/25))/(LN(2)/25)*Calculateur!V30*Calculateur!X30*VLOOKUP('Données projet'!$B$9,Paramètres!$A$1:$I$89,3,0)*0.475*44/12</f>
        <v>19.55018936863474</v>
      </c>
      <c r="AB30" s="23">
        <f>EXP(-LN(2)/2)*AB29+(1-EXP(-LN(2)/2))/(LN(2)/2)*V30*Y30*VLOOKUP('Données projet'!$B$9,Paramètres!$A$1:$I$89,3,0)*0.475*44/12</f>
        <v>2.9298395391323946</v>
      </c>
      <c r="AC30" s="24">
        <f t="shared" si="3"/>
        <v>73.193915792699045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6.5</v>
      </c>
      <c r="AI30" s="14">
        <f>IF('Données projet'!$A$62&gt;35,AI29+AH30-AQ29,IF(A30&lt;'Données projet'!$A$62,$AF$205^A30,IF(A30='Données projet'!$A$62,'Données projet'!$B$62,AI29+AH30-AQ29)))</f>
        <v>160.5</v>
      </c>
      <c r="AJ30" s="14">
        <f>AI30*VLOOKUP('Données projet'!$B$10,Paramètres!$A$1:$I$89,3,0)*VLOOKUP('Données projet'!$B$10,Paramètres!$A$1:$I$89,5,0)</f>
        <v>75.114000000000004</v>
      </c>
      <c r="AK30" s="14">
        <f t="shared" si="35"/>
        <v>20.938185501492693</v>
      </c>
      <c r="AL30" s="22">
        <f t="shared" si="4"/>
        <v>167.2908897484331</v>
      </c>
      <c r="AM30" s="62">
        <f t="shared" si="5"/>
        <v>456.95755641509982</v>
      </c>
      <c r="AN30" s="62">
        <f ca="1">AVERAGE(OFFSET($AM$3,0,0,'Données projet'!$E$10+1,1))-AVERAGE(OFFSET($H$3,0,0,'Données projet'!$E$10+1,1))</f>
        <v>259.74478933784656</v>
      </c>
      <c r="AO30" s="62">
        <f t="shared" si="36"/>
        <v>223.74038909289646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0</v>
      </c>
      <c r="N31" s="14">
        <f>IF('Données projet'!$A$36&gt;35,N30+M31-V30,IF(A31&lt;'Données projet'!$A$36,$K$205^A31,IF(A31='Données projet'!$A$36,'Données projet'!$B$36,N30+M31-V30)))</f>
        <v>0</v>
      </c>
      <c r="O31" s="14">
        <f>N31*VLOOKUP('Données projet'!$B$9,Paramètres!$A$1:$I$89,3,0)*VLOOKUP('Données projet'!$B$9,Paramètres!$A$1:$I$89,5,0)</f>
        <v>0</v>
      </c>
      <c r="P31" s="14" t="e">
        <f t="shared" si="33"/>
        <v>#NUM!</v>
      </c>
      <c r="Q31" s="22" t="e">
        <f t="shared" si="2"/>
        <v>#NUM!</v>
      </c>
      <c r="R31" s="62" t="e">
        <f t="shared" si="0"/>
        <v>#NUM!</v>
      </c>
      <c r="S31" s="62">
        <f ca="1">AVERAGE(OFFSET($R$3,0,0,'Données projet'!$E$9+1,1))-AVERAGE(OFFSET($H$3,0,0,'Données projet'!$E$9+1,1))</f>
        <v>80.044039344639373</v>
      </c>
      <c r="T31" s="62">
        <f t="shared" si="34"/>
        <v>373.57883793591537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49.719418495535081</v>
      </c>
      <c r="AA31" s="23">
        <f>EXP(-LN(2)/25)*AA30+(1-EXP(-LN(2)/25))/(LN(2)/25)*Calculateur!V31*Calculateur!X31*VLOOKUP('Données projet'!$B$9,Paramètres!$A$1:$I$89,3,0)*0.475*44/12</f>
        <v>19.015588412249645</v>
      </c>
      <c r="AB31" s="23">
        <f>EXP(-LN(2)/2)*AB30+(1-EXP(-LN(2)/2))/(LN(2)/2)*V31*Y31*VLOOKUP('Données projet'!$B$9,Paramètres!$A$1:$I$89,3,0)*0.475*44/12</f>
        <v>2.0717094059089853</v>
      </c>
      <c r="AC31" s="24">
        <f t="shared" si="3"/>
        <v>70.806716313693713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6.5</v>
      </c>
      <c r="AI31" s="14">
        <f>IF('Données projet'!$A$62&gt;35,AI30+AH31-AQ30,IF(A31&lt;'Données projet'!$A$62,$AF$205^A31,IF(A31='Données projet'!$A$62,'Données projet'!$B$62,AI30+AH31-AQ30)))</f>
        <v>167</v>
      </c>
      <c r="AJ31" s="14">
        <f>AI31*VLOOKUP('Données projet'!$B$10,Paramètres!$A$1:$I$89,3,0)*VLOOKUP('Données projet'!$B$10,Paramètres!$A$1:$I$89,5,0)</f>
        <v>78.156000000000006</v>
      </c>
      <c r="AK31" s="14">
        <f t="shared" si="35"/>
        <v>21.685706446534809</v>
      </c>
      <c r="AL31" s="22">
        <f t="shared" si="4"/>
        <v>173.89097206104813</v>
      </c>
      <c r="AM31" s="62">
        <f t="shared" si="5"/>
        <v>464.77986094993696</v>
      </c>
      <c r="AN31" s="62">
        <f ca="1">AVERAGE(OFFSET($AM$3,0,0,'Données projet'!$E$10+1,1))-AVERAGE(OFFSET($H$3,0,0,'Données projet'!$E$10+1,1))</f>
        <v>259.74478933784656</v>
      </c>
      <c r="AO31" s="62">
        <f t="shared" si="36"/>
        <v>223.74038909289646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0</v>
      </c>
      <c r="N32" s="14">
        <f>IF('Données projet'!$A$36&gt;35,N31+M32-V31,IF(A32&lt;'Données projet'!$A$36,$K$205^A32,IF(A32='Données projet'!$A$36,'Données projet'!$B$36,N31+M32-V31)))</f>
        <v>0</v>
      </c>
      <c r="O32" s="14">
        <f>N32*VLOOKUP('Données projet'!$B$9,Paramètres!$A$1:$I$89,3,0)*VLOOKUP('Données projet'!$B$9,Paramètres!$A$1:$I$89,5,0)</f>
        <v>0</v>
      </c>
      <c r="P32" s="14" t="e">
        <f t="shared" si="33"/>
        <v>#NUM!</v>
      </c>
      <c r="Q32" s="22" t="e">
        <f t="shared" si="2"/>
        <v>#NUM!</v>
      </c>
      <c r="R32" s="62" t="e">
        <f t="shared" si="0"/>
        <v>#NUM!</v>
      </c>
      <c r="S32" s="62">
        <f ca="1">AVERAGE(OFFSET($R$3,0,0,'Données projet'!$E$9+1,1))-AVERAGE(OFFSET($H$3,0,0,'Données projet'!$E$9+1,1))</f>
        <v>80.044039344639373</v>
      </c>
      <c r="T32" s="62">
        <f t="shared" si="34"/>
        <v>373.57883793591537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48.744451024688487</v>
      </c>
      <c r="AA32" s="23">
        <f>EXP(-LN(2)/25)*AA31+(1-EXP(-LN(2)/25))/(LN(2)/25)*Calculateur!V32*Calculateur!X32*VLOOKUP('Données projet'!$B$9,Paramètres!$A$1:$I$89,3,0)*0.475*44/12</f>
        <v>18.495606147130346</v>
      </c>
      <c r="AB32" s="23">
        <f>EXP(-LN(2)/2)*AB31+(1-EXP(-LN(2)/2))/(LN(2)/2)*V32*Y32*VLOOKUP('Données projet'!$B$9,Paramètres!$A$1:$I$89,3,0)*0.475*44/12</f>
        <v>1.4649197695661973</v>
      </c>
      <c r="AC32" s="24">
        <f t="shared" si="3"/>
        <v>68.704976941385027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6.5</v>
      </c>
      <c r="AI32" s="14">
        <f>IF('Données projet'!$A$62&gt;35,AI31+AH32-AQ31,IF(A32&lt;'Données projet'!$A$62,$AF$205^A32,IF(A32='Données projet'!$A$62,'Données projet'!$B$62,AI31+AH32-AQ31)))</f>
        <v>173.5</v>
      </c>
      <c r="AJ32" s="14">
        <f>AI32*VLOOKUP('Données projet'!$B$10,Paramètres!$A$1:$I$89,3,0)*VLOOKUP('Données projet'!$B$10,Paramètres!$A$1:$I$89,5,0)</f>
        <v>81.198000000000008</v>
      </c>
      <c r="AK32" s="14">
        <f t="shared" si="35"/>
        <v>22.429847477648512</v>
      </c>
      <c r="AL32" s="22">
        <f t="shared" si="4"/>
        <v>180.48516769023783</v>
      </c>
      <c r="AM32" s="62">
        <f t="shared" si="5"/>
        <v>472.59627880134894</v>
      </c>
      <c r="AN32" s="62">
        <f ca="1">AVERAGE(OFFSET($AM$3,0,0,'Données projet'!$E$10+1,1))-AVERAGE(OFFSET($H$3,0,0,'Données projet'!$E$10+1,1))</f>
        <v>259.74478933784656</v>
      </c>
      <c r="AO32" s="62">
        <f t="shared" si="36"/>
        <v>223.74038909289646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0</v>
      </c>
      <c r="N33" s="14">
        <f>IF('Données projet'!$A$36&gt;35,N32+M33-V32,IF(A33&lt;'Données projet'!$A$36,$K$205^A33,IF(A33='Données projet'!$A$36,'Données projet'!$B$36,N32+M33-V32)))</f>
        <v>0</v>
      </c>
      <c r="O33" s="14">
        <f>N33*VLOOKUP('Données projet'!$B$9,Paramètres!$A$1:$I$89,3,0)*VLOOKUP('Données projet'!$B$9,Paramètres!$A$1:$I$89,5,0)</f>
        <v>0</v>
      </c>
      <c r="P33" s="14" t="e">
        <f t="shared" si="33"/>
        <v>#NUM!</v>
      </c>
      <c r="Q33" s="22" t="e">
        <f t="shared" si="2"/>
        <v>#NUM!</v>
      </c>
      <c r="R33" s="62" t="e">
        <f t="shared" si="0"/>
        <v>#NUM!</v>
      </c>
      <c r="S33" s="62">
        <f ca="1">AVERAGE(OFFSET($R$3,0,0,'Données projet'!$E$9+1,1))-AVERAGE(OFFSET($H$3,0,0,'Données projet'!$E$9+1,1))</f>
        <v>80.044039344639373</v>
      </c>
      <c r="T33" s="62">
        <f t="shared" si="34"/>
        <v>373.57883793591537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47.788602071273758</v>
      </c>
      <c r="AA33" s="23">
        <f>EXP(-LN(2)/25)*AA32+(1-EXP(-LN(2)/25))/(LN(2)/25)*Calculateur!V33*Calculateur!X33*VLOOKUP('Données projet'!$B$9,Paramètres!$A$1:$I$89,3,0)*0.475*44/12</f>
        <v>17.98984282439541</v>
      </c>
      <c r="AB33" s="23">
        <f>EXP(-LN(2)/2)*AB32+(1-EXP(-LN(2)/2))/(LN(2)/2)*V33*Y33*VLOOKUP('Données projet'!$B$9,Paramètres!$A$1:$I$89,3,0)*0.475*44/12</f>
        <v>1.0358547029544927</v>
      </c>
      <c r="AC33" s="24">
        <f t="shared" si="3"/>
        <v>66.814299598623663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180</v>
      </c>
      <c r="AG33" s="13">
        <f>VLOOKUP(A33,'Données projet'!$A$61:$I$81,9,0)</f>
        <v>6.5</v>
      </c>
      <c r="AH33" s="13">
        <f t="array" ref="AH33">INDEX(AG:AG,MIN(IF(ISNUMBER(AG33:AG229),ROW(AG33:AG229),"")))</f>
        <v>6.5</v>
      </c>
      <c r="AI33" s="14">
        <f>IF('Données projet'!$A$62&gt;35,AI32+AH33-AQ32,IF(A33&lt;'Données projet'!$A$62,$AF$205^A33,IF(A33='Données projet'!$A$62,'Données projet'!$B$62,AI32+AH33-AQ32)))</f>
        <v>180</v>
      </c>
      <c r="AJ33" s="14">
        <f>AI33*VLOOKUP('Données projet'!$B$10,Paramètres!$A$1:$I$89,3,0)*VLOOKUP('Données projet'!$B$10,Paramètres!$A$1:$I$89,5,0)</f>
        <v>84.24</v>
      </c>
      <c r="AK33" s="14">
        <f t="shared" si="35"/>
        <v>23.170749718409468</v>
      </c>
      <c r="AL33" s="22">
        <f t="shared" si="4"/>
        <v>187.07372242622981</v>
      </c>
      <c r="AM33" s="62">
        <f t="shared" si="5"/>
        <v>480.40705575956315</v>
      </c>
      <c r="AN33" s="62">
        <f ca="1">AVERAGE(OFFSET($AM$3,0,0,'Données projet'!$E$10+1,1))-AVERAGE(OFFSET($H$3,0,0,'Données projet'!$E$10+1,1))</f>
        <v>259.74478933784656</v>
      </c>
      <c r="AO33" s="62">
        <f t="shared" si="36"/>
        <v>223.74038909289646</v>
      </c>
      <c r="AP33" s="16">
        <f>IF(ISNA(VLOOKUP(A33,'Données projet'!$A$61:$I$81,3,0)),0,VLOOKUP(A33,'Données projet'!$A$61:$I$81,3,0))</f>
        <v>2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0.44000000000000006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0.2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0</v>
      </c>
      <c r="O34" s="14">
        <f>N34*VLOOKUP('Données projet'!$B$9,Paramètres!$A$1:$I$89,3,0)*VLOOKUP('Données projet'!$B$9,Paramètres!$A$1:$I$89,5,0)</f>
        <v>0</v>
      </c>
      <c r="P34" s="14" t="e">
        <f t="shared" si="33"/>
        <v>#NUM!</v>
      </c>
      <c r="Q34" s="22" t="e">
        <f t="shared" si="2"/>
        <v>#NUM!</v>
      </c>
      <c r="R34" s="62" t="e">
        <f t="shared" si="0"/>
        <v>#NUM!</v>
      </c>
      <c r="S34" s="62">
        <f ca="1">AVERAGE(OFFSET($R$3,0,0,'Données projet'!$E$9+1,1))-AVERAGE(OFFSET($H$3,0,0,'Données projet'!$E$9+1,1))</f>
        <v>80.044039344639373</v>
      </c>
      <c r="T34" s="62">
        <f t="shared" si="34"/>
        <v>373.57883793591537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46.851496732825197</v>
      </c>
      <c r="AA34" s="23">
        <f>EXP(-LN(2)/25)*AA33+(1-EXP(-LN(2)/25))/(LN(2)/25)*Calculateur!V34*Calculateur!X34*VLOOKUP('Données projet'!$B$9,Paramètres!$A$1:$I$89,3,0)*0.475*44/12</f>
        <v>17.4979096263176</v>
      </c>
      <c r="AB34" s="23">
        <f>EXP(-LN(2)/2)*AB33+(1-EXP(-LN(2)/2))/(LN(2)/2)*V34*Y34*VLOOKUP('Données projet'!$B$9,Paramètres!$A$1:$I$89,3,0)*0.475*44/12</f>
        <v>0.73245988478309865</v>
      </c>
      <c r="AC34" s="24">
        <f t="shared" si="3"/>
        <v>65.081866243925887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7</v>
      </c>
      <c r="AI34" s="14">
        <f>IF('Données projet'!$A$62&gt;35,AI33+AH34-AQ33,IF(A34&lt;'Données projet'!$A$62,$AF$205^A34,IF(A34='Données projet'!$A$62,'Données projet'!$B$62,AI33+AH34-AQ33)))</f>
        <v>187</v>
      </c>
      <c r="AJ34" s="14">
        <f>AI34*VLOOKUP('Données projet'!$B$10,Paramètres!$A$1:$I$89,3,0)*VLOOKUP('Données projet'!$B$10,Paramètres!$A$1:$I$89,5,0)</f>
        <v>87.515999999999991</v>
      </c>
      <c r="AK34" s="14">
        <f t="shared" si="35"/>
        <v>23.965171662037644</v>
      </c>
      <c r="AL34" s="22">
        <f t="shared" si="4"/>
        <v>194.16304064471555</v>
      </c>
      <c r="AM34" s="62">
        <f t="shared" si="5"/>
        <v>487.49637397804884</v>
      </c>
      <c r="AN34" s="62">
        <f ca="1">AVERAGE(OFFSET($AM$3,0,0,'Données projet'!$E$10+1,1))-AVERAGE(OFFSET($H$3,0,0,'Données projet'!$E$10+1,1))</f>
        <v>259.74478933784656</v>
      </c>
      <c r="AO34" s="62">
        <f t="shared" si="36"/>
        <v>223.74038909289646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0</v>
      </c>
      <c r="O35" s="14">
        <f>N35*VLOOKUP('Données projet'!$B$9,Paramètres!$A$1:$I$89,3,0)*VLOOKUP('Données projet'!$B$9,Paramètres!$A$1:$I$89,5,0)</f>
        <v>0</v>
      </c>
      <c r="P35" s="14" t="e">
        <f t="shared" si="33"/>
        <v>#NUM!</v>
      </c>
      <c r="Q35" s="22" t="e">
        <f t="shared" ref="Q35:Q66" si="53">(O35+P35)*0.475*44/12</f>
        <v>#NUM!</v>
      </c>
      <c r="R35" s="62" t="e">
        <f t="shared" si="0"/>
        <v>#NUM!</v>
      </c>
      <c r="S35" s="62">
        <f ca="1">AVERAGE(OFFSET($R$3,0,0,'Données projet'!$E$9+1,1))-AVERAGE(OFFSET($H$3,0,0,'Données projet'!$E$9+1,1))</f>
        <v>80.044039344639373</v>
      </c>
      <c r="T35" s="62">
        <f t="shared" si="34"/>
        <v>373.57883793591537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45.932767458485799</v>
      </c>
      <c r="AA35" s="23">
        <f>EXP(-LN(2)/25)*AA34+(1-EXP(-LN(2)/25))/(LN(2)/25)*Calculateur!V35*Calculateur!X35*VLOOKUP('Données projet'!$B$9,Paramètres!$A$1:$I$89,3,0)*0.475*44/12</f>
        <v>17.019428367410871</v>
      </c>
      <c r="AB35" s="23">
        <f>EXP(-LN(2)/2)*AB34+(1-EXP(-LN(2)/2))/(LN(2)/2)*V35*Y35*VLOOKUP('Données projet'!$B$9,Paramètres!$A$1:$I$89,3,0)*0.475*44/12</f>
        <v>0.51792735147724633</v>
      </c>
      <c r="AC35" s="24">
        <f t="shared" si="3"/>
        <v>63.470123177373914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7</v>
      </c>
      <c r="AI35" s="14">
        <f>IF('Données projet'!$A$62&gt;35,AI34+AH35-AQ34,IF(A35&lt;'Données projet'!$A$62,$AF$205^A35,IF(A35='Données projet'!$A$62,'Données projet'!$B$62,AI34+AH35-AQ34)))</f>
        <v>194</v>
      </c>
      <c r="AJ35" s="14">
        <f>AI35*VLOOKUP('Données projet'!$B$10,Paramètres!$A$1:$I$89,3,0)*VLOOKUP('Données projet'!$B$10,Paramètres!$A$1:$I$89,5,0)</f>
        <v>90.792000000000002</v>
      </c>
      <c r="AK35" s="14">
        <f t="shared" si="35"/>
        <v>24.756138813110173</v>
      </c>
      <c r="AL35" s="22">
        <f t="shared" si="4"/>
        <v>201.24634176616689</v>
      </c>
      <c r="AM35" s="62">
        <f t="shared" si="5"/>
        <v>494.57967509950021</v>
      </c>
      <c r="AN35" s="62">
        <f ca="1">AVERAGE(OFFSET($AM$3,0,0,'Données projet'!$E$10+1,1))-AVERAGE(OFFSET($H$3,0,0,'Données projet'!$E$10+1,1))</f>
        <v>259.74478933784656</v>
      </c>
      <c r="AO35" s="62">
        <f t="shared" si="36"/>
        <v>223.74038909289646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0</v>
      </c>
      <c r="O36" s="14">
        <f>N36*VLOOKUP('Données projet'!$B$9,Paramètres!$A$1:$I$89,3,0)*VLOOKUP('Données projet'!$B$9,Paramètres!$A$1:$I$89,5,0)</f>
        <v>0</v>
      </c>
      <c r="P36" s="14" t="e">
        <f t="shared" si="33"/>
        <v>#NUM!</v>
      </c>
      <c r="Q36" s="22" t="e">
        <f t="shared" si="53"/>
        <v>#NUM!</v>
      </c>
      <c r="R36" s="62" t="e">
        <f t="shared" si="0"/>
        <v>#NUM!</v>
      </c>
      <c r="S36" s="62">
        <f ca="1">AVERAGE(OFFSET($R$3,0,0,'Données projet'!$E$9+1,1))-AVERAGE(OFFSET($H$3,0,0,'Données projet'!$E$9+1,1))</f>
        <v>80.044039344639373</v>
      </c>
      <c r="T36" s="62">
        <f t="shared" si="34"/>
        <v>373.57883793591537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45.03205390484667</v>
      </c>
      <c r="AA36" s="23">
        <f>EXP(-LN(2)/25)*AA35+(1-EXP(-LN(2)/25))/(LN(2)/25)*Calculateur!V36*Calculateur!X36*VLOOKUP('Données projet'!$B$9,Paramètres!$A$1:$I$89,3,0)*0.475*44/12</f>
        <v>16.554031203691181</v>
      </c>
      <c r="AB36" s="23">
        <f>EXP(-LN(2)/2)*AB35+(1-EXP(-LN(2)/2))/(LN(2)/2)*V36*Y36*VLOOKUP('Données projet'!$B$9,Paramètres!$A$1:$I$89,3,0)*0.475*44/12</f>
        <v>0.36622994239154932</v>
      </c>
      <c r="AC36" s="24">
        <f t="shared" si="3"/>
        <v>61.9523150509294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7</v>
      </c>
      <c r="AI36" s="14">
        <f>IF('Données projet'!$A$62&gt;35,AI35+AH36-AQ35,IF(A36&lt;'Données projet'!$A$62,$AF$205^A36,IF(A36='Données projet'!$A$62,'Données projet'!$B$62,AI35+AH36-AQ35)))</f>
        <v>201</v>
      </c>
      <c r="AJ36" s="14">
        <f>AI36*VLOOKUP('Données projet'!$B$10,Paramètres!$A$1:$I$89,3,0)*VLOOKUP('Données projet'!$B$10,Paramètres!$A$1:$I$89,5,0)</f>
        <v>94.067999999999998</v>
      </c>
      <c r="AK36" s="14">
        <f t="shared" si="35"/>
        <v>25.543790108694029</v>
      </c>
      <c r="AL36" s="22">
        <f t="shared" si="4"/>
        <v>208.32386777264207</v>
      </c>
      <c r="AM36" s="62">
        <f t="shared" si="5"/>
        <v>501.65720110597539</v>
      </c>
      <c r="AN36" s="62">
        <f ca="1">AVERAGE(OFFSET($AM$3,0,0,'Données projet'!$E$10+1,1))-AVERAGE(OFFSET($H$3,0,0,'Données projet'!$E$10+1,1))</f>
        <v>259.74478933784656</v>
      </c>
      <c r="AO36" s="62">
        <f t="shared" si="36"/>
        <v>223.74038909289646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0</v>
      </c>
      <c r="O37" s="14">
        <f>N37*VLOOKUP('Données projet'!$B$9,Paramètres!$A$1:$I$89,3,0)*VLOOKUP('Données projet'!$B$9,Paramètres!$A$1:$I$89,5,0)</f>
        <v>0</v>
      </c>
      <c r="P37" s="14" t="e">
        <f t="shared" si="33"/>
        <v>#NUM!</v>
      </c>
      <c r="Q37" s="22" t="e">
        <f t="shared" si="53"/>
        <v>#NUM!</v>
      </c>
      <c r="R37" s="62" t="e">
        <f t="shared" si="0"/>
        <v>#NUM!</v>
      </c>
      <c r="S37" s="62">
        <f ca="1">AVERAGE(OFFSET($R$3,0,0,'Données projet'!$E$9+1,1))-AVERAGE(OFFSET($H$3,0,0,'Données projet'!$E$9+1,1))</f>
        <v>80.044039344639373</v>
      </c>
      <c r="T37" s="62">
        <f t="shared" si="34"/>
        <v>373.57883793591537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44.149002794613381</v>
      </c>
      <c r="AA37" s="23">
        <f>EXP(-LN(2)/25)*AA36+(1-EXP(-LN(2)/25))/(LN(2)/25)*Calculateur!V37*Calculateur!X37*VLOOKUP('Données projet'!$B$9,Paramètres!$A$1:$I$89,3,0)*0.475*44/12</f>
        <v>16.101360349887578</v>
      </c>
      <c r="AB37" s="23">
        <f>EXP(-LN(2)/2)*AB36+(1-EXP(-LN(2)/2))/(LN(2)/2)*V37*Y37*VLOOKUP('Données projet'!$B$9,Paramètres!$A$1:$I$89,3,0)*0.475*44/12</f>
        <v>0.25896367573862317</v>
      </c>
      <c r="AC37" s="24">
        <f t="shared" si="3"/>
        <v>60.509326820239579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7</v>
      </c>
      <c r="AI37" s="14">
        <f>IF('Données projet'!$A$62&gt;35,AI36+AH37-AQ36,IF(A37&lt;'Données projet'!$A$62,$AF$205^A37,IF(A37='Données projet'!$A$62,'Données projet'!$B$62,AI36+AH37-AQ36)))</f>
        <v>208</v>
      </c>
      <c r="AJ37" s="14">
        <f>AI37*VLOOKUP('Données projet'!$B$10,Paramètres!$A$1:$I$89,3,0)*VLOOKUP('Données projet'!$B$10,Paramètres!$A$1:$I$89,5,0)</f>
        <v>97.343999999999994</v>
      </c>
      <c r="AK37" s="14">
        <f t="shared" si="35"/>
        <v>26.328254259866451</v>
      </c>
      <c r="AL37" s="22">
        <f t="shared" si="4"/>
        <v>215.39584283593408</v>
      </c>
      <c r="AM37" s="62">
        <f t="shared" si="5"/>
        <v>508.72917616926736</v>
      </c>
      <c r="AN37" s="62">
        <f ca="1">AVERAGE(OFFSET($AM$3,0,0,'Données projet'!$E$10+1,1))-AVERAGE(OFFSET($H$3,0,0,'Données projet'!$E$10+1,1))</f>
        <v>259.74478933784656</v>
      </c>
      <c r="AO37" s="62">
        <f t="shared" si="36"/>
        <v>223.74038909289646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0</v>
      </c>
      <c r="O38" s="14">
        <f>N38*VLOOKUP('Données projet'!$B$9,Paramètres!$A$1:$I$89,3,0)*VLOOKUP('Données projet'!$B$9,Paramètres!$A$1:$I$89,5,0)</f>
        <v>0</v>
      </c>
      <c r="P38" s="14" t="e">
        <f t="shared" si="33"/>
        <v>#NUM!</v>
      </c>
      <c r="Q38" s="22" t="e">
        <f t="shared" si="53"/>
        <v>#NUM!</v>
      </c>
      <c r="R38" s="62" t="e">
        <f t="shared" si="0"/>
        <v>#NUM!</v>
      </c>
      <c r="S38" s="62">
        <f ca="1">AVERAGE(OFFSET($R$3,0,0,'Données projet'!$E$9+1,1))-AVERAGE(OFFSET($H$3,0,0,'Données projet'!$E$9+1,1))</f>
        <v>80.044039344639373</v>
      </c>
      <c r="T38" s="62">
        <f t="shared" si="34"/>
        <v>373.57883793591537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43.283267778043772</v>
      </c>
      <c r="AA38" s="23">
        <f>EXP(-LN(2)/25)*AA37+(1-EXP(-LN(2)/25))/(LN(2)/25)*Calculateur!V38*Calculateur!X38*VLOOKUP('Données projet'!$B$9,Paramètres!$A$1:$I$89,3,0)*0.475*44/12</f>
        <v>15.661067804386162</v>
      </c>
      <c r="AB38" s="23">
        <f>EXP(-LN(2)/2)*AB37+(1-EXP(-LN(2)/2))/(LN(2)/2)*V38*Y38*VLOOKUP('Données projet'!$B$9,Paramètres!$A$1:$I$89,3,0)*0.475*44/12</f>
        <v>0.18311497119577466</v>
      </c>
      <c r="AC38" s="24">
        <f t="shared" si="3"/>
        <v>59.127450553625714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7</v>
      </c>
      <c r="AI38" s="14">
        <f>IF('Données projet'!$A$62&gt;35,AI37+AH38-AQ37,IF(A38&lt;'Données projet'!$A$62,$AF$205^A38,IF(A38='Données projet'!$A$62,'Données projet'!$B$62,AI37+AH38-AQ37)))</f>
        <v>215</v>
      </c>
      <c r="AJ38" s="14">
        <f>AI38*VLOOKUP('Données projet'!$B$10,Paramètres!$A$1:$I$89,3,0)*VLOOKUP('Données projet'!$B$10,Paramètres!$A$1:$I$89,5,0)</f>
        <v>100.61999999999999</v>
      </c>
      <c r="AK38" s="14">
        <f t="shared" si="35"/>
        <v>27.10965082293415</v>
      </c>
      <c r="AL38" s="22">
        <f t="shared" si="4"/>
        <v>222.46247518327695</v>
      </c>
      <c r="AM38" s="62">
        <f t="shared" si="5"/>
        <v>515.79580851661024</v>
      </c>
      <c r="AN38" s="62">
        <f ca="1">AVERAGE(OFFSET($AM$3,0,0,'Données projet'!$E$10+1,1))-AVERAGE(OFFSET($H$3,0,0,'Données projet'!$E$10+1,1))</f>
        <v>259.74478933784656</v>
      </c>
      <c r="AO38" s="62">
        <f t="shared" si="36"/>
        <v>223.74038909289646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0</v>
      </c>
      <c r="O39" s="14">
        <f>N39*VLOOKUP('Données projet'!$B$9,Paramètres!$A$1:$I$89,3,0)*VLOOKUP('Données projet'!$B$9,Paramètres!$A$1:$I$89,5,0)</f>
        <v>0</v>
      </c>
      <c r="P39" s="14" t="e">
        <f t="shared" si="33"/>
        <v>#NUM!</v>
      </c>
      <c r="Q39" s="22" t="e">
        <f t="shared" si="53"/>
        <v>#NUM!</v>
      </c>
      <c r="R39" s="62" t="e">
        <f t="shared" si="0"/>
        <v>#NUM!</v>
      </c>
      <c r="S39" s="62">
        <f ca="1">AVERAGE(OFFSET($R$3,0,0,'Données projet'!$E$9+1,1))-AVERAGE(OFFSET($H$3,0,0,'Données projet'!$E$9+1,1))</f>
        <v>80.044039344639373</v>
      </c>
      <c r="T39" s="62">
        <f t="shared" si="34"/>
        <v>373.57883793591537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42.434509297102878</v>
      </c>
      <c r="AA39" s="23">
        <f>EXP(-LN(2)/25)*AA38+(1-EXP(-LN(2)/25))/(LN(2)/25)*Calculateur!V39*Calculateur!X39*VLOOKUP('Données projet'!$B$9,Paramètres!$A$1:$I$89,3,0)*0.475*44/12</f>
        <v>15.23281508169546</v>
      </c>
      <c r="AB39" s="23">
        <f>EXP(-LN(2)/2)*AB38+(1-EXP(-LN(2)/2))/(LN(2)/2)*V39*Y39*VLOOKUP('Données projet'!$B$9,Paramètres!$A$1:$I$89,3,0)*0.475*44/12</f>
        <v>0.12948183786931158</v>
      </c>
      <c r="AC39" s="24">
        <f t="shared" si="3"/>
        <v>57.796806216667655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7</v>
      </c>
      <c r="AI39" s="14">
        <f>IF('Données projet'!$A$62&gt;35,AI38+AH39-AQ38,IF(A39&lt;'Données projet'!$A$62,$AF$205^A39,IF(A39='Données projet'!$A$62,'Données projet'!$B$62,AI38+AH39-AQ38)))</f>
        <v>222</v>
      </c>
      <c r="AJ39" s="14">
        <f>AI39*VLOOKUP('Données projet'!$B$10,Paramètres!$A$1:$I$89,3,0)*VLOOKUP('Données projet'!$B$10,Paramètres!$A$1:$I$89,5,0)</f>
        <v>103.896</v>
      </c>
      <c r="AK39" s="14">
        <f t="shared" si="35"/>
        <v>27.888091127225799</v>
      </c>
      <c r="AL39" s="22">
        <f t="shared" si="4"/>
        <v>229.52395871325157</v>
      </c>
      <c r="AM39" s="62">
        <f t="shared" si="5"/>
        <v>522.85729204658492</v>
      </c>
      <c r="AN39" s="62">
        <f ca="1">AVERAGE(OFFSET($AM$3,0,0,'Données projet'!$E$10+1,1))-AVERAGE(OFFSET($H$3,0,0,'Données projet'!$E$10+1,1))</f>
        <v>259.74478933784656</v>
      </c>
      <c r="AO39" s="62">
        <f t="shared" si="36"/>
        <v>223.74038909289646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0</v>
      </c>
      <c r="O40" s="14">
        <f>N40*VLOOKUP('Données projet'!$B$9,Paramètres!$A$1:$I$89,3,0)*VLOOKUP('Données projet'!$B$9,Paramètres!$A$1:$I$89,5,0)</f>
        <v>0</v>
      </c>
      <c r="P40" s="14" t="e">
        <f t="shared" si="33"/>
        <v>#NUM!</v>
      </c>
      <c r="Q40" s="22" t="e">
        <f t="shared" si="53"/>
        <v>#NUM!</v>
      </c>
      <c r="R40" s="62" t="e">
        <f t="shared" si="0"/>
        <v>#NUM!</v>
      </c>
      <c r="S40" s="62">
        <f ca="1">AVERAGE(OFFSET($R$3,0,0,'Données projet'!$E$9+1,1))-AVERAGE(OFFSET($H$3,0,0,'Données projet'!$E$9+1,1))</f>
        <v>80.044039344639373</v>
      </c>
      <c r="T40" s="62">
        <f t="shared" si="34"/>
        <v>373.57883793591537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41.602394452281679</v>
      </c>
      <c r="AA40" s="23">
        <f>EXP(-LN(2)/25)*AA39+(1-EXP(-LN(2)/25))/(LN(2)/25)*Calculateur!V40*Calculateur!X40*VLOOKUP('Données projet'!$B$9,Paramètres!$A$1:$I$89,3,0)*0.475*44/12</f>
        <v>14.816272952227568</v>
      </c>
      <c r="AB40" s="23">
        <f>EXP(-LN(2)/2)*AB39+(1-EXP(-LN(2)/2))/(LN(2)/2)*V40*Y40*VLOOKUP('Données projet'!$B$9,Paramètres!$A$1:$I$89,3,0)*0.475*44/12</f>
        <v>9.1557485597887331E-2</v>
      </c>
      <c r="AC40" s="24">
        <f t="shared" si="3"/>
        <v>56.510224890107139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7</v>
      </c>
      <c r="AI40" s="14">
        <f>IF('Données projet'!$A$62&gt;35,AI39+AH40-AQ39,IF(A40&lt;'Données projet'!$A$62,$AF$205^A40,IF(A40='Données projet'!$A$62,'Données projet'!$B$62,AI39+AH40-AQ39)))</f>
        <v>229</v>
      </c>
      <c r="AJ40" s="14">
        <f>AI40*VLOOKUP('Données projet'!$B$10,Paramètres!$A$1:$I$89,3,0)*VLOOKUP('Données projet'!$B$10,Paramètres!$A$1:$I$89,5,0)</f>
        <v>107.172</v>
      </c>
      <c r="AK40" s="14">
        <f t="shared" si="35"/>
        <v>28.663679082578788</v>
      </c>
      <c r="AL40" s="22">
        <f t="shared" si="4"/>
        <v>236.58047440215805</v>
      </c>
      <c r="AM40" s="62">
        <f t="shared" si="5"/>
        <v>529.91380773549133</v>
      </c>
      <c r="AN40" s="62">
        <f ca="1">AVERAGE(OFFSET($AM$3,0,0,'Données projet'!$E$10+1,1))-AVERAGE(OFFSET($H$3,0,0,'Données projet'!$E$10+1,1))</f>
        <v>259.74478933784656</v>
      </c>
      <c r="AO40" s="62">
        <f t="shared" si="36"/>
        <v>223.74038909289646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0</v>
      </c>
      <c r="O41" s="14">
        <f>N41*VLOOKUP('Données projet'!$B$9,Paramètres!$A$1:$I$89,3,0)*VLOOKUP('Données projet'!$B$9,Paramètres!$A$1:$I$89,5,0)</f>
        <v>0</v>
      </c>
      <c r="P41" s="14" t="e">
        <f t="shared" si="33"/>
        <v>#NUM!</v>
      </c>
      <c r="Q41" s="22" t="e">
        <f t="shared" si="53"/>
        <v>#NUM!</v>
      </c>
      <c r="R41" s="62" t="e">
        <f t="shared" si="0"/>
        <v>#NUM!</v>
      </c>
      <c r="S41" s="62">
        <f ca="1">AVERAGE(OFFSET($R$3,0,0,'Données projet'!$E$9+1,1))-AVERAGE(OFFSET($H$3,0,0,'Données projet'!$E$9+1,1))</f>
        <v>80.044039344639373</v>
      </c>
      <c r="T41" s="62">
        <f t="shared" si="34"/>
        <v>373.57883793591537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40.786596872027481</v>
      </c>
      <c r="AA41" s="23">
        <f>EXP(-LN(2)/25)*AA40+(1-EXP(-LN(2)/25))/(LN(2)/25)*Calculateur!V41*Calculateur!X41*VLOOKUP('Données projet'!$B$9,Paramètres!$A$1:$I$89,3,0)*0.475*44/12</f>
        <v>14.411121189194974</v>
      </c>
      <c r="AB41" s="23">
        <f>EXP(-LN(2)/2)*AB40+(1-EXP(-LN(2)/2))/(LN(2)/2)*V41*Y41*VLOOKUP('Données projet'!$B$9,Paramètres!$A$1:$I$89,3,0)*0.475*44/12</f>
        <v>6.4740918934655792E-2</v>
      </c>
      <c r="AC41" s="24">
        <f t="shared" si="3"/>
        <v>55.262458980157106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7</v>
      </c>
      <c r="AI41" s="14">
        <f>IF('Données projet'!$A$62&gt;35,AI40+AH41-AQ40,IF(A41&lt;'Données projet'!$A$62,$AF$205^A41,IF(A41='Données projet'!$A$62,'Données projet'!$B$62,AI40+AH41-AQ40)))</f>
        <v>236</v>
      </c>
      <c r="AJ41" s="14">
        <f>AI41*VLOOKUP('Données projet'!$B$10,Paramètres!$A$1:$I$89,3,0)*VLOOKUP('Données projet'!$B$10,Paramètres!$A$1:$I$89,5,0)</f>
        <v>110.44799999999999</v>
      </c>
      <c r="AK41" s="14">
        <f t="shared" si="35"/>
        <v>29.436511885319565</v>
      </c>
      <c r="AL41" s="22">
        <f t="shared" si="4"/>
        <v>243.63219153359822</v>
      </c>
      <c r="AM41" s="62">
        <f t="shared" si="5"/>
        <v>536.96552486693156</v>
      </c>
      <c r="AN41" s="62">
        <f ca="1">AVERAGE(OFFSET($AM$3,0,0,'Données projet'!$E$10+1,1))-AVERAGE(OFFSET($H$3,0,0,'Données projet'!$E$10+1,1))</f>
        <v>259.74478933784656</v>
      </c>
      <c r="AO41" s="62">
        <f t="shared" si="36"/>
        <v>223.74038909289646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0</v>
      </c>
      <c r="O42" s="14">
        <f>N42*VLOOKUP('Données projet'!$B$9,Paramètres!$A$1:$I$89,3,0)*VLOOKUP('Données projet'!$B$9,Paramètres!$A$1:$I$89,5,0)</f>
        <v>0</v>
      </c>
      <c r="P42" s="14" t="e">
        <f t="shared" si="33"/>
        <v>#NUM!</v>
      </c>
      <c r="Q42" s="22" t="e">
        <f t="shared" si="53"/>
        <v>#NUM!</v>
      </c>
      <c r="R42" s="62" t="e">
        <f t="shared" si="0"/>
        <v>#NUM!</v>
      </c>
      <c r="S42" s="62">
        <f ca="1">AVERAGE(OFFSET($R$3,0,0,'Données projet'!$E$9+1,1))-AVERAGE(OFFSET($H$3,0,0,'Données projet'!$E$9+1,1))</f>
        <v>80.044039344639373</v>
      </c>
      <c r="T42" s="62">
        <f t="shared" si="34"/>
        <v>373.57883793591537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39.986796584734677</v>
      </c>
      <c r="AA42" s="23">
        <f>EXP(-LN(2)/25)*AA41+(1-EXP(-LN(2)/25))/(LN(2)/25)*Calculateur!V42*Calculateur!X42*VLOOKUP('Données projet'!$B$9,Paramètres!$A$1:$I$89,3,0)*0.475*44/12</f>
        <v>14.017048322428511</v>
      </c>
      <c r="AB42" s="23">
        <f>EXP(-LN(2)/2)*AB41+(1-EXP(-LN(2)/2))/(LN(2)/2)*V42*Y42*VLOOKUP('Données projet'!$B$9,Paramètres!$A$1:$I$89,3,0)*0.475*44/12</f>
        <v>4.5778742798943665E-2</v>
      </c>
      <c r="AC42" s="24">
        <f t="shared" si="3"/>
        <v>54.049623649962129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7</v>
      </c>
      <c r="AI42" s="14">
        <f>IF('Données projet'!$A$62&gt;35,AI41+AH42-AQ41,IF(A42&lt;'Données projet'!$A$62,$AF$205^A42,IF(A42='Données projet'!$A$62,'Données projet'!$B$62,AI41+AH42-AQ41)))</f>
        <v>243</v>
      </c>
      <c r="AJ42" s="14">
        <f>AI42*VLOOKUP('Données projet'!$B$10,Paramètres!$A$1:$I$89,3,0)*VLOOKUP('Données projet'!$B$10,Paramètres!$A$1:$I$89,5,0)</f>
        <v>113.72399999999999</v>
      </c>
      <c r="AK42" s="14">
        <f t="shared" si="35"/>
        <v>30.206680638130489</v>
      </c>
      <c r="AL42" s="22">
        <f t="shared" si="4"/>
        <v>250.67926877807722</v>
      </c>
      <c r="AM42" s="62">
        <f t="shared" si="5"/>
        <v>544.0126021114105</v>
      </c>
      <c r="AN42" s="62">
        <f ca="1">AVERAGE(OFFSET($AM$3,0,0,'Données projet'!$E$10+1,1))-AVERAGE(OFFSET($H$3,0,0,'Données projet'!$E$10+1,1))</f>
        <v>259.74478933784656</v>
      </c>
      <c r="AO42" s="62">
        <f t="shared" si="36"/>
        <v>223.74038909289646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0</v>
      </c>
      <c r="O43" s="14">
        <f>N43*VLOOKUP('Données projet'!$B$9,Paramètres!$A$1:$I$89,3,0)*VLOOKUP('Données projet'!$B$9,Paramètres!$A$1:$I$89,5,0)</f>
        <v>0</v>
      </c>
      <c r="P43" s="14" t="e">
        <f t="shared" si="33"/>
        <v>#NUM!</v>
      </c>
      <c r="Q43" s="22" t="e">
        <f t="shared" si="53"/>
        <v>#NUM!</v>
      </c>
      <c r="R43" s="62" t="e">
        <f t="shared" si="0"/>
        <v>#NUM!</v>
      </c>
      <c r="S43" s="62">
        <f ca="1">AVERAGE(OFFSET($R$3,0,0,'Données projet'!$E$9+1,1))-AVERAGE(OFFSET($H$3,0,0,'Données projet'!$E$9+1,1))</f>
        <v>80.044039344639373</v>
      </c>
      <c r="T43" s="62">
        <f t="shared" si="34"/>
        <v>373.57883793591537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39.20267989324568</v>
      </c>
      <c r="AA43" s="23">
        <f>EXP(-LN(2)/25)*AA42+(1-EXP(-LN(2)/25))/(LN(2)/25)*Calculateur!V43*Calculateur!X43*VLOOKUP('Données projet'!$B$9,Paramètres!$A$1:$I$89,3,0)*0.475*44/12</f>
        <v>13.633751398927169</v>
      </c>
      <c r="AB43" s="23">
        <f>EXP(-LN(2)/2)*AB42+(1-EXP(-LN(2)/2))/(LN(2)/2)*V43*Y43*VLOOKUP('Données projet'!$B$9,Paramètres!$A$1:$I$89,3,0)*0.475*44/12</f>
        <v>3.2370459467327896E-2</v>
      </c>
      <c r="AC43" s="24">
        <f t="shared" si="3"/>
        <v>52.868801751640177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250</v>
      </c>
      <c r="AG43" s="13">
        <f>VLOOKUP(A43,'Données projet'!$A$61:$I$81,9,0)</f>
        <v>7</v>
      </c>
      <c r="AH43" s="13">
        <f t="array" ref="AH43">INDEX(AG:AG,MIN(IF(ISNUMBER(AG43:AG239),ROW(AG43:AG239),"")))</f>
        <v>7</v>
      </c>
      <c r="AI43" s="14">
        <f>IF('Données projet'!$A$62&gt;35,AI42+AH43-AQ42,IF(A43&lt;'Données projet'!$A$62,$AF$205^A43,IF(A43='Données projet'!$A$62,'Données projet'!$B$62,AI42+AH43-AQ42)))</f>
        <v>250</v>
      </c>
      <c r="AJ43" s="14">
        <f>AI43*VLOOKUP('Données projet'!$B$10,Paramètres!$A$1:$I$89,3,0)*VLOOKUP('Données projet'!$B$10,Paramètres!$A$1:$I$89,5,0)</f>
        <v>117</v>
      </c>
      <c r="AK43" s="14">
        <f t="shared" si="35"/>
        <v>30.974270896484146</v>
      </c>
      <c r="AL43" s="22">
        <f t="shared" si="4"/>
        <v>257.72185514470988</v>
      </c>
      <c r="AM43" s="62">
        <f t="shared" si="5"/>
        <v>551.05518847804319</v>
      </c>
      <c r="AN43" s="62">
        <f ca="1">AVERAGE(OFFSET($AM$3,0,0,'Données projet'!$E$10+1,1))-AVERAGE(OFFSET($H$3,0,0,'Données projet'!$E$10+1,1))</f>
        <v>259.74478933784656</v>
      </c>
      <c r="AO43" s="62">
        <f t="shared" si="36"/>
        <v>223.74038909289646</v>
      </c>
      <c r="AP43" s="16">
        <f>IF(ISNA(VLOOKUP(A43,'Données projet'!$A$61:$I$81,3,0)),0,VLOOKUP(A43,'Données projet'!$A$61:$I$81,3,0))</f>
        <v>3</v>
      </c>
      <c r="AQ43" s="16">
        <f>IF(ISNA(VLOOKUP(A43,'Données projet'!$A$61:$I$81,4,0)),0,VLOOKUP(A43,'Données projet'!$A$61:$I$81,4,0))</f>
        <v>63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0</v>
      </c>
      <c r="O44" s="14">
        <f>N44*VLOOKUP('Données projet'!$B$9,Paramètres!$A$1:$I$89,3,0)*VLOOKUP('Données projet'!$B$9,Paramètres!$A$1:$I$89,5,0)</f>
        <v>0</v>
      </c>
      <c r="P44" s="14" t="e">
        <f t="shared" si="33"/>
        <v>#NUM!</v>
      </c>
      <c r="Q44" s="22" t="e">
        <f t="shared" si="53"/>
        <v>#NUM!</v>
      </c>
      <c r="R44" s="62" t="e">
        <f t="shared" si="0"/>
        <v>#NUM!</v>
      </c>
      <c r="S44" s="62">
        <f ca="1">AVERAGE(OFFSET($R$3,0,0,'Données projet'!$E$9+1,1))-AVERAGE(OFFSET($H$3,0,0,'Données projet'!$E$9+1,1))</f>
        <v>80.044039344639373</v>
      </c>
      <c r="T44" s="62">
        <f t="shared" si="34"/>
        <v>373.57883793591537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38.433939251812824</v>
      </c>
      <c r="AA44" s="23">
        <f>EXP(-LN(2)/25)*AA43+(1-EXP(-LN(2)/25))/(LN(2)/25)*Calculateur!V44*Calculateur!X44*VLOOKUP('Données projet'!$B$9,Paramètres!$A$1:$I$89,3,0)*0.475*44/12</f>
        <v>13.26093574995568</v>
      </c>
      <c r="AB44" s="23">
        <f>EXP(-LN(2)/2)*AB43+(1-EXP(-LN(2)/2))/(LN(2)/2)*V44*Y44*VLOOKUP('Données projet'!$B$9,Paramètres!$A$1:$I$89,3,0)*0.475*44/12</f>
        <v>2.2889371399471833E-2</v>
      </c>
      <c r="AC44" s="24">
        <f t="shared" si="3"/>
        <v>51.717764373167974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7</v>
      </c>
      <c r="AI44" s="14">
        <f>IF('Données projet'!$A$62&gt;35,AI43+AH44-AQ43,IF(A44&lt;'Données projet'!$A$62,$AF$205^A44,IF(A44='Données projet'!$A$62,'Données projet'!$B$62,AI43+AH44-AQ43)))</f>
        <v>194</v>
      </c>
      <c r="AJ44" s="14">
        <f>AI44*VLOOKUP('Données projet'!$B$10,Paramètres!$A$1:$I$89,3,0)*VLOOKUP('Données projet'!$B$10,Paramètres!$A$1:$I$89,5,0)</f>
        <v>90.792000000000002</v>
      </c>
      <c r="AK44" s="14">
        <f t="shared" si="35"/>
        <v>24.756138813110173</v>
      </c>
      <c r="AL44" s="22">
        <f t="shared" si="4"/>
        <v>201.24634176616689</v>
      </c>
      <c r="AM44" s="62">
        <f t="shared" si="5"/>
        <v>494.57967509950021</v>
      </c>
      <c r="AN44" s="62">
        <f ca="1">AVERAGE(OFFSET($AM$3,0,0,'Données projet'!$E$10+1,1))-AVERAGE(OFFSET($H$3,0,0,'Données projet'!$E$10+1,1))</f>
        <v>259.74478933784656</v>
      </c>
      <c r="AO44" s="62">
        <f t="shared" si="36"/>
        <v>223.74038909289646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0</v>
      </c>
      <c r="O45" s="14">
        <f>N45*VLOOKUP('Données projet'!$B$9,Paramètres!$A$1:$I$89,3,0)*VLOOKUP('Données projet'!$B$9,Paramètres!$A$1:$I$89,5,0)</f>
        <v>0</v>
      </c>
      <c r="P45" s="14" t="e">
        <f t="shared" si="33"/>
        <v>#NUM!</v>
      </c>
      <c r="Q45" s="22" t="e">
        <f t="shared" si="53"/>
        <v>#NUM!</v>
      </c>
      <c r="R45" s="62" t="e">
        <f t="shared" si="0"/>
        <v>#NUM!</v>
      </c>
      <c r="S45" s="62">
        <f ca="1">AVERAGE(OFFSET($R$3,0,0,'Données projet'!$E$9+1,1))-AVERAGE(OFFSET($H$3,0,0,'Données projet'!$E$9+1,1))</f>
        <v>80.044039344639373</v>
      </c>
      <c r="T45" s="62">
        <f t="shared" si="34"/>
        <v>373.57883793591537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37.680273145472974</v>
      </c>
      <c r="AA45" s="23">
        <f>EXP(-LN(2)/25)*AA44+(1-EXP(-LN(2)/25))/(LN(2)/25)*Calculateur!V45*Calculateur!X45*VLOOKUP('Données projet'!$B$9,Paramètres!$A$1:$I$89,3,0)*0.475*44/12</f>
        <v>12.89831476451084</v>
      </c>
      <c r="AB45" s="23">
        <f>EXP(-LN(2)/2)*AB44+(1-EXP(-LN(2)/2))/(LN(2)/2)*V45*Y45*VLOOKUP('Données projet'!$B$9,Paramètres!$A$1:$I$89,3,0)*0.475*44/12</f>
        <v>1.6185229733663948E-2</v>
      </c>
      <c r="AC45" s="24">
        <f t="shared" si="3"/>
        <v>50.594773139717475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7</v>
      </c>
      <c r="AI45" s="14">
        <f>IF('Données projet'!$A$62&gt;35,AI44+AH45-AQ44,IF(A45&lt;'Données projet'!$A$62,$AF$205^A45,IF(A45='Données projet'!$A$62,'Données projet'!$B$62,AI44+AH45-AQ44)))</f>
        <v>201</v>
      </c>
      <c r="AJ45" s="14">
        <f>AI45*VLOOKUP('Données projet'!$B$10,Paramètres!$A$1:$I$89,3,0)*VLOOKUP('Données projet'!$B$10,Paramètres!$A$1:$I$89,5,0)</f>
        <v>94.067999999999998</v>
      </c>
      <c r="AK45" s="14">
        <f t="shared" si="35"/>
        <v>25.543790108694029</v>
      </c>
      <c r="AL45" s="22">
        <f t="shared" si="4"/>
        <v>208.32386777264207</v>
      </c>
      <c r="AM45" s="62">
        <f t="shared" si="5"/>
        <v>501.65720110597539</v>
      </c>
      <c r="AN45" s="62">
        <f ca="1">AVERAGE(OFFSET($AM$3,0,0,'Données projet'!$E$10+1,1))-AVERAGE(OFFSET($H$3,0,0,'Données projet'!$E$10+1,1))</f>
        <v>259.74478933784656</v>
      </c>
      <c r="AO45" s="62">
        <f t="shared" si="36"/>
        <v>223.74038909289646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0</v>
      </c>
      <c r="O46" s="14">
        <f>N46*VLOOKUP('Données projet'!$B$9,Paramètres!$A$1:$I$89,3,0)*VLOOKUP('Données projet'!$B$9,Paramètres!$A$1:$I$89,5,0)</f>
        <v>0</v>
      </c>
      <c r="P46" s="14" t="e">
        <f t="shared" si="33"/>
        <v>#NUM!</v>
      </c>
      <c r="Q46" s="22" t="e">
        <f t="shared" si="53"/>
        <v>#NUM!</v>
      </c>
      <c r="R46" s="62" t="e">
        <f t="shared" si="0"/>
        <v>#NUM!</v>
      </c>
      <c r="S46" s="62">
        <f ca="1">AVERAGE(OFFSET($R$3,0,0,'Données projet'!$E$9+1,1))-AVERAGE(OFFSET($H$3,0,0,'Données projet'!$E$9+1,1))</f>
        <v>80.044039344639373</v>
      </c>
      <c r="T46" s="62">
        <f t="shared" si="34"/>
        <v>373.57883793591537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36.941385971787511</v>
      </c>
      <c r="AA46" s="23">
        <f>EXP(-LN(2)/25)*AA45+(1-EXP(-LN(2)/25))/(LN(2)/25)*Calculateur!V46*Calculateur!X46*VLOOKUP('Données projet'!$B$9,Paramètres!$A$1:$I$89,3,0)*0.475*44/12</f>
        <v>12.545609668982397</v>
      </c>
      <c r="AB46" s="23">
        <f>EXP(-LN(2)/2)*AB45+(1-EXP(-LN(2)/2))/(LN(2)/2)*V46*Y46*VLOOKUP('Données projet'!$B$9,Paramètres!$A$1:$I$89,3,0)*0.475*44/12</f>
        <v>1.1444685699735916E-2</v>
      </c>
      <c r="AC46" s="24">
        <f t="shared" si="3"/>
        <v>49.498440326469641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7</v>
      </c>
      <c r="AI46" s="14">
        <f>IF('Données projet'!$A$62&gt;35,AI45+AH46-AQ45,IF(A46&lt;'Données projet'!$A$62,$AF$205^A46,IF(A46='Données projet'!$A$62,'Données projet'!$B$62,AI45+AH46-AQ45)))</f>
        <v>208</v>
      </c>
      <c r="AJ46" s="14">
        <f>AI46*VLOOKUP('Données projet'!$B$10,Paramètres!$A$1:$I$89,3,0)*VLOOKUP('Données projet'!$B$10,Paramètres!$A$1:$I$89,5,0)</f>
        <v>97.343999999999994</v>
      </c>
      <c r="AK46" s="14">
        <f t="shared" si="35"/>
        <v>26.328254259866451</v>
      </c>
      <c r="AL46" s="22">
        <f t="shared" si="4"/>
        <v>215.39584283593408</v>
      </c>
      <c r="AM46" s="62">
        <f t="shared" si="5"/>
        <v>508.72917616926736</v>
      </c>
      <c r="AN46" s="62">
        <f ca="1">AVERAGE(OFFSET($AM$3,0,0,'Données projet'!$E$10+1,1))-AVERAGE(OFFSET($H$3,0,0,'Données projet'!$E$10+1,1))</f>
        <v>259.74478933784656</v>
      </c>
      <c r="AO46" s="62">
        <f t="shared" si="36"/>
        <v>223.74038909289646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0</v>
      </c>
      <c r="O47" s="14">
        <f>N47*VLOOKUP('Données projet'!$B$9,Paramètres!$A$1:$I$89,3,0)*VLOOKUP('Données projet'!$B$9,Paramètres!$A$1:$I$89,5,0)</f>
        <v>0</v>
      </c>
      <c r="P47" s="14" t="e">
        <f t="shared" si="33"/>
        <v>#NUM!</v>
      </c>
      <c r="Q47" s="22" t="e">
        <f t="shared" si="53"/>
        <v>#NUM!</v>
      </c>
      <c r="R47" s="62" t="e">
        <f t="shared" si="0"/>
        <v>#NUM!</v>
      </c>
      <c r="S47" s="62">
        <f ca="1">AVERAGE(OFFSET($R$3,0,0,'Données projet'!$E$9+1,1))-AVERAGE(OFFSET($H$3,0,0,'Données projet'!$E$9+1,1))</f>
        <v>80.044039344639373</v>
      </c>
      <c r="T47" s="62">
        <f t="shared" si="34"/>
        <v>373.57883793591537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36.216987924901346</v>
      </c>
      <c r="AA47" s="23">
        <f>EXP(-LN(2)/25)*AA46+(1-EXP(-LN(2)/25))/(LN(2)/25)*Calculateur!V47*Calculateur!X47*VLOOKUP('Données projet'!$B$9,Paramètres!$A$1:$I$89,3,0)*0.475*44/12</f>
        <v>12.202549312839135</v>
      </c>
      <c r="AB47" s="23">
        <f>EXP(-LN(2)/2)*AB46+(1-EXP(-LN(2)/2))/(LN(2)/2)*V47*Y47*VLOOKUP('Données projet'!$B$9,Paramètres!$A$1:$I$89,3,0)*0.475*44/12</f>
        <v>8.092614866831974E-3</v>
      </c>
      <c r="AC47" s="24">
        <f t="shared" si="3"/>
        <v>48.427629852607318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7</v>
      </c>
      <c r="AI47" s="14">
        <f>IF('Données projet'!$A$62&gt;35,AI46+AH47-AQ46,IF(A47&lt;'Données projet'!$A$62,$AF$205^A47,IF(A47='Données projet'!$A$62,'Données projet'!$B$62,AI46+AH47-AQ46)))</f>
        <v>215</v>
      </c>
      <c r="AJ47" s="14">
        <f>AI47*VLOOKUP('Données projet'!$B$10,Paramètres!$A$1:$I$89,3,0)*VLOOKUP('Données projet'!$B$10,Paramètres!$A$1:$I$89,5,0)</f>
        <v>100.61999999999999</v>
      </c>
      <c r="AK47" s="14">
        <f t="shared" si="35"/>
        <v>27.10965082293415</v>
      </c>
      <c r="AL47" s="22">
        <f t="shared" si="4"/>
        <v>222.46247518327695</v>
      </c>
      <c r="AM47" s="62">
        <f t="shared" si="5"/>
        <v>515.79580851661024</v>
      </c>
      <c r="AN47" s="62">
        <f ca="1">AVERAGE(OFFSET($AM$3,0,0,'Données projet'!$E$10+1,1))-AVERAGE(OFFSET($H$3,0,0,'Données projet'!$E$10+1,1))</f>
        <v>259.74478933784656</v>
      </c>
      <c r="AO47" s="62">
        <f t="shared" si="36"/>
        <v>223.74038909289646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0</v>
      </c>
      <c r="O48" s="14">
        <f>N48*VLOOKUP('Données projet'!$B$9,Paramètres!$A$1:$I$89,3,0)*VLOOKUP('Données projet'!$B$9,Paramètres!$A$1:$I$89,5,0)</f>
        <v>0</v>
      </c>
      <c r="P48" s="14" t="e">
        <f t="shared" si="33"/>
        <v>#NUM!</v>
      </c>
      <c r="Q48" s="22" t="e">
        <f t="shared" si="53"/>
        <v>#NUM!</v>
      </c>
      <c r="R48" s="62" t="e">
        <f t="shared" si="0"/>
        <v>#NUM!</v>
      </c>
      <c r="S48" s="62">
        <f ca="1">AVERAGE(OFFSET($R$3,0,0,'Données projet'!$E$9+1,1))-AVERAGE(OFFSET($H$3,0,0,'Données projet'!$E$9+1,1))</f>
        <v>80.044039344639373</v>
      </c>
      <c r="T48" s="62">
        <f t="shared" si="34"/>
        <v>373.57883793591537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35.506794881875443</v>
      </c>
      <c r="AA48" s="23">
        <f>EXP(-LN(2)/25)*AA47+(1-EXP(-LN(2)/25))/(LN(2)/25)*Calculateur!V48*Calculateur!X48*VLOOKUP('Données projet'!$B$9,Paramètres!$A$1:$I$89,3,0)*0.475*44/12</f>
        <v>11.86886996017537</v>
      </c>
      <c r="AB48" s="23">
        <f>EXP(-LN(2)/2)*AB47+(1-EXP(-LN(2)/2))/(LN(2)/2)*V48*Y48*VLOOKUP('Données projet'!$B$9,Paramètres!$A$1:$I$89,3,0)*0.475*44/12</f>
        <v>5.7223428498679582E-3</v>
      </c>
      <c r="AC48" s="24">
        <f t="shared" si="3"/>
        <v>47.381387184900674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7</v>
      </c>
      <c r="AI48" s="14">
        <f>IF('Données projet'!$A$62&gt;35,AI47+AH48-AQ47,IF(A48&lt;'Données projet'!$A$62,$AF$205^A48,IF(A48='Données projet'!$A$62,'Données projet'!$B$62,AI47+AH48-AQ47)))</f>
        <v>222</v>
      </c>
      <c r="AJ48" s="14">
        <f>AI48*VLOOKUP('Données projet'!$B$10,Paramètres!$A$1:$I$89,3,0)*VLOOKUP('Données projet'!$B$10,Paramètres!$A$1:$I$89,5,0)</f>
        <v>103.896</v>
      </c>
      <c r="AK48" s="14">
        <f t="shared" si="35"/>
        <v>27.888091127225799</v>
      </c>
      <c r="AL48" s="22">
        <f t="shared" si="4"/>
        <v>229.52395871325157</v>
      </c>
      <c r="AM48" s="62">
        <f t="shared" si="5"/>
        <v>522.85729204658492</v>
      </c>
      <c r="AN48" s="62">
        <f ca="1">AVERAGE(OFFSET($AM$3,0,0,'Données projet'!$E$10+1,1))-AVERAGE(OFFSET($H$3,0,0,'Données projet'!$E$10+1,1))</f>
        <v>259.74478933784656</v>
      </c>
      <c r="AO48" s="62">
        <f t="shared" si="36"/>
        <v>223.74038909289646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0</v>
      </c>
      <c r="O49" s="14">
        <f>N49*VLOOKUP('Données projet'!$B$9,Paramètres!$A$1:$I$89,3,0)*VLOOKUP('Données projet'!$B$9,Paramètres!$A$1:$I$89,5,0)</f>
        <v>0</v>
      </c>
      <c r="P49" s="14" t="e">
        <f t="shared" si="33"/>
        <v>#NUM!</v>
      </c>
      <c r="Q49" s="22" t="e">
        <f t="shared" si="53"/>
        <v>#NUM!</v>
      </c>
      <c r="R49" s="62" t="e">
        <f t="shared" si="0"/>
        <v>#NUM!</v>
      </c>
      <c r="S49" s="62">
        <f ca="1">AVERAGE(OFFSET($R$3,0,0,'Données projet'!$E$9+1,1))-AVERAGE(OFFSET($H$3,0,0,'Données projet'!$E$9+1,1))</f>
        <v>80.044039344639373</v>
      </c>
      <c r="T49" s="62">
        <f t="shared" si="34"/>
        <v>373.57883793591537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34.810528291248289</v>
      </c>
      <c r="AA49" s="23">
        <f>EXP(-LN(2)/25)*AA48+(1-EXP(-LN(2)/25))/(LN(2)/25)*Calculateur!V49*Calculateur!X49*VLOOKUP('Données projet'!$B$9,Paramètres!$A$1:$I$89,3,0)*0.475*44/12</f>
        <v>11.54431508695763</v>
      </c>
      <c r="AB49" s="23">
        <f>EXP(-LN(2)/2)*AB48+(1-EXP(-LN(2)/2))/(LN(2)/2)*V49*Y49*VLOOKUP('Données projet'!$B$9,Paramètres!$A$1:$I$89,3,0)*0.475*44/12</f>
        <v>4.046307433415987E-3</v>
      </c>
      <c r="AC49" s="24">
        <f t="shared" si="3"/>
        <v>46.358889685639333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7</v>
      </c>
      <c r="AI49" s="14">
        <f>IF('Données projet'!$A$62&gt;35,AI48+AH49-AQ48,IF(A49&lt;'Données projet'!$A$62,$AF$205^A49,IF(A49='Données projet'!$A$62,'Données projet'!$B$62,AI48+AH49-AQ48)))</f>
        <v>229</v>
      </c>
      <c r="AJ49" s="14">
        <f>AI49*VLOOKUP('Données projet'!$B$10,Paramètres!$A$1:$I$89,3,0)*VLOOKUP('Données projet'!$B$10,Paramètres!$A$1:$I$89,5,0)</f>
        <v>107.172</v>
      </c>
      <c r="AK49" s="14">
        <f t="shared" si="35"/>
        <v>28.663679082578788</v>
      </c>
      <c r="AL49" s="22">
        <f t="shared" si="4"/>
        <v>236.58047440215805</v>
      </c>
      <c r="AM49" s="62">
        <f t="shared" si="5"/>
        <v>529.91380773549133</v>
      </c>
      <c r="AN49" s="62">
        <f ca="1">AVERAGE(OFFSET($AM$3,0,0,'Données projet'!$E$10+1,1))-AVERAGE(OFFSET($H$3,0,0,'Données projet'!$E$10+1,1))</f>
        <v>259.74478933784656</v>
      </c>
      <c r="AO49" s="62">
        <f t="shared" si="36"/>
        <v>223.74038909289646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0</v>
      </c>
      <c r="O50" s="14">
        <f>N50*VLOOKUP('Données projet'!$B$9,Paramètres!$A$1:$I$89,3,0)*VLOOKUP('Données projet'!$B$9,Paramètres!$A$1:$I$89,5,0)</f>
        <v>0</v>
      </c>
      <c r="P50" s="14" t="e">
        <f t="shared" si="33"/>
        <v>#NUM!</v>
      </c>
      <c r="Q50" s="22" t="e">
        <f t="shared" si="53"/>
        <v>#NUM!</v>
      </c>
      <c r="R50" s="62" t="e">
        <f t="shared" si="0"/>
        <v>#NUM!</v>
      </c>
      <c r="S50" s="62">
        <f ca="1">AVERAGE(OFFSET($R$3,0,0,'Données projet'!$E$9+1,1))-AVERAGE(OFFSET($H$3,0,0,'Données projet'!$E$9+1,1))</f>
        <v>80.044039344639373</v>
      </c>
      <c r="T50" s="62">
        <f t="shared" si="34"/>
        <v>373.57883793591537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34.127915063782652</v>
      </c>
      <c r="AA50" s="23">
        <f>EXP(-LN(2)/25)*AA49+(1-EXP(-LN(2)/25))/(LN(2)/25)*Calculateur!V50*Calculateur!X50*VLOOKUP('Données projet'!$B$9,Paramètres!$A$1:$I$89,3,0)*0.475*44/12</f>
        <v>11.228635183815628</v>
      </c>
      <c r="AB50" s="23">
        <f>EXP(-LN(2)/2)*AB49+(1-EXP(-LN(2)/2))/(LN(2)/2)*V50*Y50*VLOOKUP('Données projet'!$B$9,Paramètres!$A$1:$I$89,3,0)*0.475*44/12</f>
        <v>2.8611714249339791E-3</v>
      </c>
      <c r="AC50" s="24">
        <f t="shared" si="3"/>
        <v>45.35941141902321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7</v>
      </c>
      <c r="AI50" s="14">
        <f>IF('Données projet'!$A$62&gt;35,AI49+AH50-AQ49,IF(A50&lt;'Données projet'!$A$62,$AF$205^A50,IF(A50='Données projet'!$A$62,'Données projet'!$B$62,AI49+AH50-AQ49)))</f>
        <v>236</v>
      </c>
      <c r="AJ50" s="14">
        <f>AI50*VLOOKUP('Données projet'!$B$10,Paramètres!$A$1:$I$89,3,0)*VLOOKUP('Données projet'!$B$10,Paramètres!$A$1:$I$89,5,0)</f>
        <v>110.44799999999999</v>
      </c>
      <c r="AK50" s="14">
        <f t="shared" si="35"/>
        <v>29.436511885319565</v>
      </c>
      <c r="AL50" s="22">
        <f t="shared" si="4"/>
        <v>243.63219153359822</v>
      </c>
      <c r="AM50" s="62">
        <f t="shared" si="5"/>
        <v>536.96552486693156</v>
      </c>
      <c r="AN50" s="62">
        <f ca="1">AVERAGE(OFFSET($AM$3,0,0,'Données projet'!$E$10+1,1))-AVERAGE(OFFSET($H$3,0,0,'Données projet'!$E$10+1,1))</f>
        <v>259.74478933784656</v>
      </c>
      <c r="AO50" s="62">
        <f t="shared" si="36"/>
        <v>223.74038909289646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0</v>
      </c>
      <c r="O51" s="14">
        <f>N51*VLOOKUP('Données projet'!$B$9,Paramètres!$A$1:$I$89,3,0)*VLOOKUP('Données projet'!$B$9,Paramètres!$A$1:$I$89,5,0)</f>
        <v>0</v>
      </c>
      <c r="P51" s="14" t="e">
        <f t="shared" si="33"/>
        <v>#NUM!</v>
      </c>
      <c r="Q51" s="22" t="e">
        <f t="shared" si="53"/>
        <v>#NUM!</v>
      </c>
      <c r="R51" s="62" t="e">
        <f t="shared" si="0"/>
        <v>#NUM!</v>
      </c>
      <c r="S51" s="62">
        <f ca="1">AVERAGE(OFFSET($R$3,0,0,'Données projet'!$E$9+1,1))-AVERAGE(OFFSET($H$3,0,0,'Données projet'!$E$9+1,1))</f>
        <v>80.044039344639373</v>
      </c>
      <c r="T51" s="62">
        <f t="shared" si="34"/>
        <v>373.57883793591537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33.458687465354657</v>
      </c>
      <c r="AA51" s="23">
        <f>EXP(-LN(2)/25)*AA50+(1-EXP(-LN(2)/25))/(LN(2)/25)*Calculateur!V51*Calculateur!X51*VLOOKUP('Données projet'!$B$9,Paramètres!$A$1:$I$89,3,0)*0.475*44/12</f>
        <v>10.921587564225929</v>
      </c>
      <c r="AB51" s="23">
        <f>EXP(-LN(2)/2)*AB50+(1-EXP(-LN(2)/2))/(LN(2)/2)*V51*Y51*VLOOKUP('Données projet'!$B$9,Paramètres!$A$1:$I$89,3,0)*0.475*44/12</f>
        <v>2.0231537167079935E-3</v>
      </c>
      <c r="AC51" s="24">
        <f t="shared" si="3"/>
        <v>44.382298183297294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7</v>
      </c>
      <c r="AI51" s="14">
        <f>IF('Données projet'!$A$62&gt;35,AI50+AH51-AQ50,IF(A51&lt;'Données projet'!$A$62,$AF$205^A51,IF(A51='Données projet'!$A$62,'Données projet'!$B$62,AI50+AH51-AQ50)))</f>
        <v>243</v>
      </c>
      <c r="AJ51" s="14">
        <f>AI51*VLOOKUP('Données projet'!$B$10,Paramètres!$A$1:$I$89,3,0)*VLOOKUP('Données projet'!$B$10,Paramètres!$A$1:$I$89,5,0)</f>
        <v>113.72399999999999</v>
      </c>
      <c r="AK51" s="14">
        <f t="shared" si="35"/>
        <v>30.206680638130489</v>
      </c>
      <c r="AL51" s="22">
        <f t="shared" si="4"/>
        <v>250.67926877807722</v>
      </c>
      <c r="AM51" s="62">
        <f t="shared" si="5"/>
        <v>544.0126021114105</v>
      </c>
      <c r="AN51" s="62">
        <f ca="1">AVERAGE(OFFSET($AM$3,0,0,'Données projet'!$E$10+1,1))-AVERAGE(OFFSET($H$3,0,0,'Données projet'!$E$10+1,1))</f>
        <v>259.74478933784656</v>
      </c>
      <c r="AO51" s="62">
        <f t="shared" si="36"/>
        <v>223.74038909289646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0</v>
      </c>
      <c r="O52" s="14">
        <f>N52*VLOOKUP('Données projet'!$B$9,Paramètres!$A$1:$I$89,3,0)*VLOOKUP('Données projet'!$B$9,Paramètres!$A$1:$I$89,5,0)</f>
        <v>0</v>
      </c>
      <c r="P52" s="14" t="e">
        <f t="shared" si="33"/>
        <v>#NUM!</v>
      </c>
      <c r="Q52" s="22" t="e">
        <f t="shared" si="53"/>
        <v>#NUM!</v>
      </c>
      <c r="R52" s="62" t="e">
        <f t="shared" si="0"/>
        <v>#NUM!</v>
      </c>
      <c r="S52" s="62">
        <f ca="1">AVERAGE(OFFSET($R$3,0,0,'Données projet'!$E$9+1,1))-AVERAGE(OFFSET($H$3,0,0,'Données projet'!$E$9+1,1))</f>
        <v>80.044039344639373</v>
      </c>
      <c r="T52" s="62">
        <f t="shared" si="34"/>
        <v>373.57883793591537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32.802583011943305</v>
      </c>
      <c r="AA52" s="23">
        <f>EXP(-LN(2)/25)*AA51+(1-EXP(-LN(2)/25))/(LN(2)/25)*Calculateur!V52*Calculateur!X52*VLOOKUP('Données projet'!$B$9,Paramètres!$A$1:$I$89,3,0)*0.475*44/12</f>
        <v>10.622936177940842</v>
      </c>
      <c r="AB52" s="23">
        <f>EXP(-LN(2)/2)*AB51+(1-EXP(-LN(2)/2))/(LN(2)/2)*V52*Y52*VLOOKUP('Données projet'!$B$9,Paramètres!$A$1:$I$89,3,0)*0.475*44/12</f>
        <v>1.4305857124669895E-3</v>
      </c>
      <c r="AC52" s="24">
        <f t="shared" si="3"/>
        <v>43.426949775596619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7</v>
      </c>
      <c r="AI52" s="14">
        <f>IF('Données projet'!$A$62&gt;35,AI51+AH52-AQ51,IF(A52&lt;'Données projet'!$A$62,$AF$205^A52,IF(A52='Données projet'!$A$62,'Données projet'!$B$62,AI51+AH52-AQ51)))</f>
        <v>250</v>
      </c>
      <c r="AJ52" s="14">
        <f>AI52*VLOOKUP('Données projet'!$B$10,Paramètres!$A$1:$I$89,3,0)*VLOOKUP('Données projet'!$B$10,Paramètres!$A$1:$I$89,5,0)</f>
        <v>117</v>
      </c>
      <c r="AK52" s="14">
        <f t="shared" si="35"/>
        <v>30.974270896484146</v>
      </c>
      <c r="AL52" s="22">
        <f t="shared" si="4"/>
        <v>257.72185514470988</v>
      </c>
      <c r="AM52" s="62">
        <f t="shared" si="5"/>
        <v>551.05518847804319</v>
      </c>
      <c r="AN52" s="62">
        <f ca="1">AVERAGE(OFFSET($AM$3,0,0,'Données projet'!$E$10+1,1))-AVERAGE(OFFSET($H$3,0,0,'Données projet'!$E$10+1,1))</f>
        <v>259.74478933784656</v>
      </c>
      <c r="AO52" s="62">
        <f t="shared" si="36"/>
        <v>223.74038909289646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0</v>
      </c>
      <c r="O53" s="14">
        <f>N53*VLOOKUP('Données projet'!$B$9,Paramètres!$A$1:$I$89,3,0)*VLOOKUP('Données projet'!$B$9,Paramètres!$A$1:$I$89,5,0)</f>
        <v>0</v>
      </c>
      <c r="P53" s="14" t="e">
        <f t="shared" si="33"/>
        <v>#NUM!</v>
      </c>
      <c r="Q53" s="22" t="e">
        <f t="shared" si="53"/>
        <v>#NUM!</v>
      </c>
      <c r="R53" s="62" t="e">
        <f t="shared" si="0"/>
        <v>#NUM!</v>
      </c>
      <c r="S53" s="62">
        <f ca="1">AVERAGE(OFFSET($R$3,0,0,'Données projet'!$E$9+1,1))-AVERAGE(OFFSET($H$3,0,0,'Données projet'!$E$9+1,1))</f>
        <v>80.044039344639373</v>
      </c>
      <c r="T53" s="62">
        <f t="shared" si="34"/>
        <v>373.57883793591537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32.15934436667915</v>
      </c>
      <c r="AA53" s="23">
        <f>EXP(-LN(2)/25)*AA52+(1-EXP(-LN(2)/25))/(LN(2)/25)*Calculateur!V53*Calculateur!X53*VLOOKUP('Données projet'!$B$9,Paramètres!$A$1:$I$89,3,0)*0.475*44/12</f>
        <v>10.332451429519114</v>
      </c>
      <c r="AB53" s="23">
        <f>EXP(-LN(2)/2)*AB52+(1-EXP(-LN(2)/2))/(LN(2)/2)*V53*Y53*VLOOKUP('Données projet'!$B$9,Paramètres!$A$1:$I$89,3,0)*0.475*44/12</f>
        <v>1.0115768583539967E-3</v>
      </c>
      <c r="AC53" s="24">
        <f t="shared" si="3"/>
        <v>42.492807373056614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257</v>
      </c>
      <c r="AG53" s="13">
        <f>VLOOKUP(A53,'Données projet'!$A$61:$I$81,9,0)</f>
        <v>7</v>
      </c>
      <c r="AH53" s="13">
        <f t="array" ref="AH53">INDEX(AG:AG,MIN(IF(ISNUMBER(AG53:AG249),ROW(AG53:AG249),"")))</f>
        <v>7</v>
      </c>
      <c r="AI53" s="14">
        <f>IF('Données projet'!$A$62&gt;35,AI52+AH53-AQ52,IF(A53&lt;'Données projet'!$A$62,$AF$205^A53,IF(A53='Données projet'!$A$62,'Données projet'!$B$62,AI52+AH53-AQ52)))</f>
        <v>257</v>
      </c>
      <c r="AJ53" s="14">
        <f>AI53*VLOOKUP('Données projet'!$B$10,Paramètres!$A$1:$I$89,3,0)*VLOOKUP('Données projet'!$B$10,Paramètres!$A$1:$I$89,5,0)</f>
        <v>120.276</v>
      </c>
      <c r="AK53" s="14">
        <f t="shared" si="35"/>
        <v>31.739363152156315</v>
      </c>
      <c r="AL53" s="22">
        <f t="shared" si="4"/>
        <v>264.76009082333889</v>
      </c>
      <c r="AM53" s="62">
        <f t="shared" si="5"/>
        <v>558.0934241566722</v>
      </c>
      <c r="AN53" s="62">
        <f ca="1">AVERAGE(OFFSET($AM$3,0,0,'Données projet'!$E$10+1,1))-AVERAGE(OFFSET($H$3,0,0,'Données projet'!$E$10+1,1))</f>
        <v>259.74478933784656</v>
      </c>
      <c r="AO53" s="62">
        <f t="shared" si="36"/>
        <v>223.74038909289646</v>
      </c>
      <c r="AP53" s="16">
        <f>IF(ISNA(VLOOKUP(A53,'Données projet'!$A$61:$I$81,3,0)),0,VLOOKUP(A53,'Données projet'!$A$61:$I$81,3,0))</f>
        <v>4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0</v>
      </c>
      <c r="O54" s="14">
        <f>N54*VLOOKUP('Données projet'!$B$9,Paramètres!$A$1:$I$89,3,0)*VLOOKUP('Données projet'!$B$9,Paramètres!$A$1:$I$89,5,0)</f>
        <v>0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80.044039344639373</v>
      </c>
      <c r="T54" s="62">
        <f t="shared" si="34"/>
        <v>373.57883793591537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31.528719238911791</v>
      </c>
      <c r="AA54" s="23">
        <f>EXP(-LN(2)/25)*AA53+(1-EXP(-LN(2)/25))/(LN(2)/25)*Calculateur!V54*Calculateur!X54*VLOOKUP('Données projet'!$B$9,Paramètres!$A$1:$I$89,3,0)*0.475*44/12</f>
        <v>10.049910001818908</v>
      </c>
      <c r="AB54" s="23">
        <f>EXP(-LN(2)/2)*AB53+(1-EXP(-LN(2)/2))/(LN(2)/2)*V54*Y54*VLOOKUP('Données projet'!$B$9,Paramètres!$A$1:$I$89,3,0)*0.475*44/12</f>
        <v>7.1529285623349477E-4</v>
      </c>
      <c r="AC54" s="24">
        <f t="shared" si="3"/>
        <v>41.579344533586934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8</v>
      </c>
      <c r="AI54" s="14">
        <f>IF('Données projet'!$A$62&gt;35,AI53+AH54-AQ53,IF(A54&lt;'Données projet'!$A$62,$AF$205^A54,IF(A54='Données projet'!$A$62,'Données projet'!$B$62,AI53+AH54-AQ53)))</f>
        <v>265</v>
      </c>
      <c r="AJ54" s="14">
        <f>AI54*VLOOKUP('Données projet'!$B$10,Paramètres!$A$1:$I$89,3,0)*VLOOKUP('Données projet'!$B$10,Paramètres!$A$1:$I$89,5,0)</f>
        <v>124.02</v>
      </c>
      <c r="AK54" s="14">
        <f t="shared" si="35"/>
        <v>32.610792634958898</v>
      </c>
      <c r="AL54" s="22">
        <f t="shared" si="4"/>
        <v>272.79863050588671</v>
      </c>
      <c r="AM54" s="62">
        <f t="shared" si="5"/>
        <v>566.13196383922002</v>
      </c>
      <c r="AN54" s="62">
        <f ca="1">AVERAGE(OFFSET($AM$3,0,0,'Données projet'!$E$10+1,1))-AVERAGE(OFFSET($H$3,0,0,'Données projet'!$E$10+1,1))</f>
        <v>259.74478933784656</v>
      </c>
      <c r="AO54" s="62">
        <f t="shared" si="36"/>
        <v>223.74038909289646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0</v>
      </c>
      <c r="O55" s="14">
        <f>N55*VLOOKUP('Données projet'!$B$9,Paramètres!$A$1:$I$89,3,0)*VLOOKUP('Données projet'!$B$9,Paramètres!$A$1:$I$89,5,0)</f>
        <v>0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80.044039344639373</v>
      </c>
      <c r="T55" s="62">
        <f t="shared" si="34"/>
        <v>373.57883793591537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30.910460285256601</v>
      </c>
      <c r="AA55" s="23">
        <f>EXP(-LN(2)/25)*AA54+(1-EXP(-LN(2)/25))/(LN(2)/25)*Calculateur!V55*Calculateur!X55*VLOOKUP('Données projet'!$B$9,Paramètres!$A$1:$I$89,3,0)*0.475*44/12</f>
        <v>9.7750946843173718</v>
      </c>
      <c r="AB55" s="23">
        <f>EXP(-LN(2)/2)*AB54+(1-EXP(-LN(2)/2))/(LN(2)/2)*V55*Y55*VLOOKUP('Données projet'!$B$9,Paramètres!$A$1:$I$89,3,0)*0.475*44/12</f>
        <v>5.0578842917699837E-4</v>
      </c>
      <c r="AC55" s="24">
        <f t="shared" si="3"/>
        <v>40.686060758003151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8</v>
      </c>
      <c r="AI55" s="14">
        <f>IF('Données projet'!$A$62&gt;35,AI54+AH55-AQ54,IF(A55&lt;'Données projet'!$A$62,$AF$205^A55,IF(A55='Données projet'!$A$62,'Données projet'!$B$62,AI54+AH55-AQ54)))</f>
        <v>273</v>
      </c>
      <c r="AJ55" s="14">
        <f>AI55*VLOOKUP('Données projet'!$B$10,Paramètres!$A$1:$I$89,3,0)*VLOOKUP('Données projet'!$B$10,Paramètres!$A$1:$I$89,5,0)</f>
        <v>127.76400000000001</v>
      </c>
      <c r="AK55" s="14">
        <f t="shared" si="35"/>
        <v>33.479164830670051</v>
      </c>
      <c r="AL55" s="22">
        <f t="shared" si="4"/>
        <v>280.83184541341694</v>
      </c>
      <c r="AM55" s="62">
        <f t="shared" si="5"/>
        <v>574.16517874675026</v>
      </c>
      <c r="AN55" s="62">
        <f ca="1">AVERAGE(OFFSET($AM$3,0,0,'Données projet'!$E$10+1,1))-AVERAGE(OFFSET($H$3,0,0,'Données projet'!$E$10+1,1))</f>
        <v>259.74478933784656</v>
      </c>
      <c r="AO55" s="62">
        <f t="shared" si="36"/>
        <v>223.74038909289646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0</v>
      </c>
      <c r="O56" s="14">
        <f>N56*VLOOKUP('Données projet'!$B$9,Paramètres!$A$1:$I$89,3,0)*VLOOKUP('Données projet'!$B$9,Paramètres!$A$1:$I$89,5,0)</f>
        <v>0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80.044039344639373</v>
      </c>
      <c r="T56" s="62">
        <f t="shared" si="34"/>
        <v>373.57883793591537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30.304325012581863</v>
      </c>
      <c r="AA56" s="23">
        <f>EXP(-LN(2)/25)*AA55+(1-EXP(-LN(2)/25))/(LN(2)/25)*Calculateur!V56*Calculateur!X56*VLOOKUP('Données projet'!$B$9,Paramètres!$A$1:$I$89,3,0)*0.475*44/12</f>
        <v>9.5077942061248244</v>
      </c>
      <c r="AB56" s="23">
        <f>EXP(-LN(2)/2)*AB55+(1-EXP(-LN(2)/2))/(LN(2)/2)*V56*Y56*VLOOKUP('Données projet'!$B$9,Paramètres!$A$1:$I$89,3,0)*0.475*44/12</f>
        <v>3.5764642811674739E-4</v>
      </c>
      <c r="AC56" s="24">
        <f t="shared" si="3"/>
        <v>39.812476865134798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8</v>
      </c>
      <c r="AI56" s="14">
        <f>IF('Données projet'!$A$62&gt;35,AI55+AH56-AQ55,IF(A56&lt;'Données projet'!$A$62,$AF$205^A56,IF(A56='Données projet'!$A$62,'Données projet'!$B$62,AI55+AH56-AQ55)))</f>
        <v>281</v>
      </c>
      <c r="AJ56" s="14">
        <f>AI56*VLOOKUP('Données projet'!$B$10,Paramètres!$A$1:$I$89,3,0)*VLOOKUP('Données projet'!$B$10,Paramètres!$A$1:$I$89,5,0)</f>
        <v>131.50800000000001</v>
      </c>
      <c r="AK56" s="14">
        <f t="shared" si="35"/>
        <v>34.344579617082509</v>
      </c>
      <c r="AL56" s="22">
        <f t="shared" si="4"/>
        <v>288.85990949975201</v>
      </c>
      <c r="AM56" s="62">
        <f t="shared" si="5"/>
        <v>582.19324283308538</v>
      </c>
      <c r="AN56" s="62">
        <f ca="1">AVERAGE(OFFSET($AM$3,0,0,'Données projet'!$E$10+1,1))-AVERAGE(OFFSET($H$3,0,0,'Données projet'!$E$10+1,1))</f>
        <v>259.74478933784656</v>
      </c>
      <c r="AO56" s="62">
        <f t="shared" si="36"/>
        <v>223.74038909289646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0</v>
      </c>
      <c r="O57" s="14">
        <f>N57*VLOOKUP('Données projet'!$B$9,Paramètres!$A$1:$I$89,3,0)*VLOOKUP('Données projet'!$B$9,Paramètres!$A$1:$I$89,5,0)</f>
        <v>0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80.044039344639373</v>
      </c>
      <c r="T57" s="62">
        <f t="shared" si="34"/>
        <v>373.57883793591537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29.710075682898264</v>
      </c>
      <c r="AA57" s="23">
        <f>EXP(-LN(2)/25)*AA56+(1-EXP(-LN(2)/25))/(LN(2)/25)*Calculateur!V57*Calculateur!X57*VLOOKUP('Données projet'!$B$9,Paramètres!$A$1:$I$89,3,0)*0.475*44/12</f>
        <v>9.2478030735651746</v>
      </c>
      <c r="AB57" s="23">
        <f>EXP(-LN(2)/2)*AB56+(1-EXP(-LN(2)/2))/(LN(2)/2)*V57*Y57*VLOOKUP('Données projet'!$B$9,Paramètres!$A$1:$I$89,3,0)*0.475*44/12</f>
        <v>2.5289421458849919E-4</v>
      </c>
      <c r="AC57" s="24">
        <f t="shared" si="3"/>
        <v>38.958131650678027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8</v>
      </c>
      <c r="AI57" s="14">
        <f>IF('Données projet'!$A$62&gt;35,AI56+AH57-AQ56,IF(A57&lt;'Données projet'!$A$62,$AF$205^A57,IF(A57='Données projet'!$A$62,'Données projet'!$B$62,AI56+AH57-AQ56)))</f>
        <v>289</v>
      </c>
      <c r="AJ57" s="14">
        <f>AI57*VLOOKUP('Données projet'!$B$10,Paramètres!$A$1:$I$89,3,0)*VLOOKUP('Données projet'!$B$10,Paramètres!$A$1:$I$89,5,0)</f>
        <v>135.25199999999998</v>
      </c>
      <c r="AK57" s="14">
        <f t="shared" si="35"/>
        <v>35.207130861518152</v>
      </c>
      <c r="AL57" s="22">
        <f t="shared" si="4"/>
        <v>296.88298625047742</v>
      </c>
      <c r="AM57" s="62">
        <f t="shared" si="5"/>
        <v>590.21631958381067</v>
      </c>
      <c r="AN57" s="62">
        <f ca="1">AVERAGE(OFFSET($AM$3,0,0,'Données projet'!$E$10+1,1))-AVERAGE(OFFSET($H$3,0,0,'Données projet'!$E$10+1,1))</f>
        <v>259.74478933784656</v>
      </c>
      <c r="AO57" s="62">
        <f t="shared" si="36"/>
        <v>223.74038909289646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0</v>
      </c>
      <c r="O58" s="14">
        <f>N58*VLOOKUP('Données projet'!$B$9,Paramètres!$A$1:$I$89,3,0)*VLOOKUP('Données projet'!$B$9,Paramètres!$A$1:$I$89,5,0)</f>
        <v>0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80.044039344639373</v>
      </c>
      <c r="T58" s="62">
        <f t="shared" si="34"/>
        <v>373.57883793591537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29.127479220113461</v>
      </c>
      <c r="AA58" s="23">
        <f>EXP(-LN(2)/25)*AA57+(1-EXP(-LN(2)/25))/(LN(2)/25)*Calculateur!V58*Calculateur!X58*VLOOKUP('Données projet'!$B$9,Paramètres!$A$1:$I$89,3,0)*0.475*44/12</f>
        <v>8.9949214121977068</v>
      </c>
      <c r="AB58" s="23">
        <f>EXP(-LN(2)/2)*AB57+(1-EXP(-LN(2)/2))/(LN(2)/2)*V58*Y58*VLOOKUP('Données projet'!$B$9,Paramètres!$A$1:$I$89,3,0)*0.475*44/12</f>
        <v>1.7882321405837369E-4</v>
      </c>
      <c r="AC58" s="24">
        <f t="shared" si="3"/>
        <v>38.122579455525226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8</v>
      </c>
      <c r="AI58" s="14">
        <f>IF('Données projet'!$A$62&gt;35,AI57+AH58-AQ57,IF(A58&lt;'Données projet'!$A$62,$AF$205^A58,IF(A58='Données projet'!$A$62,'Données projet'!$B$62,AI57+AH58-AQ57)))</f>
        <v>297</v>
      </c>
      <c r="AJ58" s="14">
        <f>AI58*VLOOKUP('Données projet'!$B$10,Paramètres!$A$1:$I$89,3,0)*VLOOKUP('Données projet'!$B$10,Paramètres!$A$1:$I$89,5,0)</f>
        <v>138.99600000000001</v>
      </c>
      <c r="AK58" s="14">
        <f t="shared" si="35"/>
        <v>36.066906938767758</v>
      </c>
      <c r="AL58" s="22">
        <f t="shared" si="4"/>
        <v>304.90122958502047</v>
      </c>
      <c r="AM58" s="62">
        <f t="shared" si="5"/>
        <v>598.23456291835373</v>
      </c>
      <c r="AN58" s="62">
        <f ca="1">AVERAGE(OFFSET($AM$3,0,0,'Données projet'!$E$10+1,1))-AVERAGE(OFFSET($H$3,0,0,'Données projet'!$E$10+1,1))</f>
        <v>259.74478933784656</v>
      </c>
      <c r="AO58" s="62">
        <f t="shared" si="36"/>
        <v>223.74038909289646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>
        <f>N59*VLOOKUP('Données projet'!$B$9,Paramètres!$A$1:$I$89,3,0)*VLOOKUP('Données projet'!$B$9,Paramètres!$A$1:$I$89,5,0)</f>
        <v>0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80.044039344639373</v>
      </c>
      <c r="T59" s="62">
        <f t="shared" si="34"/>
        <v>373.57883793591537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28.556307118615113</v>
      </c>
      <c r="AA59" s="23">
        <f>EXP(-LN(2)/25)*AA58+(1-EXP(-LN(2)/25))/(LN(2)/25)*Calculateur!V59*Calculateur!X59*VLOOKUP('Données projet'!$B$9,Paramètres!$A$1:$I$89,3,0)*0.475*44/12</f>
        <v>8.748954813158802</v>
      </c>
      <c r="AB59" s="23">
        <f>EXP(-LN(2)/2)*AB58+(1-EXP(-LN(2)/2))/(LN(2)/2)*V59*Y59*VLOOKUP('Données projet'!$B$9,Paramètres!$A$1:$I$89,3,0)*0.475*44/12</f>
        <v>1.2644710729424959E-4</v>
      </c>
      <c r="AC59" s="24">
        <f t="shared" si="3"/>
        <v>37.305388378881204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8</v>
      </c>
      <c r="AI59" s="14">
        <f>IF('Données projet'!$A$62&gt;35,AI58+AH59-AQ58,IF(A59&lt;'Données projet'!$A$62,$AF$205^A59,IF(A59='Données projet'!$A$62,'Données projet'!$B$62,AI58+AH59-AQ58)))</f>
        <v>305</v>
      </c>
      <c r="AJ59" s="14">
        <f>AI59*VLOOKUP('Données projet'!$B$10,Paramètres!$A$1:$I$89,3,0)*VLOOKUP('Données projet'!$B$10,Paramètres!$A$1:$I$89,5,0)</f>
        <v>142.74</v>
      </c>
      <c r="AK59" s="14">
        <f t="shared" si="35"/>
        <v>36.923991191656064</v>
      </c>
      <c r="AL59" s="22">
        <f t="shared" si="4"/>
        <v>312.91478465880101</v>
      </c>
      <c r="AM59" s="62">
        <f t="shared" si="5"/>
        <v>606.24811799213433</v>
      </c>
      <c r="AN59" s="62">
        <f ca="1">AVERAGE(OFFSET($AM$3,0,0,'Données projet'!$E$10+1,1))-AVERAGE(OFFSET($H$3,0,0,'Données projet'!$E$10+1,1))</f>
        <v>259.74478933784656</v>
      </c>
      <c r="AO59" s="62">
        <f t="shared" si="36"/>
        <v>223.74038909289646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>
        <f>N60*VLOOKUP('Données projet'!$B$9,Paramètres!$A$1:$I$89,3,0)*VLOOKUP('Données projet'!$B$9,Paramètres!$A$1:$I$89,5,0)</f>
        <v>0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80.044039344639373</v>
      </c>
      <c r="T60" s="62">
        <f t="shared" si="34"/>
        <v>373.57883793591537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27.996335353646565</v>
      </c>
      <c r="AA60" s="23">
        <f>EXP(-LN(2)/25)*AA59+(1-EXP(-LN(2)/25))/(LN(2)/25)*Calculateur!V60*Calculateur!X60*VLOOKUP('Données projet'!$B$9,Paramètres!$A$1:$I$89,3,0)*0.475*44/12</f>
        <v>8.5097141837054373</v>
      </c>
      <c r="AB60" s="23">
        <f>EXP(-LN(2)/2)*AB59+(1-EXP(-LN(2)/2))/(LN(2)/2)*V60*Y60*VLOOKUP('Données projet'!$B$9,Paramètres!$A$1:$I$89,3,0)*0.475*44/12</f>
        <v>8.9411607029186847E-5</v>
      </c>
      <c r="AC60" s="24">
        <f t="shared" si="3"/>
        <v>36.506138948959027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8</v>
      </c>
      <c r="AI60" s="14">
        <f>IF('Données projet'!$A$62&gt;35,AI59+AH60-AQ59,IF(A60&lt;'Données projet'!$A$62,$AF$205^A60,IF(A60='Données projet'!$A$62,'Données projet'!$B$62,AI59+AH60-AQ59)))</f>
        <v>313</v>
      </c>
      <c r="AJ60" s="14">
        <f>AI60*VLOOKUP('Données projet'!$B$10,Paramètres!$A$1:$I$89,3,0)*VLOOKUP('Données projet'!$B$10,Paramètres!$A$1:$I$89,5,0)</f>
        <v>146.48400000000001</v>
      </c>
      <c r="AK60" s="14">
        <f t="shared" si="35"/>
        <v>37.778462341926023</v>
      </c>
      <c r="AL60" s="22">
        <f t="shared" si="4"/>
        <v>320.9237885788545</v>
      </c>
      <c r="AM60" s="62">
        <f t="shared" si="5"/>
        <v>614.25712191218781</v>
      </c>
      <c r="AN60" s="62">
        <f ca="1">AVERAGE(OFFSET($AM$3,0,0,'Données projet'!$E$10+1,1))-AVERAGE(OFFSET($H$3,0,0,'Données projet'!$E$10+1,1))</f>
        <v>259.74478933784656</v>
      </c>
      <c r="AO60" s="62">
        <f t="shared" si="36"/>
        <v>223.74038909289646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>
        <f>N61*VLOOKUP('Données projet'!$B$9,Paramètres!$A$1:$I$89,3,0)*VLOOKUP('Données projet'!$B$9,Paramètres!$A$1:$I$89,5,0)</f>
        <v>0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80.044039344639373</v>
      </c>
      <c r="T61" s="62">
        <f t="shared" si="34"/>
        <v>373.57883793591537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27.447344293439997</v>
      </c>
      <c r="AA61" s="23">
        <f>EXP(-LN(2)/25)*AA60+(1-EXP(-LN(2)/25))/(LN(2)/25)*Calculateur!V61*Calculateur!X61*VLOOKUP('Données projet'!$B$9,Paramètres!$A$1:$I$89,3,0)*0.475*44/12</f>
        <v>8.2770156018455925</v>
      </c>
      <c r="AB61" s="23">
        <f>EXP(-LN(2)/2)*AB60+(1-EXP(-LN(2)/2))/(LN(2)/2)*V61*Y61*VLOOKUP('Données projet'!$B$9,Paramètres!$A$1:$I$89,3,0)*0.475*44/12</f>
        <v>6.3223553647124797E-5</v>
      </c>
      <c r="AC61" s="24">
        <f t="shared" si="3"/>
        <v>35.724423118839233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8</v>
      </c>
      <c r="AI61" s="14">
        <f>IF('Données projet'!$A$62&gt;35,AI60+AH61-AQ60,IF(A61&lt;'Données projet'!$A$62,$AF$205^A61,IF(A61='Données projet'!$A$62,'Données projet'!$B$62,AI60+AH61-AQ60)))</f>
        <v>321</v>
      </c>
      <c r="AJ61" s="14">
        <f>AI61*VLOOKUP('Données projet'!$B$10,Paramètres!$A$1:$I$89,3,0)*VLOOKUP('Données projet'!$B$10,Paramètres!$A$1:$I$89,5,0)</f>
        <v>150.22800000000001</v>
      </c>
      <c r="AK61" s="14">
        <f t="shared" si="35"/>
        <v>38.630394857933659</v>
      </c>
      <c r="AL61" s="22">
        <f t="shared" si="4"/>
        <v>328.92837104423444</v>
      </c>
      <c r="AM61" s="62">
        <f t="shared" si="5"/>
        <v>622.26170437756775</v>
      </c>
      <c r="AN61" s="62">
        <f ca="1">AVERAGE(OFFSET($AM$3,0,0,'Données projet'!$E$10+1,1))-AVERAGE(OFFSET($H$3,0,0,'Données projet'!$E$10+1,1))</f>
        <v>259.74478933784656</v>
      </c>
      <c r="AO61" s="62">
        <f t="shared" si="36"/>
        <v>223.74038909289646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>
        <f>N62*VLOOKUP('Données projet'!$B$9,Paramètres!$A$1:$I$89,3,0)*VLOOKUP('Données projet'!$B$9,Paramètres!$A$1:$I$89,5,0)</f>
        <v>0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80.044039344639373</v>
      </c>
      <c r="T62" s="62">
        <f t="shared" si="34"/>
        <v>373.57883793591537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26.9091186130726</v>
      </c>
      <c r="AA62" s="23">
        <f>EXP(-LN(2)/25)*AA61+(1-EXP(-LN(2)/25))/(LN(2)/25)*Calculateur!V62*Calculateur!X62*VLOOKUP('Données projet'!$B$9,Paramètres!$A$1:$I$89,3,0)*0.475*44/12</f>
        <v>8.0506801749437908</v>
      </c>
      <c r="AB62" s="23">
        <f>EXP(-LN(2)/2)*AB61+(1-EXP(-LN(2)/2))/(LN(2)/2)*V62*Y62*VLOOKUP('Données projet'!$B$9,Paramètres!$A$1:$I$89,3,0)*0.475*44/12</f>
        <v>4.4705803514593423E-5</v>
      </c>
      <c r="AC62" s="24">
        <f t="shared" si="3"/>
        <v>34.959843493819911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8</v>
      </c>
      <c r="AI62" s="14">
        <f>IF('Données projet'!$A$62&gt;35,AI61+AH62-AQ61,IF(A62&lt;'Données projet'!$A$62,$AF$205^A62,IF(A62='Données projet'!$A$62,'Données projet'!$B$62,AI61+AH62-AQ61)))</f>
        <v>329</v>
      </c>
      <c r="AJ62" s="14">
        <f>AI62*VLOOKUP('Données projet'!$B$10,Paramètres!$A$1:$I$89,3,0)*VLOOKUP('Données projet'!$B$10,Paramètres!$A$1:$I$89,5,0)</f>
        <v>153.97200000000001</v>
      </c>
      <c r="AK62" s="14">
        <f t="shared" si="35"/>
        <v>39.479859284656378</v>
      </c>
      <c r="AL62" s="22">
        <f t="shared" si="4"/>
        <v>336.92865492077652</v>
      </c>
      <c r="AM62" s="62">
        <f t="shared" si="5"/>
        <v>630.26198825410984</v>
      </c>
      <c r="AN62" s="62">
        <f ca="1">AVERAGE(OFFSET($AM$3,0,0,'Données projet'!$E$10+1,1))-AVERAGE(OFFSET($H$3,0,0,'Données projet'!$E$10+1,1))</f>
        <v>259.74478933784656</v>
      </c>
      <c r="AO62" s="62">
        <f t="shared" si="36"/>
        <v>223.74038909289646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>
        <f>N63*VLOOKUP('Données projet'!$B$9,Paramètres!$A$1:$I$89,3,0)*VLOOKUP('Données projet'!$B$9,Paramètres!$A$1:$I$89,5,0)</f>
        <v>0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80.044039344639373</v>
      </c>
      <c r="T63" s="62">
        <f t="shared" si="34"/>
        <v>373.57883793591537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26.381447210011956</v>
      </c>
      <c r="AA63" s="23">
        <f>EXP(-LN(2)/25)*AA62+(1-EXP(-LN(2)/25))/(LN(2)/25)*Calculateur!V63*Calculateur!X63*VLOOKUP('Données projet'!$B$9,Paramètres!$A$1:$I$89,3,0)*0.475*44/12</f>
        <v>7.8305339021930829</v>
      </c>
      <c r="AB63" s="23">
        <f>EXP(-LN(2)/2)*AB62+(1-EXP(-LN(2)/2))/(LN(2)/2)*V63*Y63*VLOOKUP('Données projet'!$B$9,Paramètres!$A$1:$I$89,3,0)*0.475*44/12</f>
        <v>3.1611776823562398E-5</v>
      </c>
      <c r="AC63" s="24">
        <f t="shared" si="3"/>
        <v>34.212012723981864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337</v>
      </c>
      <c r="AG63" s="13">
        <f>VLOOKUP(A63,'Données projet'!$A$61:$I$81,9,0)</f>
        <v>8</v>
      </c>
      <c r="AH63" s="13">
        <f t="array" ref="AH63">INDEX(AG:AG,MIN(IF(ISNUMBER(AG63:AG259),ROW(AG63:AG259),"")))</f>
        <v>8</v>
      </c>
      <c r="AI63" s="14">
        <f>IF('Données projet'!$A$62&gt;35,AI62+AH63-AQ62,IF(A63&lt;'Données projet'!$A$62,$AF$205^A63,IF(A63='Données projet'!$A$62,'Données projet'!$B$62,AI62+AH63-AQ62)))</f>
        <v>337</v>
      </c>
      <c r="AJ63" s="14">
        <f>AI63*VLOOKUP('Données projet'!$B$10,Paramètres!$A$1:$I$89,3,0)*VLOOKUP('Données projet'!$B$10,Paramètres!$A$1:$I$89,5,0)</f>
        <v>157.71600000000001</v>
      </c>
      <c r="AK63" s="14">
        <f t="shared" si="35"/>
        <v>40.326922540698838</v>
      </c>
      <c r="AL63" s="22">
        <f t="shared" si="4"/>
        <v>344.92475675838381</v>
      </c>
      <c r="AM63" s="62">
        <f t="shared" si="5"/>
        <v>638.25809009171712</v>
      </c>
      <c r="AN63" s="62">
        <f ca="1">AVERAGE(OFFSET($AM$3,0,0,'Données projet'!$E$10+1,1))-AVERAGE(OFFSET($H$3,0,0,'Données projet'!$E$10+1,1))</f>
        <v>259.74478933784656</v>
      </c>
      <c r="AO63" s="62">
        <f t="shared" si="36"/>
        <v>223.74038909289646</v>
      </c>
      <c r="AP63" s="16">
        <f>IF(ISNA(VLOOKUP(A63,'Données projet'!$A$61:$I$81,3,0)),0,VLOOKUP(A63,'Données projet'!$A$61:$I$81,3,0))</f>
        <v>5</v>
      </c>
      <c r="AQ63" s="16">
        <f>IF(ISNA(VLOOKUP(A63,'Données projet'!$A$61:$I$81,4,0)),0,VLOOKUP(A63,'Données projet'!$A$61:$I$81,4,0))</f>
        <v>67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projet'!$B$9,Paramètres!$A$1:$I$89,3,0)*VLOOKUP('Données projet'!$B$9,Paramètres!$A$1:$I$89,5,0)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80.044039344639373</v>
      </c>
      <c r="T64" s="62">
        <f t="shared" si="34"/>
        <v>373.57883793591537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25.864123121317554</v>
      </c>
      <c r="AA64" s="23">
        <f>EXP(-LN(2)/25)*AA63+(1-EXP(-LN(2)/25))/(LN(2)/25)*Calculateur!V64*Calculateur!X64*VLOOKUP('Données projet'!$B$9,Paramètres!$A$1:$I$89,3,0)*0.475*44/12</f>
        <v>7.6164075408477316</v>
      </c>
      <c r="AB64" s="23">
        <f>EXP(-LN(2)/2)*AB63+(1-EXP(-LN(2)/2))/(LN(2)/2)*V64*Y64*VLOOKUP('Données projet'!$B$9,Paramètres!$A$1:$I$89,3,0)*0.475*44/12</f>
        <v>2.2352901757296712E-5</v>
      </c>
      <c r="AC64" s="24">
        <f t="shared" si="3"/>
        <v>33.480553015067045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7.5</v>
      </c>
      <c r="AI64" s="14">
        <f>IF('Données projet'!$A$62&gt;35,AI63+AH64-AQ63,IF(A64&lt;'Données projet'!$A$62,$AF$205^A64,IF(A64='Données projet'!$A$62,'Données projet'!$B$62,AI63+AH64-AQ63)))</f>
        <v>277.5</v>
      </c>
      <c r="AJ64" s="14">
        <f>AI64*VLOOKUP('Données projet'!$B$10,Paramètres!$A$1:$I$89,3,0)*VLOOKUP('Données projet'!$B$10,Paramètres!$A$1:$I$89,5,0)</f>
        <v>129.87</v>
      </c>
      <c r="AK64" s="14">
        <f t="shared" si="35"/>
        <v>33.966318400312318</v>
      </c>
      <c r="AL64" s="22">
        <f t="shared" si="4"/>
        <v>285.34825454721067</v>
      </c>
      <c r="AM64" s="62">
        <f t="shared" si="5"/>
        <v>578.68158788054393</v>
      </c>
      <c r="AN64" s="62">
        <f ca="1">AVERAGE(OFFSET($AM$3,0,0,'Données projet'!$E$10+1,1))-AVERAGE(OFFSET($H$3,0,0,'Données projet'!$E$10+1,1))</f>
        <v>259.74478933784656</v>
      </c>
      <c r="AO64" s="62">
        <f t="shared" si="36"/>
        <v>223.74038909289646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projet'!$B$9,Paramètres!$A$1:$I$89,3,0)*VLOOKUP('Données projet'!$B$9,Paramètres!$A$1:$I$89,5,0)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80.044039344639373</v>
      </c>
      <c r="T65" s="62">
        <f t="shared" si="34"/>
        <v>373.57883793591537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25.356943442465916</v>
      </c>
      <c r="AA65" s="23">
        <f>EXP(-LN(2)/25)*AA64+(1-EXP(-LN(2)/25))/(LN(2)/25)*Calculateur!V65*Calculateur!X65*VLOOKUP('Données projet'!$B$9,Paramètres!$A$1:$I$89,3,0)*0.475*44/12</f>
        <v>7.4081364761137856</v>
      </c>
      <c r="AB65" s="23">
        <f>EXP(-LN(2)/2)*AB64+(1-EXP(-LN(2)/2))/(LN(2)/2)*V65*Y65*VLOOKUP('Données projet'!$B$9,Paramètres!$A$1:$I$89,3,0)*0.475*44/12</f>
        <v>1.5805888411781199E-5</v>
      </c>
      <c r="AC65" s="24">
        <f t="shared" si="3"/>
        <v>32.765095724468111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7.5</v>
      </c>
      <c r="AI65" s="14">
        <f>IF('Données projet'!$A$62&gt;35,AI64+AH65-AQ64,IF(A65&lt;'Données projet'!$A$62,$AF$205^A65,IF(A65='Données projet'!$A$62,'Données projet'!$B$62,AI64+AH65-AQ64)))</f>
        <v>285</v>
      </c>
      <c r="AJ65" s="14">
        <f>AI65*VLOOKUP('Données projet'!$B$10,Paramètres!$A$1:$I$89,3,0)*VLOOKUP('Données projet'!$B$10,Paramètres!$A$1:$I$89,5,0)</f>
        <v>133.38</v>
      </c>
      <c r="AK65" s="14">
        <f t="shared" si="35"/>
        <v>34.776207535548991</v>
      </c>
      <c r="AL65" s="22">
        <f t="shared" si="4"/>
        <v>292.8720614577478</v>
      </c>
      <c r="AM65" s="62">
        <f t="shared" si="5"/>
        <v>586.20539479108106</v>
      </c>
      <c r="AN65" s="62">
        <f ca="1">AVERAGE(OFFSET($AM$3,0,0,'Données projet'!$E$10+1,1))-AVERAGE(OFFSET($H$3,0,0,'Données projet'!$E$10+1,1))</f>
        <v>259.74478933784656</v>
      </c>
      <c r="AO65" s="62">
        <f t="shared" si="36"/>
        <v>223.74038909289646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projet'!$B$9,Paramètres!$A$1:$I$89,3,0)*VLOOKUP('Données projet'!$B$9,Paramètres!$A$1:$I$89,5,0)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80.044039344639373</v>
      </c>
      <c r="T66" s="62">
        <f t="shared" si="34"/>
        <v>373.57883793591537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24.859709247767498</v>
      </c>
      <c r="AA66" s="23">
        <f>EXP(-LN(2)/25)*AA65+(1-EXP(-LN(2)/25))/(LN(2)/25)*Calculateur!V66*Calculateur!X66*VLOOKUP('Données projet'!$B$9,Paramètres!$A$1:$I$89,3,0)*0.475*44/12</f>
        <v>7.2055605945974888</v>
      </c>
      <c r="AB66" s="23">
        <f>EXP(-LN(2)/2)*AB65+(1-EXP(-LN(2)/2))/(LN(2)/2)*V66*Y66*VLOOKUP('Données projet'!$B$9,Paramètres!$A$1:$I$89,3,0)*0.475*44/12</f>
        <v>1.1176450878648356E-5</v>
      </c>
      <c r="AC66" s="24">
        <f t="shared" si="3"/>
        <v>32.06528101881586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7.5</v>
      </c>
      <c r="AI66" s="14">
        <f>IF('Données projet'!$A$62&gt;35,AI65+AH66-AQ65,IF(A66&lt;'Données projet'!$A$62,$AF$205^A66,IF(A66='Données projet'!$A$62,'Données projet'!$B$62,AI65+AH66-AQ65)))</f>
        <v>292.5</v>
      </c>
      <c r="AJ66" s="14">
        <f>AI66*VLOOKUP('Données projet'!$B$10,Paramètres!$A$1:$I$89,3,0)*VLOOKUP('Données projet'!$B$10,Paramètres!$A$1:$I$89,5,0)</f>
        <v>136.89000000000001</v>
      </c>
      <c r="AK66" s="14">
        <f t="shared" si="35"/>
        <v>35.583619346017713</v>
      </c>
      <c r="AL66" s="22">
        <f t="shared" si="4"/>
        <v>300.39155369431421</v>
      </c>
      <c r="AM66" s="62">
        <f t="shared" si="5"/>
        <v>593.72488702764758</v>
      </c>
      <c r="AN66" s="62">
        <f ca="1">AVERAGE(OFFSET($AM$3,0,0,'Données projet'!$E$10+1,1))-AVERAGE(OFFSET($H$3,0,0,'Données projet'!$E$10+1,1))</f>
        <v>259.74478933784656</v>
      </c>
      <c r="AO66" s="62">
        <f t="shared" si="36"/>
        <v>223.74038909289646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projet'!$B$9,Paramètres!$A$1:$I$89,3,0)*VLOOKUP('Données projet'!$B$9,Paramètres!$A$1:$I$89,5,0)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80.044039344639373</v>
      </c>
      <c r="T67" s="62">
        <f t="shared" si="34"/>
        <v>373.57883793591537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24.372225512344205</v>
      </c>
      <c r="AA67" s="23">
        <f>EXP(-LN(2)/25)*AA66+(1-EXP(-LN(2)/25))/(LN(2)/25)*Calculateur!V67*Calculateur!X67*VLOOKUP('Données projet'!$B$9,Paramètres!$A$1:$I$89,3,0)*0.475*44/12</f>
        <v>7.0085241612142575</v>
      </c>
      <c r="AB67" s="23">
        <f>EXP(-LN(2)/2)*AB66+(1-EXP(-LN(2)/2))/(LN(2)/2)*V67*Y67*VLOOKUP('Données projet'!$B$9,Paramètres!$A$1:$I$89,3,0)*0.475*44/12</f>
        <v>7.9029442058905996E-6</v>
      </c>
      <c r="AC67" s="24">
        <f t="shared" si="3"/>
        <v>31.380757576502667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7.5</v>
      </c>
      <c r="AI67" s="14">
        <f>IF('Données projet'!$A$62&gt;35,AI66+AH67-AQ66,IF(A67&lt;'Données projet'!$A$62,$AF$205^A67,IF(A67='Données projet'!$A$62,'Données projet'!$B$62,AI66+AH67-AQ66)))</f>
        <v>300</v>
      </c>
      <c r="AJ67" s="14">
        <f>AI67*VLOOKUP('Données projet'!$B$10,Paramètres!$A$1:$I$89,3,0)*VLOOKUP('Données projet'!$B$10,Paramètres!$A$1:$I$89,5,0)</f>
        <v>140.4</v>
      </c>
      <c r="AK67" s="14">
        <f t="shared" si="35"/>
        <v>36.388624656711201</v>
      </c>
      <c r="AL67" s="22">
        <f t="shared" si="4"/>
        <v>307.90685461043864</v>
      </c>
      <c r="AM67" s="62">
        <f t="shared" si="5"/>
        <v>601.24018794377196</v>
      </c>
      <c r="AN67" s="62">
        <f ca="1">AVERAGE(OFFSET($AM$3,0,0,'Données projet'!$E$10+1,1))-AVERAGE(OFFSET($H$3,0,0,'Données projet'!$E$10+1,1))</f>
        <v>259.74478933784656</v>
      </c>
      <c r="AO67" s="62">
        <f t="shared" si="36"/>
        <v>223.74038909289646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projet'!$B$9,Paramètres!$A$1:$I$89,3,0)*VLOOKUP('Données projet'!$B$9,Paramètres!$A$1:$I$89,5,0)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80.044039344639373</v>
      </c>
      <c r="T68" s="62">
        <f t="shared" si="34"/>
        <v>373.57883793591537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23.894301035636843</v>
      </c>
      <c r="AA68" s="23">
        <f>EXP(-LN(2)/25)*AA67+(1-EXP(-LN(2)/25))/(LN(2)/25)*Calculateur!V68*Calculateur!X68*VLOOKUP('Données projet'!$B$9,Paramètres!$A$1:$I$89,3,0)*0.475*44/12</f>
        <v>6.8168756994635862</v>
      </c>
      <c r="AB68" s="23">
        <f>EXP(-LN(2)/2)*AB67+(1-EXP(-LN(2)/2))/(LN(2)/2)*V68*Y68*VLOOKUP('Données projet'!$B$9,Paramètres!$A$1:$I$89,3,0)*0.475*44/12</f>
        <v>5.5882254393241779E-6</v>
      </c>
      <c r="AC68" s="24">
        <f t="shared" ref="AC68:AC131" si="57">SUM(Z68:AB68)</f>
        <v>30.711182323325868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7.5</v>
      </c>
      <c r="AI68" s="14">
        <f>IF('Données projet'!$A$62&gt;35,AI67+AH68-AQ67,IF(A68&lt;'Données projet'!$A$62,$AF$205^A68,IF(A68='Données projet'!$A$62,'Données projet'!$B$62,AI67+AH68-AQ67)))</f>
        <v>307.5</v>
      </c>
      <c r="AJ68" s="14">
        <f>AI68*VLOOKUP('Données projet'!$B$10,Paramètres!$A$1:$I$89,3,0)*VLOOKUP('Données projet'!$B$10,Paramètres!$A$1:$I$89,5,0)</f>
        <v>143.91</v>
      </c>
      <c r="AK68" s="14">
        <f t="shared" si="35"/>
        <v>37.191290549543432</v>
      </c>
      <c r="AL68" s="22">
        <f t="shared" ref="AL68:AL131" si="58">(AJ68+AK68)*0.475*44/12</f>
        <v>315.41808104045475</v>
      </c>
      <c r="AM68" s="62">
        <f t="shared" ref="AM68:AM131" si="59">AL68+(AD68+AE68)*44/12</f>
        <v>608.75141437378807</v>
      </c>
      <c r="AN68" s="62">
        <f ca="1">AVERAGE(OFFSET($AM$3,0,0,'Données projet'!$E$10+1,1))-AVERAGE(OFFSET($H$3,0,0,'Données projet'!$E$10+1,1))</f>
        <v>259.74478933784656</v>
      </c>
      <c r="AO68" s="62">
        <f t="shared" si="36"/>
        <v>223.74038909289646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projet'!$B$9,Paramètres!$A$1:$I$89,3,0)*VLOOKUP('Données projet'!$B$9,Paramètres!$A$1:$I$89,5,0)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80.044039344639373</v>
      </c>
      <c r="T69" s="62">
        <f t="shared" ref="T69:T132" si="88">$T$3</f>
        <v>373.57883793591537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23.425748366412567</v>
      </c>
      <c r="AA69" s="23">
        <f>EXP(-LN(2)/25)*AA68+(1-EXP(-LN(2)/25))/(LN(2)/25)*Calculateur!V69*Calculateur!X69*VLOOKUP('Données projet'!$B$9,Paramètres!$A$1:$I$89,3,0)*0.475*44/12</f>
        <v>6.6304678749778416</v>
      </c>
      <c r="AB69" s="23">
        <f>EXP(-LN(2)/2)*AB68+(1-EXP(-LN(2)/2))/(LN(2)/2)*V69*Y69*VLOOKUP('Données projet'!$B$9,Paramètres!$A$1:$I$89,3,0)*0.475*44/12</f>
        <v>3.9514721029452998E-6</v>
      </c>
      <c r="AC69" s="24">
        <f t="shared" si="57"/>
        <v>30.056220192862511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7.5</v>
      </c>
      <c r="AI69" s="14">
        <f>IF('Données projet'!$A$62&gt;35,AI68+AH69-AQ68,IF(A69&lt;'Données projet'!$A$62,$AF$205^A69,IF(A69='Données projet'!$A$62,'Données projet'!$B$62,AI68+AH69-AQ68)))</f>
        <v>315</v>
      </c>
      <c r="AJ69" s="14">
        <f>AI69*VLOOKUP('Données projet'!$B$10,Paramètres!$A$1:$I$89,3,0)*VLOOKUP('Données projet'!$B$10,Paramètres!$A$1:$I$89,5,0)</f>
        <v>147.41999999999999</v>
      </c>
      <c r="AK69" s="14">
        <f t="shared" ref="AK69:AK132" si="89">EXP(-1.0587+0.8836*LN(AJ69)+0.284)</f>
        <v>37.991680647570291</v>
      </c>
      <c r="AL69" s="22">
        <f t="shared" si="58"/>
        <v>322.92534379451826</v>
      </c>
      <c r="AM69" s="62">
        <f t="shared" si="59"/>
        <v>616.25867712785157</v>
      </c>
      <c r="AN69" s="62">
        <f ca="1">AVERAGE(OFFSET($AM$3,0,0,'Données projet'!$E$10+1,1))-AVERAGE(OFFSET($H$3,0,0,'Données projet'!$E$10+1,1))</f>
        <v>259.74478933784656</v>
      </c>
      <c r="AO69" s="62">
        <f t="shared" ref="AO69:AO132" si="90">$AO$3</f>
        <v>223.74038909289646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projet'!$B$9,Paramètres!$A$1:$I$89,3,0)*VLOOKUP('Données projet'!$B$9,Paramètres!$A$1:$I$89,5,0)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80.044039344639373</v>
      </c>
      <c r="T70" s="62">
        <f t="shared" si="88"/>
        <v>373.57883793591537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22.966383729242867</v>
      </c>
      <c r="AA70" s="23">
        <f>EXP(-LN(2)/25)*AA69+(1-EXP(-LN(2)/25))/(LN(2)/25)*Calculateur!V70*Calculateur!X70*VLOOKUP('Données projet'!$B$9,Paramètres!$A$1:$I$89,3,0)*0.475*44/12</f>
        <v>6.4491573822554216</v>
      </c>
      <c r="AB70" s="23">
        <f>EXP(-LN(2)/2)*AB69+(1-EXP(-LN(2)/2))/(LN(2)/2)*V70*Y70*VLOOKUP('Données projet'!$B$9,Paramètres!$A$1:$I$89,3,0)*0.475*44/12</f>
        <v>2.794112719662089E-6</v>
      </c>
      <c r="AC70" s="24">
        <f t="shared" si="57"/>
        <v>29.41554390561101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7.5</v>
      </c>
      <c r="AI70" s="14">
        <f>IF('Données projet'!$A$62&gt;35,AI69+AH70-AQ69,IF(A70&lt;'Données projet'!$A$62,$AF$205^A70,IF(A70='Données projet'!$A$62,'Données projet'!$B$62,AI69+AH70-AQ69)))</f>
        <v>322.5</v>
      </c>
      <c r="AJ70" s="14">
        <f>AI70*VLOOKUP('Données projet'!$B$10,Paramètres!$A$1:$I$89,3,0)*VLOOKUP('Données projet'!$B$10,Paramètres!$A$1:$I$89,5,0)</f>
        <v>150.93</v>
      </c>
      <c r="AK70" s="14">
        <f t="shared" si="89"/>
        <v>38.789855371379076</v>
      </c>
      <c r="AL70" s="22">
        <f t="shared" si="58"/>
        <v>330.4287481051519</v>
      </c>
      <c r="AM70" s="62">
        <f t="shared" si="59"/>
        <v>623.76208143848521</v>
      </c>
      <c r="AN70" s="62">
        <f ca="1">AVERAGE(OFFSET($AM$3,0,0,'Données projet'!$E$10+1,1))-AVERAGE(OFFSET($H$3,0,0,'Données projet'!$E$10+1,1))</f>
        <v>259.74478933784656</v>
      </c>
      <c r="AO70" s="62">
        <f t="shared" si="90"/>
        <v>223.74038909289646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projet'!$B$9,Paramètres!$A$1:$I$89,3,0)*VLOOKUP('Données projet'!$B$9,Paramètres!$A$1:$I$89,5,0)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80.044039344639373</v>
      </c>
      <c r="T71" s="62">
        <f t="shared" si="88"/>
        <v>373.57883793591537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22.516026952423303</v>
      </c>
      <c r="AA71" s="23">
        <f>EXP(-LN(2)/25)*AA70+(1-EXP(-LN(2)/25))/(LN(2)/25)*Calculateur!V71*Calculateur!X71*VLOOKUP('Données projet'!$B$9,Paramètres!$A$1:$I$89,3,0)*0.475*44/12</f>
        <v>6.2728048344912004</v>
      </c>
      <c r="AB71" s="23">
        <f>EXP(-LN(2)/2)*AB70+(1-EXP(-LN(2)/2))/(LN(2)/2)*V71*Y71*VLOOKUP('Données projet'!$B$9,Paramètres!$A$1:$I$89,3,0)*0.475*44/12</f>
        <v>1.9757360514726499E-6</v>
      </c>
      <c r="AC71" s="24">
        <f t="shared" si="57"/>
        <v>28.788833762650555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7.5</v>
      </c>
      <c r="AI71" s="14">
        <f>IF('Données projet'!$A$62&gt;35,AI70+AH71-AQ70,IF(A71&lt;'Données projet'!$A$62,$AF$205^A71,IF(A71='Données projet'!$A$62,'Données projet'!$B$62,AI70+AH71-AQ70)))</f>
        <v>330</v>
      </c>
      <c r="AJ71" s="14">
        <f>AI71*VLOOKUP('Données projet'!$B$10,Paramètres!$A$1:$I$89,3,0)*VLOOKUP('Données projet'!$B$10,Paramètres!$A$1:$I$89,5,0)</f>
        <v>154.44</v>
      </c>
      <c r="AK71" s="14">
        <f t="shared" si="89"/>
        <v>39.58587217095549</v>
      </c>
      <c r="AL71" s="22">
        <f t="shared" si="58"/>
        <v>337.92839403108081</v>
      </c>
      <c r="AM71" s="62">
        <f t="shared" si="59"/>
        <v>631.26172736441413</v>
      </c>
      <c r="AN71" s="62">
        <f ca="1">AVERAGE(OFFSET($AM$3,0,0,'Données projet'!$E$10+1,1))-AVERAGE(OFFSET($H$3,0,0,'Données projet'!$E$10+1,1))</f>
        <v>259.74478933784656</v>
      </c>
      <c r="AO71" s="62">
        <f t="shared" si="90"/>
        <v>223.74038909289646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projet'!$B$9,Paramètres!$A$1:$I$89,3,0)*VLOOKUP('Données projet'!$B$9,Paramètres!$A$1:$I$89,5,0)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80.044039344639373</v>
      </c>
      <c r="T72" s="62">
        <f t="shared" si="88"/>
        <v>373.57883793591537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22.074501397306662</v>
      </c>
      <c r="AA72" s="23">
        <f>EXP(-LN(2)/25)*AA71+(1-EXP(-LN(2)/25))/(LN(2)/25)*Calculateur!V72*Calculateur!X72*VLOOKUP('Données projet'!$B$9,Paramètres!$A$1:$I$89,3,0)*0.475*44/12</f>
        <v>6.1012746564195686</v>
      </c>
      <c r="AB72" s="23">
        <f>EXP(-LN(2)/2)*AB71+(1-EXP(-LN(2)/2))/(LN(2)/2)*V72*Y72*VLOOKUP('Données projet'!$B$9,Paramètres!$A$1:$I$89,3,0)*0.475*44/12</f>
        <v>1.3970563598310445E-6</v>
      </c>
      <c r="AC72" s="24">
        <f t="shared" si="57"/>
        <v>28.17577745078259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7.5</v>
      </c>
      <c r="AI72" s="14">
        <f>IF('Données projet'!$A$62&gt;35,AI71+AH72-AQ71,IF(A72&lt;'Données projet'!$A$62,$AF$205^A72,IF(A72='Données projet'!$A$62,'Données projet'!$B$62,AI71+AH72-AQ71)))</f>
        <v>337.5</v>
      </c>
      <c r="AJ72" s="14">
        <f>AI72*VLOOKUP('Données projet'!$B$10,Paramètres!$A$1:$I$89,3,0)*VLOOKUP('Données projet'!$B$10,Paramètres!$A$1:$I$89,5,0)</f>
        <v>157.95000000000002</v>
      </c>
      <c r="AK72" s="14">
        <f t="shared" si="89"/>
        <v>40.379785735878301</v>
      </c>
      <c r="AL72" s="22">
        <f t="shared" si="58"/>
        <v>345.42437682332138</v>
      </c>
      <c r="AM72" s="62">
        <f t="shared" si="59"/>
        <v>638.75771015665464</v>
      </c>
      <c r="AN72" s="62">
        <f ca="1">AVERAGE(OFFSET($AM$3,0,0,'Données projet'!$E$10+1,1))-AVERAGE(OFFSET($H$3,0,0,'Données projet'!$E$10+1,1))</f>
        <v>259.74478933784656</v>
      </c>
      <c r="AO72" s="62">
        <f t="shared" si="90"/>
        <v>223.74038909289646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projet'!$B$9,Paramètres!$A$1:$I$89,3,0)*VLOOKUP('Données projet'!$B$9,Paramètres!$A$1:$I$89,5,0)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80.044039344639373</v>
      </c>
      <c r="T73" s="62">
        <f t="shared" si="88"/>
        <v>373.57883793591537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21.641633889021861</v>
      </c>
      <c r="AA73" s="23">
        <f>EXP(-LN(2)/25)*AA72+(1-EXP(-LN(2)/25))/(LN(2)/25)*Calculateur!V73*Calculateur!X73*VLOOKUP('Données projet'!$B$9,Paramètres!$A$1:$I$89,3,0)*0.475*44/12</f>
        <v>5.9344349800876861</v>
      </c>
      <c r="AB73" s="23">
        <f>EXP(-LN(2)/2)*AB72+(1-EXP(-LN(2)/2))/(LN(2)/2)*V73*Y73*VLOOKUP('Données projet'!$B$9,Paramètres!$A$1:$I$89,3,0)*0.475*44/12</f>
        <v>9.8786802573632495E-7</v>
      </c>
      <c r="AC73" s="24">
        <f t="shared" si="57"/>
        <v>27.576069856977576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345</v>
      </c>
      <c r="AG73" s="13">
        <f>VLOOKUP(A73,'Données projet'!$A$61:$I$81,9,0)</f>
        <v>7.5</v>
      </c>
      <c r="AH73" s="13">
        <f t="array" ref="AH73">INDEX(AG:AG,MIN(IF(ISNUMBER(AG73:AG269),ROW(AG73:AG269),"")))</f>
        <v>7.5</v>
      </c>
      <c r="AI73" s="14">
        <f>IF('Données projet'!$A$62&gt;35,AI72+AH73-AQ72,IF(A73&lt;'Données projet'!$A$62,$AF$205^A73,IF(A73='Données projet'!$A$62,'Données projet'!$B$62,AI72+AH73-AQ72)))</f>
        <v>345</v>
      </c>
      <c r="AJ73" s="14">
        <f>AI73*VLOOKUP('Données projet'!$B$10,Paramètres!$A$1:$I$89,3,0)*VLOOKUP('Données projet'!$B$10,Paramètres!$A$1:$I$89,5,0)</f>
        <v>161.45999999999998</v>
      </c>
      <c r="AK73" s="14">
        <f t="shared" si="89"/>
        <v>41.171648186302534</v>
      </c>
      <c r="AL73" s="22">
        <f t="shared" si="58"/>
        <v>352.9167872578102</v>
      </c>
      <c r="AM73" s="62">
        <f t="shared" si="59"/>
        <v>646.25012059114351</v>
      </c>
      <c r="AN73" s="62">
        <f ca="1">AVERAGE(OFFSET($AM$3,0,0,'Données projet'!$E$10+1,1))-AVERAGE(OFFSET($H$3,0,0,'Données projet'!$E$10+1,1))</f>
        <v>259.74478933784656</v>
      </c>
      <c r="AO73" s="62">
        <f t="shared" si="90"/>
        <v>223.74038909289646</v>
      </c>
      <c r="AP73" s="16">
        <f>IF(ISNA(VLOOKUP(A73,'Données projet'!$A$61:$I$81,3,0)),0,VLOOKUP(A73,'Données projet'!$A$61:$I$81,3,0))</f>
        <v>6</v>
      </c>
      <c r="AQ73" s="16">
        <f>IF(ISNA(VLOOKUP(A73,'Données projet'!$A$61:$I$81,4,0)),0,VLOOKUP(A73,'Données projet'!$A$61:$I$81,4,0))</f>
        <v>69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projet'!$B$9,Paramètres!$A$1:$I$89,3,0)*VLOOKUP('Données projet'!$B$9,Paramètres!$A$1:$I$89,5,0)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80.044039344639373</v>
      </c>
      <c r="T74" s="62">
        <f t="shared" si="88"/>
        <v>373.57883793591537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21.217254648551414</v>
      </c>
      <c r="AA74" s="23">
        <f>EXP(-LN(2)/25)*AA73+(1-EXP(-LN(2)/25))/(LN(2)/25)*Calculateur!V74*Calculateur!X74*VLOOKUP('Données projet'!$B$9,Paramètres!$A$1:$I$89,3,0)*0.475*44/12</f>
        <v>5.7721575434788157</v>
      </c>
      <c r="AB74" s="23">
        <f>EXP(-LN(2)/2)*AB73+(1-EXP(-LN(2)/2))/(LN(2)/2)*V74*Y74*VLOOKUP('Données projet'!$B$9,Paramètres!$A$1:$I$89,3,0)*0.475*44/12</f>
        <v>6.9852817991552224E-7</v>
      </c>
      <c r="AC74" s="24">
        <f t="shared" si="57"/>
        <v>26.989412890558409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7.7</v>
      </c>
      <c r="AI74" s="14">
        <f>IF('Données projet'!$A$62&gt;35,AI73+AH74-AQ73,IF(A74&lt;'Données projet'!$A$62,$AF$205^A74,IF(A74='Données projet'!$A$62,'Données projet'!$B$62,AI73+AH74-AQ73)))</f>
        <v>283.7</v>
      </c>
      <c r="AJ74" s="14">
        <f>AI74*VLOOKUP('Données projet'!$B$10,Paramètres!$A$1:$I$89,3,0)*VLOOKUP('Données projet'!$B$10,Paramètres!$A$1:$I$89,5,0)</f>
        <v>132.77160000000001</v>
      </c>
      <c r="AK74" s="14">
        <f t="shared" si="89"/>
        <v>34.63600628318656</v>
      </c>
      <c r="AL74" s="22">
        <f t="shared" si="58"/>
        <v>291.56824760988326</v>
      </c>
      <c r="AM74" s="62">
        <f t="shared" si="59"/>
        <v>584.90158094321657</v>
      </c>
      <c r="AN74" s="62">
        <f ca="1">AVERAGE(OFFSET($AM$3,0,0,'Données projet'!$E$10+1,1))-AVERAGE(OFFSET($H$3,0,0,'Données projet'!$E$10+1,1))</f>
        <v>259.74478933784656</v>
      </c>
      <c r="AO74" s="62">
        <f t="shared" si="90"/>
        <v>223.74038909289646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projet'!$B$9,Paramètres!$A$1:$I$89,3,0)*VLOOKUP('Données projet'!$B$9,Paramètres!$A$1:$I$89,5,0)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80.044039344639373</v>
      </c>
      <c r="T75" s="62">
        <f t="shared" si="88"/>
        <v>373.57883793591537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20.801197226140815</v>
      </c>
      <c r="AA75" s="23">
        <f>EXP(-LN(2)/25)*AA74+(1-EXP(-LN(2)/25))/(LN(2)/25)*Calculateur!V75*Calculateur!X75*VLOOKUP('Données projet'!$B$9,Paramètres!$A$1:$I$89,3,0)*0.475*44/12</f>
        <v>5.614317591907815</v>
      </c>
      <c r="AB75" s="23">
        <f>EXP(-LN(2)/2)*AB74+(1-EXP(-LN(2)/2))/(LN(2)/2)*V75*Y75*VLOOKUP('Données projet'!$B$9,Paramètres!$A$1:$I$89,3,0)*0.475*44/12</f>
        <v>4.9393401286816247E-7</v>
      </c>
      <c r="AC75" s="24">
        <f t="shared" si="57"/>
        <v>26.415515311982642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7.7</v>
      </c>
      <c r="AI75" s="14">
        <f>IF('Données projet'!$A$62&gt;35,AI74+AH75-AQ74,IF(A75&lt;'Données projet'!$A$62,$AF$205^A75,IF(A75='Données projet'!$A$62,'Données projet'!$B$62,AI74+AH75-AQ74)))</f>
        <v>291.39999999999998</v>
      </c>
      <c r="AJ75" s="14">
        <f>AI75*VLOOKUP('Données projet'!$B$10,Paramètres!$A$1:$I$89,3,0)*VLOOKUP('Données projet'!$B$10,Paramètres!$A$1:$I$89,5,0)</f>
        <v>136.37519999999998</v>
      </c>
      <c r="AK75" s="14">
        <f t="shared" si="89"/>
        <v>35.465351191683979</v>
      </c>
      <c r="AL75" s="22">
        <f t="shared" si="58"/>
        <v>299.28895999218292</v>
      </c>
      <c r="AM75" s="62">
        <f t="shared" si="59"/>
        <v>592.62229332551624</v>
      </c>
      <c r="AN75" s="62">
        <f ca="1">AVERAGE(OFFSET($AM$3,0,0,'Données projet'!$E$10+1,1))-AVERAGE(OFFSET($H$3,0,0,'Données projet'!$E$10+1,1))</f>
        <v>259.74478933784656</v>
      </c>
      <c r="AO75" s="62">
        <f t="shared" si="90"/>
        <v>223.74038909289646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projet'!$B$9,Paramètres!$A$1:$I$89,3,0)*VLOOKUP('Données projet'!$B$9,Paramètres!$A$1:$I$89,5,0)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80.044039344639373</v>
      </c>
      <c r="T76" s="62">
        <f t="shared" si="88"/>
        <v>373.57883793591537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20.393298436013716</v>
      </c>
      <c r="AA76" s="23">
        <f>EXP(-LN(2)/25)*AA75+(1-EXP(-LN(2)/25))/(LN(2)/25)*Calculateur!V76*Calculateur!X76*VLOOKUP('Données projet'!$B$9,Paramètres!$A$1:$I$89,3,0)*0.475*44/12</f>
        <v>5.4607937821129653</v>
      </c>
      <c r="AB76" s="23">
        <f>EXP(-LN(2)/2)*AB75+(1-EXP(-LN(2)/2))/(LN(2)/2)*V76*Y76*VLOOKUP('Données projet'!$B$9,Paramètres!$A$1:$I$89,3,0)*0.475*44/12</f>
        <v>3.4926408995776112E-7</v>
      </c>
      <c r="AC76" s="24">
        <f t="shared" si="57"/>
        <v>25.854092567390772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7.7</v>
      </c>
      <c r="AI76" s="14">
        <f>IF('Données projet'!$A$62&gt;35,AI75+AH76-AQ75,IF(A76&lt;'Données projet'!$A$62,$AF$205^A76,IF(A76='Données projet'!$A$62,'Données projet'!$B$62,AI75+AH76-AQ75)))</f>
        <v>299.09999999999997</v>
      </c>
      <c r="AJ76" s="14">
        <f>AI76*VLOOKUP('Données projet'!$B$10,Paramètres!$A$1:$I$89,3,0)*VLOOKUP('Données projet'!$B$10,Paramètres!$A$1:$I$89,5,0)</f>
        <v>139.97879999999998</v>
      </c>
      <c r="AK76" s="14">
        <f t="shared" si="89"/>
        <v>36.292148829903653</v>
      </c>
      <c r="AL76" s="22">
        <f t="shared" si="58"/>
        <v>307.00523587874881</v>
      </c>
      <c r="AM76" s="62">
        <f t="shared" si="59"/>
        <v>600.33856921208212</v>
      </c>
      <c r="AN76" s="62">
        <f ca="1">AVERAGE(OFFSET($AM$3,0,0,'Données projet'!$E$10+1,1))-AVERAGE(OFFSET($H$3,0,0,'Données projet'!$E$10+1,1))</f>
        <v>259.74478933784656</v>
      </c>
      <c r="AO76" s="62">
        <f t="shared" si="90"/>
        <v>223.74038909289646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projet'!$B$9,Paramètres!$A$1:$I$89,3,0)*VLOOKUP('Données projet'!$B$9,Paramètres!$A$1:$I$89,5,0)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80.044039344639373</v>
      </c>
      <c r="T77" s="62">
        <f t="shared" si="88"/>
        <v>373.57883793591537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19.993398292367313</v>
      </c>
      <c r="AA77" s="23">
        <f>EXP(-LN(2)/25)*AA76+(1-EXP(-LN(2)/25))/(LN(2)/25)*Calculateur!V77*Calculateur!X77*VLOOKUP('Données projet'!$B$9,Paramètres!$A$1:$I$89,3,0)*0.475*44/12</f>
        <v>5.3114680889704218</v>
      </c>
      <c r="AB77" s="23">
        <f>EXP(-LN(2)/2)*AB76+(1-EXP(-LN(2)/2))/(LN(2)/2)*V77*Y77*VLOOKUP('Données projet'!$B$9,Paramètres!$A$1:$I$89,3,0)*0.475*44/12</f>
        <v>2.4696700643408124E-7</v>
      </c>
      <c r="AC77" s="24">
        <f t="shared" si="57"/>
        <v>25.30486662830474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7.7</v>
      </c>
      <c r="AI77" s="14">
        <f>IF('Données projet'!$A$62&gt;35,AI76+AH77-AQ76,IF(A77&lt;'Données projet'!$A$62,$AF$205^A77,IF(A77='Données projet'!$A$62,'Données projet'!$B$62,AI76+AH77-AQ76)))</f>
        <v>306.79999999999995</v>
      </c>
      <c r="AJ77" s="14">
        <f>AI77*VLOOKUP('Données projet'!$B$10,Paramètres!$A$1:$I$89,3,0)*VLOOKUP('Données projet'!$B$10,Paramètres!$A$1:$I$89,5,0)</f>
        <v>143.58239999999998</v>
      </c>
      <c r="AK77" s="14">
        <f t="shared" si="89"/>
        <v>37.116472314400653</v>
      </c>
      <c r="AL77" s="22">
        <f t="shared" si="58"/>
        <v>314.71720261424775</v>
      </c>
      <c r="AM77" s="62">
        <f t="shared" si="59"/>
        <v>608.05053594758101</v>
      </c>
      <c r="AN77" s="62">
        <f ca="1">AVERAGE(OFFSET($AM$3,0,0,'Données projet'!$E$10+1,1))-AVERAGE(OFFSET($H$3,0,0,'Données projet'!$E$10+1,1))</f>
        <v>259.74478933784656</v>
      </c>
      <c r="AO77" s="62">
        <f t="shared" si="90"/>
        <v>223.74038909289646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projet'!$B$9,Paramètres!$A$1:$I$89,3,0)*VLOOKUP('Données projet'!$B$9,Paramètres!$A$1:$I$89,5,0)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80.044039344639373</v>
      </c>
      <c r="T78" s="62">
        <f t="shared" si="88"/>
        <v>373.57883793591537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19.601339946622815</v>
      </c>
      <c r="AA78" s="23">
        <f>EXP(-LN(2)/25)*AA77+(1-EXP(-LN(2)/25))/(LN(2)/25)*Calculateur!V78*Calculateur!X78*VLOOKUP('Données projet'!$B$9,Paramètres!$A$1:$I$89,3,0)*0.475*44/12</f>
        <v>5.1662257147595581</v>
      </c>
      <c r="AB78" s="23">
        <f>EXP(-LN(2)/2)*AB77+(1-EXP(-LN(2)/2))/(LN(2)/2)*V78*Y78*VLOOKUP('Données projet'!$B$9,Paramètres!$A$1:$I$89,3,0)*0.475*44/12</f>
        <v>1.7463204497888056E-7</v>
      </c>
      <c r="AC78" s="24">
        <f t="shared" si="57"/>
        <v>24.76756583601442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7.7</v>
      </c>
      <c r="AI78" s="14">
        <f>IF('Données projet'!$A$62&gt;35,AI77+AH78-AQ77,IF(A78&lt;'Données projet'!$A$62,$AF$205^A78,IF(A78='Données projet'!$A$62,'Données projet'!$B$62,AI77+AH78-AQ77)))</f>
        <v>314.49999999999994</v>
      </c>
      <c r="AJ78" s="14">
        <f>AI78*VLOOKUP('Données projet'!$B$10,Paramètres!$A$1:$I$89,3,0)*VLOOKUP('Données projet'!$B$10,Paramètres!$A$1:$I$89,5,0)</f>
        <v>147.18599999999998</v>
      </c>
      <c r="AK78" s="14">
        <f t="shared" si="89"/>
        <v>37.938390882441361</v>
      </c>
      <c r="AL78" s="22">
        <f t="shared" si="58"/>
        <v>322.42498078691864</v>
      </c>
      <c r="AM78" s="62">
        <f t="shared" si="59"/>
        <v>615.75831412025195</v>
      </c>
      <c r="AN78" s="62">
        <f ca="1">AVERAGE(OFFSET($AM$3,0,0,'Données projet'!$E$10+1,1))-AVERAGE(OFFSET($H$3,0,0,'Données projet'!$E$10+1,1))</f>
        <v>259.74478933784656</v>
      </c>
      <c r="AO78" s="62">
        <f t="shared" si="90"/>
        <v>223.74038909289646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projet'!$B$9,Paramètres!$A$1:$I$89,3,0)*VLOOKUP('Données projet'!$B$9,Paramètres!$A$1:$I$89,5,0)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80.044039344639373</v>
      </c>
      <c r="T79" s="62">
        <f t="shared" si="88"/>
        <v>373.57883793591537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19.216969625906387</v>
      </c>
      <c r="AA79" s="23">
        <f>EXP(-LN(2)/25)*AA78+(1-EXP(-LN(2)/25))/(LN(2)/25)*Calculateur!V79*Calculateur!X79*VLOOKUP('Données projet'!$B$9,Paramètres!$A$1:$I$89,3,0)*0.475*44/12</f>
        <v>5.024955000909455</v>
      </c>
      <c r="AB79" s="23">
        <f>EXP(-LN(2)/2)*AB78+(1-EXP(-LN(2)/2))/(LN(2)/2)*V79*Y79*VLOOKUP('Données projet'!$B$9,Paramètres!$A$1:$I$89,3,0)*0.475*44/12</f>
        <v>1.2348350321704062E-7</v>
      </c>
      <c r="AC79" s="24">
        <f t="shared" si="57"/>
        <v>24.241924750299344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7.7</v>
      </c>
      <c r="AI79" s="14">
        <f>IF('Données projet'!$A$62&gt;35,AI78+AH79-AQ78,IF(A79&lt;'Données projet'!$A$62,$AF$205^A79,IF(A79='Données projet'!$A$62,'Données projet'!$B$62,AI78+AH79-AQ78)))</f>
        <v>322.19999999999993</v>
      </c>
      <c r="AJ79" s="14">
        <f>AI79*VLOOKUP('Données projet'!$B$10,Paramètres!$A$1:$I$89,3,0)*VLOOKUP('Données projet'!$B$10,Paramètres!$A$1:$I$89,5,0)</f>
        <v>150.78959999999998</v>
      </c>
      <c r="AK79" s="14">
        <f t="shared" si="89"/>
        <v>38.757970187689722</v>
      </c>
      <c r="AL79" s="22">
        <f t="shared" si="58"/>
        <v>330.12868474355952</v>
      </c>
      <c r="AM79" s="62">
        <f t="shared" si="59"/>
        <v>623.46201807689283</v>
      </c>
      <c r="AN79" s="62">
        <f ca="1">AVERAGE(OFFSET($AM$3,0,0,'Données projet'!$E$10+1,1))-AVERAGE(OFFSET($H$3,0,0,'Données projet'!$E$10+1,1))</f>
        <v>259.74478933784656</v>
      </c>
      <c r="AO79" s="62">
        <f t="shared" si="90"/>
        <v>223.74038909289646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projet'!$B$9,Paramètres!$A$1:$I$89,3,0)*VLOOKUP('Données projet'!$B$9,Paramètres!$A$1:$I$89,5,0)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80.044039344639373</v>
      </c>
      <c r="T80" s="62">
        <f t="shared" si="88"/>
        <v>373.57883793591537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18.840136572736462</v>
      </c>
      <c r="AA80" s="23">
        <f>EXP(-LN(2)/25)*AA79+(1-EXP(-LN(2)/25))/(LN(2)/25)*Calculateur!V80*Calculateur!X80*VLOOKUP('Données projet'!$B$9,Paramètres!$A$1:$I$89,3,0)*0.475*44/12</f>
        <v>4.8875473421586868</v>
      </c>
      <c r="AB80" s="23">
        <f>EXP(-LN(2)/2)*AB79+(1-EXP(-LN(2)/2))/(LN(2)/2)*V80*Y80*VLOOKUP('Données projet'!$B$9,Paramètres!$A$1:$I$89,3,0)*0.475*44/12</f>
        <v>8.731602248944028E-8</v>
      </c>
      <c r="AC80" s="24">
        <f t="shared" si="57"/>
        <v>23.72768400221117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7.7</v>
      </c>
      <c r="AI80" s="14">
        <f>IF('Données projet'!$A$62&gt;35,AI79+AH80-AQ79,IF(A80&lt;'Données projet'!$A$62,$AF$205^A80,IF(A80='Données projet'!$A$62,'Données projet'!$B$62,AI79+AH80-AQ79)))</f>
        <v>329.89999999999992</v>
      </c>
      <c r="AJ80" s="14">
        <f>AI80*VLOOKUP('Données projet'!$B$10,Paramètres!$A$1:$I$89,3,0)*VLOOKUP('Données projet'!$B$10,Paramètres!$A$1:$I$89,5,0)</f>
        <v>154.39319999999995</v>
      </c>
      <c r="AK80" s="14">
        <f t="shared" si="89"/>
        <v>39.575272566832489</v>
      </c>
      <c r="AL80" s="22">
        <f t="shared" si="58"/>
        <v>337.82842305389983</v>
      </c>
      <c r="AM80" s="62">
        <f t="shared" si="59"/>
        <v>631.16175638723314</v>
      </c>
      <c r="AN80" s="62">
        <f ca="1">AVERAGE(OFFSET($AM$3,0,0,'Données projet'!$E$10+1,1))-AVERAGE(OFFSET($H$3,0,0,'Données projet'!$E$10+1,1))</f>
        <v>259.74478933784656</v>
      </c>
      <c r="AO80" s="62">
        <f t="shared" si="90"/>
        <v>223.74038909289646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projet'!$B$9,Paramètres!$A$1:$I$89,3,0)*VLOOKUP('Données projet'!$B$9,Paramètres!$A$1:$I$89,5,0)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80.044039344639373</v>
      </c>
      <c r="T81" s="62">
        <f t="shared" si="88"/>
        <v>373.57883793591537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18.470692985893734</v>
      </c>
      <c r="AA81" s="23">
        <f>EXP(-LN(2)/25)*AA80+(1-EXP(-LN(2)/25))/(LN(2)/25)*Calculateur!V81*Calculateur!X81*VLOOKUP('Données projet'!$B$9,Paramètres!$A$1:$I$89,3,0)*0.475*44/12</f>
        <v>4.7538971030624131</v>
      </c>
      <c r="AB81" s="23">
        <f>EXP(-LN(2)/2)*AB80+(1-EXP(-LN(2)/2))/(LN(2)/2)*V81*Y81*VLOOKUP('Données projet'!$B$9,Paramètres!$A$1:$I$89,3,0)*0.475*44/12</f>
        <v>6.1741751608520309E-8</v>
      </c>
      <c r="AC81" s="24">
        <f t="shared" si="57"/>
        <v>23.2245901506979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7.7</v>
      </c>
      <c r="AI81" s="14">
        <f>IF('Données projet'!$A$62&gt;35,AI80+AH81-AQ80,IF(A81&lt;'Données projet'!$A$62,$AF$205^A81,IF(A81='Données projet'!$A$62,'Données projet'!$B$62,AI80+AH81-AQ80)))</f>
        <v>337.59999999999991</v>
      </c>
      <c r="AJ81" s="14">
        <f>AI81*VLOOKUP('Données projet'!$B$10,Paramètres!$A$1:$I$89,3,0)*VLOOKUP('Données projet'!$B$10,Paramètres!$A$1:$I$89,5,0)</f>
        <v>157.99679999999995</v>
      </c>
      <c r="AK81" s="14">
        <f t="shared" si="89"/>
        <v>40.390357280610026</v>
      </c>
      <c r="AL81" s="22">
        <f t="shared" si="58"/>
        <v>345.52429893039567</v>
      </c>
      <c r="AM81" s="62">
        <f t="shared" si="59"/>
        <v>638.85763226372899</v>
      </c>
      <c r="AN81" s="62">
        <f ca="1">AVERAGE(OFFSET($AM$3,0,0,'Données projet'!$E$10+1,1))-AVERAGE(OFFSET($H$3,0,0,'Données projet'!$E$10+1,1))</f>
        <v>259.74478933784656</v>
      </c>
      <c r="AO81" s="62">
        <f t="shared" si="90"/>
        <v>223.74038909289646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projet'!$B$9,Paramètres!$A$1:$I$89,3,0)*VLOOKUP('Données projet'!$B$9,Paramètres!$A$1:$I$89,5,0)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80.044039344639373</v>
      </c>
      <c r="T82" s="62">
        <f t="shared" si="88"/>
        <v>373.57883793591537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18.108493962450652</v>
      </c>
      <c r="AA82" s="23">
        <f>EXP(-LN(2)/25)*AA81+(1-EXP(-LN(2)/25))/(LN(2)/25)*Calculateur!V82*Calculateur!X82*VLOOKUP('Données projet'!$B$9,Paramètres!$A$1:$I$89,3,0)*0.475*44/12</f>
        <v>4.6239015367825882</v>
      </c>
      <c r="AB82" s="23">
        <f>EXP(-LN(2)/2)*AB81+(1-EXP(-LN(2)/2))/(LN(2)/2)*V82*Y82*VLOOKUP('Données projet'!$B$9,Paramètres!$A$1:$I$89,3,0)*0.475*44/12</f>
        <v>4.365801124472014E-8</v>
      </c>
      <c r="AC82" s="24">
        <f t="shared" si="57"/>
        <v>22.732395542891254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7.7</v>
      </c>
      <c r="AI82" s="14">
        <f>IF('Données projet'!$A$62&gt;35,AI81+AH82-AQ81,IF(A82&lt;'Données projet'!$A$62,$AF$205^A82,IF(A82='Données projet'!$A$62,'Données projet'!$B$62,AI81+AH82-AQ81)))</f>
        <v>345.2999999999999</v>
      </c>
      <c r="AJ82" s="14">
        <f>AI82*VLOOKUP('Données projet'!$B$10,Paramètres!$A$1:$I$89,3,0)*VLOOKUP('Données projet'!$B$10,Paramètres!$A$1:$I$89,5,0)</f>
        <v>161.60039999999995</v>
      </c>
      <c r="AK82" s="14">
        <f t="shared" si="89"/>
        <v>41.203280732237822</v>
      </c>
      <c r="AL82" s="22">
        <f t="shared" si="58"/>
        <v>353.21641060864749</v>
      </c>
      <c r="AM82" s="62">
        <f t="shared" si="59"/>
        <v>646.54974394198075</v>
      </c>
      <c r="AN82" s="62">
        <f ca="1">AVERAGE(OFFSET($AM$3,0,0,'Données projet'!$E$10+1,1))-AVERAGE(OFFSET($H$3,0,0,'Données projet'!$E$10+1,1))</f>
        <v>259.74478933784656</v>
      </c>
      <c r="AO82" s="62">
        <f t="shared" si="90"/>
        <v>223.74038909289646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projet'!$B$9,Paramètres!$A$1:$I$89,3,0)*VLOOKUP('Données projet'!$B$9,Paramètres!$A$1:$I$89,5,0)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80.044039344639373</v>
      </c>
      <c r="T83" s="62">
        <f t="shared" si="88"/>
        <v>373.57883793591537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17.7533974409377</v>
      </c>
      <c r="AA83" s="23">
        <f>EXP(-LN(2)/25)*AA82+(1-EXP(-LN(2)/25))/(LN(2)/25)*Calculateur!V83*Calculateur!X83*VLOOKUP('Données projet'!$B$9,Paramètres!$A$1:$I$89,3,0)*0.475*44/12</f>
        <v>4.4974607060988543</v>
      </c>
      <c r="AB83" s="23">
        <f>EXP(-LN(2)/2)*AB82+(1-EXP(-LN(2)/2))/(LN(2)/2)*V83*Y83*VLOOKUP('Données projet'!$B$9,Paramètres!$A$1:$I$89,3,0)*0.475*44/12</f>
        <v>3.0870875804260155E-8</v>
      </c>
      <c r="AC83" s="24">
        <f t="shared" si="57"/>
        <v>22.250858177907428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353</v>
      </c>
      <c r="AG83" s="13">
        <f>VLOOKUP(A83,'Données projet'!$A$61:$I$81,9,0)</f>
        <v>7.7</v>
      </c>
      <c r="AH83" s="13">
        <f t="array" ref="AH83">INDEX(AG:AG,MIN(IF(ISNUMBER(AG83:AG279),ROW(AG83:AG279),"")))</f>
        <v>7.7</v>
      </c>
      <c r="AI83" s="14">
        <f>IF('Données projet'!$A$62&gt;35,AI82+AH83-AQ82,IF(A83&lt;'Données projet'!$A$62,$AF$205^A83,IF(A83='Données projet'!$A$62,'Données projet'!$B$62,AI82+AH83-AQ82)))</f>
        <v>352.99999999999989</v>
      </c>
      <c r="AJ83" s="14">
        <f>AI83*VLOOKUP('Données projet'!$B$10,Paramètres!$A$1:$I$89,3,0)*VLOOKUP('Données projet'!$B$10,Paramètres!$A$1:$I$89,5,0)</f>
        <v>165.20399999999995</v>
      </c>
      <c r="AK83" s="14">
        <f t="shared" si="89"/>
        <v>42.014096665795854</v>
      </c>
      <c r="AL83" s="22">
        <f t="shared" si="58"/>
        <v>360.90485169292765</v>
      </c>
      <c r="AM83" s="62">
        <f t="shared" si="59"/>
        <v>654.23818502626091</v>
      </c>
      <c r="AN83" s="62">
        <f ca="1">AVERAGE(OFFSET($AM$3,0,0,'Données projet'!$E$10+1,1))-AVERAGE(OFFSET($H$3,0,0,'Données projet'!$E$10+1,1))</f>
        <v>259.74478933784656</v>
      </c>
      <c r="AO83" s="62">
        <f t="shared" si="90"/>
        <v>223.74038909289646</v>
      </c>
      <c r="AP83" s="16">
        <f>IF(ISNA(VLOOKUP(A83,'Données projet'!$A$61:$I$81,3,0)),0,VLOOKUP(A83,'Données projet'!$A$61:$I$81,3,0))</f>
        <v>7</v>
      </c>
      <c r="AQ83" s="16">
        <f>IF(ISNA(VLOOKUP(A83,'Données projet'!$A$61:$I$81,4,0)),0,VLOOKUP(A83,'Données projet'!$A$61:$I$81,4,0))</f>
        <v>71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80.044039344639373</v>
      </c>
      <c r="T84" s="62">
        <f t="shared" si="88"/>
        <v>373.57883793591537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17.405264145624123</v>
      </c>
      <c r="AA84" s="23">
        <f>EXP(-LN(2)/25)*AA83+(1-EXP(-LN(2)/25))/(LN(2)/25)*Calculateur!V84*Calculateur!X84*VLOOKUP('Données projet'!$B$9,Paramètres!$A$1:$I$89,3,0)*0.475*44/12</f>
        <v>4.3744774065794019</v>
      </c>
      <c r="AB84" s="23">
        <f>EXP(-LN(2)/2)*AB83+(1-EXP(-LN(2)/2))/(LN(2)/2)*V84*Y84*VLOOKUP('Données projet'!$B$9,Paramètres!$A$1:$I$89,3,0)*0.475*44/12</f>
        <v>2.182900562236007E-8</v>
      </c>
      <c r="AC84" s="24">
        <f t="shared" si="57"/>
        <v>21.779741574032531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8.3000000000000007</v>
      </c>
      <c r="AI84" s="14">
        <f>IF('Données projet'!$A$62&gt;35,AI83+AH84-AQ83,IF(A84&lt;'Données projet'!$A$62,$AF$205^A84,IF(A84='Données projet'!$A$62,'Données projet'!$B$62,AI83+AH84-AQ83)))</f>
        <v>290.2999999999999</v>
      </c>
      <c r="AJ84" s="14">
        <f>AI84*VLOOKUP('Données projet'!$B$10,Paramètres!$A$1:$I$89,3,0)*VLOOKUP('Données projet'!$B$10,Paramètres!$A$1:$I$89,5,0)</f>
        <v>135.86039999999994</v>
      </c>
      <c r="AK84" s="14">
        <f t="shared" si="89"/>
        <v>35.347031059244749</v>
      </c>
      <c r="AL84" s="22">
        <f t="shared" si="58"/>
        <v>298.18627576151783</v>
      </c>
      <c r="AM84" s="62">
        <f t="shared" si="59"/>
        <v>591.51960909485115</v>
      </c>
      <c r="AN84" s="62">
        <f ca="1">AVERAGE(OFFSET($AM$3,0,0,'Données projet'!$E$10+1,1))-AVERAGE(OFFSET($H$3,0,0,'Données projet'!$E$10+1,1))</f>
        <v>259.74478933784656</v>
      </c>
      <c r="AO84" s="62">
        <f t="shared" si="90"/>
        <v>223.74038909289646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80.044039344639373</v>
      </c>
      <c r="T85" s="62">
        <f t="shared" si="88"/>
        <v>373.57883793591537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17.063957531891305</v>
      </c>
      <c r="AA85" s="23">
        <f>EXP(-LN(2)/25)*AA84+(1-EXP(-LN(2)/25))/(LN(2)/25)*Calculateur!V85*Calculateur!X85*VLOOKUP('Données projet'!$B$9,Paramètres!$A$1:$I$89,3,0)*0.475*44/12</f>
        <v>4.2548570918527195</v>
      </c>
      <c r="AB85" s="23">
        <f>EXP(-LN(2)/2)*AB84+(1-EXP(-LN(2)/2))/(LN(2)/2)*V85*Y85*VLOOKUP('Données projet'!$B$9,Paramètres!$A$1:$I$89,3,0)*0.475*44/12</f>
        <v>1.5435437902130077E-8</v>
      </c>
      <c r="AC85" s="24">
        <f t="shared" si="57"/>
        <v>21.318814639179465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8.3000000000000007</v>
      </c>
      <c r="AI85" s="14">
        <f>IF('Données projet'!$A$62&gt;35,AI84+AH85-AQ84,IF(A85&lt;'Données projet'!$A$62,$AF$205^A85,IF(A85='Données projet'!$A$62,'Données projet'!$B$62,AI84+AH85-AQ84)))</f>
        <v>298.59999999999991</v>
      </c>
      <c r="AJ85" s="14">
        <f>AI85*VLOOKUP('Données projet'!$B$10,Paramètres!$A$1:$I$89,3,0)*VLOOKUP('Données projet'!$B$10,Paramètres!$A$1:$I$89,5,0)</f>
        <v>139.74479999999997</v>
      </c>
      <c r="AK85" s="14">
        <f t="shared" si="89"/>
        <v>36.238536552104364</v>
      </c>
      <c r="AL85" s="22">
        <f t="shared" si="58"/>
        <v>306.50431116158171</v>
      </c>
      <c r="AM85" s="62">
        <f t="shared" si="59"/>
        <v>599.83764449491503</v>
      </c>
      <c r="AN85" s="62">
        <f ca="1">AVERAGE(OFFSET($AM$3,0,0,'Données projet'!$E$10+1,1))-AVERAGE(OFFSET($H$3,0,0,'Données projet'!$E$10+1,1))</f>
        <v>259.74478933784656</v>
      </c>
      <c r="AO85" s="62">
        <f t="shared" si="90"/>
        <v>223.74038909289646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80.044039344639373</v>
      </c>
      <c r="T86" s="62">
        <f t="shared" si="88"/>
        <v>373.57883793591537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16.729343732677307</v>
      </c>
      <c r="AA86" s="23">
        <f>EXP(-LN(2)/25)*AA85+(1-EXP(-LN(2)/25))/(LN(2)/25)*Calculateur!V86*Calculateur!X86*VLOOKUP('Données projet'!$B$9,Paramètres!$A$1:$I$89,3,0)*0.475*44/12</f>
        <v>4.1385078009227971</v>
      </c>
      <c r="AB86" s="23">
        <f>EXP(-LN(2)/2)*AB85+(1-EXP(-LN(2)/2))/(LN(2)/2)*V86*Y86*VLOOKUP('Données projet'!$B$9,Paramètres!$A$1:$I$89,3,0)*0.475*44/12</f>
        <v>1.0914502811180035E-8</v>
      </c>
      <c r="AC86" s="24">
        <f t="shared" si="57"/>
        <v>20.867851544514604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8.3000000000000007</v>
      </c>
      <c r="AI86" s="14">
        <f>IF('Données projet'!$A$62&gt;35,AI85+AH86-AQ85,IF(A86&lt;'Données projet'!$A$62,$AF$205^A86,IF(A86='Données projet'!$A$62,'Données projet'!$B$62,AI85+AH86-AQ85)))</f>
        <v>306.89999999999992</v>
      </c>
      <c r="AJ86" s="14">
        <f>AI86*VLOOKUP('Données projet'!$B$10,Paramètres!$A$1:$I$89,3,0)*VLOOKUP('Données projet'!$B$10,Paramètres!$A$1:$I$89,5,0)</f>
        <v>143.62919999999997</v>
      </c>
      <c r="AK86" s="14">
        <f t="shared" si="89"/>
        <v>37.127161849234348</v>
      </c>
      <c r="AL86" s="22">
        <f t="shared" si="58"/>
        <v>314.81733022074974</v>
      </c>
      <c r="AM86" s="62">
        <f t="shared" si="59"/>
        <v>608.15066355408305</v>
      </c>
      <c r="AN86" s="62">
        <f ca="1">AVERAGE(OFFSET($AM$3,0,0,'Données projet'!$E$10+1,1))-AVERAGE(OFFSET($H$3,0,0,'Données projet'!$E$10+1,1))</f>
        <v>259.74478933784656</v>
      </c>
      <c r="AO86" s="62">
        <f t="shared" si="90"/>
        <v>223.74038909289646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80.044039344639373</v>
      </c>
      <c r="T87" s="62">
        <f t="shared" si="88"/>
        <v>373.57883793591537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16.401291505971631</v>
      </c>
      <c r="AA87" s="23">
        <f>EXP(-LN(2)/25)*AA86+(1-EXP(-LN(2)/25))/(LN(2)/25)*Calculateur!V87*Calculateur!X87*VLOOKUP('Données projet'!$B$9,Paramètres!$A$1:$I$89,3,0)*0.475*44/12</f>
        <v>4.0253400874718963</v>
      </c>
      <c r="AB87" s="23">
        <f>EXP(-LN(2)/2)*AB86+(1-EXP(-LN(2)/2))/(LN(2)/2)*V87*Y87*VLOOKUP('Données projet'!$B$9,Paramètres!$A$1:$I$89,3,0)*0.475*44/12</f>
        <v>7.7177189510650386E-9</v>
      </c>
      <c r="AC87" s="24">
        <f t="shared" si="57"/>
        <v>20.426631601161247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8.3000000000000007</v>
      </c>
      <c r="AI87" s="14">
        <f>IF('Données projet'!$A$62&gt;35,AI86+AH87-AQ86,IF(A87&lt;'Données projet'!$A$62,$AF$205^A87,IF(A87='Données projet'!$A$62,'Données projet'!$B$62,AI86+AH87-AQ86)))</f>
        <v>315.19999999999993</v>
      </c>
      <c r="AJ87" s="14">
        <f>AI87*VLOOKUP('Données projet'!$B$10,Paramètres!$A$1:$I$89,3,0)*VLOOKUP('Données projet'!$B$10,Paramètres!$A$1:$I$89,5,0)</f>
        <v>147.51359999999997</v>
      </c>
      <c r="AK87" s="14">
        <f t="shared" si="89"/>
        <v>38.012993796041464</v>
      </c>
      <c r="AL87" s="22">
        <f t="shared" si="58"/>
        <v>323.12548419477213</v>
      </c>
      <c r="AM87" s="62">
        <f t="shared" si="59"/>
        <v>616.45881752810544</v>
      </c>
      <c r="AN87" s="62">
        <f ca="1">AVERAGE(OFFSET($AM$3,0,0,'Données projet'!$E$10+1,1))-AVERAGE(OFFSET($H$3,0,0,'Données projet'!$E$10+1,1))</f>
        <v>259.74478933784656</v>
      </c>
      <c r="AO87" s="62">
        <f t="shared" si="90"/>
        <v>223.74038909289646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80.044039344639373</v>
      </c>
      <c r="T88" s="62">
        <f t="shared" si="88"/>
        <v>373.57883793591537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16.079672183339554</v>
      </c>
      <c r="AA88" s="23">
        <f>EXP(-LN(2)/25)*AA87+(1-EXP(-LN(2)/25))/(LN(2)/25)*Calculateur!V88*Calculateur!X88*VLOOKUP('Données projet'!$B$9,Paramètres!$A$1:$I$89,3,0)*0.475*44/12</f>
        <v>3.9152669510965423</v>
      </c>
      <c r="AB88" s="23">
        <f>EXP(-LN(2)/2)*AB87+(1-EXP(-LN(2)/2))/(LN(2)/2)*V88*Y88*VLOOKUP('Données projet'!$B$9,Paramètres!$A$1:$I$89,3,0)*0.475*44/12</f>
        <v>5.4572514055900175E-9</v>
      </c>
      <c r="AC88" s="24">
        <f t="shared" si="57"/>
        <v>19.994939139893347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8.3000000000000007</v>
      </c>
      <c r="AI88" s="14">
        <f>IF('Données projet'!$A$62&gt;35,AI87+AH88-AQ87,IF(A88&lt;'Données projet'!$A$62,$AF$205^A88,IF(A88='Données projet'!$A$62,'Données projet'!$B$62,AI87+AH88-AQ87)))</f>
        <v>323.49999999999994</v>
      </c>
      <c r="AJ88" s="14">
        <f>AI88*VLOOKUP('Données projet'!$B$10,Paramètres!$A$1:$I$89,3,0)*VLOOKUP('Données projet'!$B$10,Paramètres!$A$1:$I$89,5,0)</f>
        <v>151.39799999999997</v>
      </c>
      <c r="AK88" s="14">
        <f t="shared" si="89"/>
        <v>38.896114403754709</v>
      </c>
      <c r="AL88" s="22">
        <f t="shared" si="58"/>
        <v>331.42891591987274</v>
      </c>
      <c r="AM88" s="62">
        <f t="shared" si="59"/>
        <v>624.76224925320605</v>
      </c>
      <c r="AN88" s="62">
        <f ca="1">AVERAGE(OFFSET($AM$3,0,0,'Données projet'!$E$10+1,1))-AVERAGE(OFFSET($H$3,0,0,'Données projet'!$E$10+1,1))</f>
        <v>259.74478933784656</v>
      </c>
      <c r="AO88" s="62">
        <f t="shared" si="90"/>
        <v>223.74038909289646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80.044039344639373</v>
      </c>
      <c r="T89" s="62">
        <f t="shared" si="88"/>
        <v>373.57883793591537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15.764359619455874</v>
      </c>
      <c r="AA89" s="23">
        <f>EXP(-LN(2)/25)*AA88+(1-EXP(-LN(2)/25))/(LN(2)/25)*Calculateur!V89*Calculateur!X89*VLOOKUP('Données projet'!$B$9,Paramètres!$A$1:$I$89,3,0)*0.475*44/12</f>
        <v>3.8082037704238667</v>
      </c>
      <c r="AB89" s="23">
        <f>EXP(-LN(2)/2)*AB88+(1-EXP(-LN(2)/2))/(LN(2)/2)*V89*Y89*VLOOKUP('Données projet'!$B$9,Paramètres!$A$1:$I$89,3,0)*0.475*44/12</f>
        <v>3.8588594755325193E-9</v>
      </c>
      <c r="AC89" s="24">
        <f t="shared" si="57"/>
        <v>19.572563393738598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8.3000000000000007</v>
      </c>
      <c r="AI89" s="14">
        <f>IF('Données projet'!$A$62&gt;35,AI88+AH89-AQ88,IF(A89&lt;'Données projet'!$A$62,$AF$205^A89,IF(A89='Données projet'!$A$62,'Données projet'!$B$62,AI88+AH89-AQ88)))</f>
        <v>331.79999999999995</v>
      </c>
      <c r="AJ89" s="14">
        <f>AI89*VLOOKUP('Données projet'!$B$10,Paramètres!$A$1:$I$89,3,0)*VLOOKUP('Données projet'!$B$10,Paramètres!$A$1:$I$89,5,0)</f>
        <v>155.28239999999997</v>
      </c>
      <c r="AK89" s="14">
        <f t="shared" si="89"/>
        <v>39.776601235546408</v>
      </c>
      <c r="AL89" s="22">
        <f t="shared" si="58"/>
        <v>339.72776048524321</v>
      </c>
      <c r="AM89" s="62">
        <f t="shared" si="59"/>
        <v>633.06109381857652</v>
      </c>
      <c r="AN89" s="62">
        <f ca="1">AVERAGE(OFFSET($AM$3,0,0,'Données projet'!$E$10+1,1))-AVERAGE(OFFSET($H$3,0,0,'Données projet'!$E$10+1,1))</f>
        <v>259.74478933784656</v>
      </c>
      <c r="AO89" s="62">
        <f t="shared" si="90"/>
        <v>223.74038909289646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80.044039344639373</v>
      </c>
      <c r="T90" s="62">
        <f t="shared" si="88"/>
        <v>373.57883793591537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15.455230142628279</v>
      </c>
      <c r="AA90" s="23">
        <f>EXP(-LN(2)/25)*AA89+(1-EXP(-LN(2)/25))/(LN(2)/25)*Calculateur!V90*Calculateur!X90*VLOOKUP('Données projet'!$B$9,Paramètres!$A$1:$I$89,3,0)*0.475*44/12</f>
        <v>3.7040682380568937</v>
      </c>
      <c r="AB90" s="23">
        <f>EXP(-LN(2)/2)*AB89+(1-EXP(-LN(2)/2))/(LN(2)/2)*V90*Y90*VLOOKUP('Données projet'!$B$9,Paramètres!$A$1:$I$89,3,0)*0.475*44/12</f>
        <v>2.7286257027950087E-9</v>
      </c>
      <c r="AC90" s="24">
        <f t="shared" si="57"/>
        <v>19.159298383413798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8.3000000000000007</v>
      </c>
      <c r="AI90" s="14">
        <f>IF('Données projet'!$A$62&gt;35,AI89+AH90-AQ89,IF(A90&lt;'Données projet'!$A$62,$AF$205^A90,IF(A90='Données projet'!$A$62,'Données projet'!$B$62,AI89+AH90-AQ89)))</f>
        <v>340.09999999999997</v>
      </c>
      <c r="AJ90" s="14">
        <f>AI90*VLOOKUP('Données projet'!$B$10,Paramètres!$A$1:$I$89,3,0)*VLOOKUP('Données projet'!$B$10,Paramètres!$A$1:$I$89,5,0)</f>
        <v>159.16679999999997</v>
      </c>
      <c r="AK90" s="14">
        <f t="shared" si="89"/>
        <v>40.654527752930747</v>
      </c>
      <c r="AL90" s="22">
        <f t="shared" si="58"/>
        <v>348.02214583635424</v>
      </c>
      <c r="AM90" s="62">
        <f t="shared" si="59"/>
        <v>641.35547916968756</v>
      </c>
      <c r="AN90" s="62">
        <f ca="1">AVERAGE(OFFSET($AM$3,0,0,'Données projet'!$E$10+1,1))-AVERAGE(OFFSET($H$3,0,0,'Données projet'!$E$10+1,1))</f>
        <v>259.74478933784656</v>
      </c>
      <c r="AO90" s="62">
        <f t="shared" si="90"/>
        <v>223.74038909289646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80.044039344639373</v>
      </c>
      <c r="T91" s="62">
        <f t="shared" si="88"/>
        <v>373.57883793591537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15.15216250629091</v>
      </c>
      <c r="AA91" s="23">
        <f>EXP(-LN(2)/25)*AA90+(1-EXP(-LN(2)/25))/(LN(2)/25)*Calculateur!V91*Calculateur!X91*VLOOKUP('Données projet'!$B$9,Paramètres!$A$1:$I$89,3,0)*0.475*44/12</f>
        <v>3.6027802972987448</v>
      </c>
      <c r="AB91" s="23">
        <f>EXP(-LN(2)/2)*AB90+(1-EXP(-LN(2)/2))/(LN(2)/2)*V91*Y91*VLOOKUP('Données projet'!$B$9,Paramètres!$A$1:$I$89,3,0)*0.475*44/12</f>
        <v>1.9294297377662597E-9</v>
      </c>
      <c r="AC91" s="24">
        <f t="shared" si="57"/>
        <v>18.754942805519086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8.3000000000000007</v>
      </c>
      <c r="AI91" s="14">
        <f>IF('Données projet'!$A$62&gt;35,AI90+AH91-AQ90,IF(A91&lt;'Données projet'!$A$62,$AF$205^A91,IF(A91='Données projet'!$A$62,'Données projet'!$B$62,AI90+AH91-AQ90)))</f>
        <v>348.4</v>
      </c>
      <c r="AJ91" s="14">
        <f>AI91*VLOOKUP('Données projet'!$B$10,Paramètres!$A$1:$I$89,3,0)*VLOOKUP('Données projet'!$B$10,Paramètres!$A$1:$I$89,5,0)</f>
        <v>163.05119999999999</v>
      </c>
      <c r="AK91" s="14">
        <f t="shared" si="89"/>
        <v>41.529963627394977</v>
      </c>
      <c r="AL91" s="22">
        <f t="shared" si="58"/>
        <v>356.31219331771285</v>
      </c>
      <c r="AM91" s="62">
        <f t="shared" si="59"/>
        <v>649.64552665104611</v>
      </c>
      <c r="AN91" s="62">
        <f ca="1">AVERAGE(OFFSET($AM$3,0,0,'Données projet'!$E$10+1,1))-AVERAGE(OFFSET($H$3,0,0,'Données projet'!$E$10+1,1))</f>
        <v>259.74478933784656</v>
      </c>
      <c r="AO91" s="62">
        <f t="shared" si="90"/>
        <v>223.74038909289646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80.044039344639373</v>
      </c>
      <c r="T92" s="62">
        <f t="shared" si="88"/>
        <v>373.57883793591537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14.855037841449112</v>
      </c>
      <c r="AA92" s="23">
        <f>EXP(-LN(2)/25)*AA91+(1-EXP(-LN(2)/25))/(LN(2)/25)*Calculateur!V92*Calculateur!X92*VLOOKUP('Données projet'!$B$9,Paramètres!$A$1:$I$89,3,0)*0.475*44/12</f>
        <v>3.5042620806071292</v>
      </c>
      <c r="AB92" s="23">
        <f>EXP(-LN(2)/2)*AB91+(1-EXP(-LN(2)/2))/(LN(2)/2)*V92*Y92*VLOOKUP('Données projet'!$B$9,Paramètres!$A$1:$I$89,3,0)*0.475*44/12</f>
        <v>1.3643128513975044E-9</v>
      </c>
      <c r="AC92" s="24">
        <f t="shared" si="57"/>
        <v>18.359299923420554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8.3000000000000007</v>
      </c>
      <c r="AI92" s="14">
        <f>IF('Données projet'!$A$62&gt;35,AI91+AH92-AQ91,IF(A92&lt;'Données projet'!$A$62,$AF$205^A92,IF(A92='Données projet'!$A$62,'Données projet'!$B$62,AI91+AH92-AQ91)))</f>
        <v>356.7</v>
      </c>
      <c r="AJ92" s="14">
        <f>AI92*VLOOKUP('Données projet'!$B$10,Paramètres!$A$1:$I$89,3,0)*VLOOKUP('Données projet'!$B$10,Paramètres!$A$1:$I$89,5,0)</f>
        <v>166.93559999999997</v>
      </c>
      <c r="AK92" s="14">
        <f t="shared" si="89"/>
        <v>42.402975021498193</v>
      </c>
      <c r="AL92" s="22">
        <f t="shared" si="58"/>
        <v>364.59801816244266</v>
      </c>
      <c r="AM92" s="62">
        <f t="shared" si="59"/>
        <v>657.93135149577597</v>
      </c>
      <c r="AN92" s="62">
        <f ca="1">AVERAGE(OFFSET($AM$3,0,0,'Données projet'!$E$10+1,1))-AVERAGE(OFFSET($H$3,0,0,'Données projet'!$E$10+1,1))</f>
        <v>259.74478933784656</v>
      </c>
      <c r="AO92" s="62">
        <f t="shared" si="90"/>
        <v>223.74038909289646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80.044039344639373</v>
      </c>
      <c r="T93" s="62">
        <f t="shared" si="88"/>
        <v>373.57883793591537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14.563739610056711</v>
      </c>
      <c r="AA93" s="23">
        <f>EXP(-LN(2)/25)*AA92+(1-EXP(-LN(2)/25))/(LN(2)/25)*Calculateur!V93*Calculateur!X93*VLOOKUP('Données projet'!$B$9,Paramètres!$A$1:$I$89,3,0)*0.475*44/12</f>
        <v>3.4084378497317935</v>
      </c>
      <c r="AB93" s="23">
        <f>EXP(-LN(2)/2)*AB92+(1-EXP(-LN(2)/2))/(LN(2)/2)*V93*Y93*VLOOKUP('Données projet'!$B$9,Paramètres!$A$1:$I$89,3,0)*0.475*44/12</f>
        <v>9.6471486888312983E-10</v>
      </c>
      <c r="AC93" s="24">
        <f t="shared" si="57"/>
        <v>17.972177460753219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365</v>
      </c>
      <c r="AG93" s="13">
        <f>VLOOKUP(A93,'Données projet'!$A$61:$I$81,9,0)</f>
        <v>8.3000000000000007</v>
      </c>
      <c r="AH93" s="13">
        <f t="array" ref="AH93">INDEX(AG:AG,MIN(IF(ISNUMBER(AG93:AG289),ROW(AG93:AG289),"")))</f>
        <v>8.3000000000000007</v>
      </c>
      <c r="AI93" s="14">
        <f>IF('Données projet'!$A$62&gt;35,AI92+AH93-AQ92,IF(A93&lt;'Données projet'!$A$62,$AF$205^A93,IF(A93='Données projet'!$A$62,'Données projet'!$B$62,AI92+AH93-AQ92)))</f>
        <v>365</v>
      </c>
      <c r="AJ93" s="14">
        <f>AI93*VLOOKUP('Données projet'!$B$10,Paramètres!$A$1:$I$89,3,0)*VLOOKUP('Données projet'!$B$10,Paramètres!$A$1:$I$89,5,0)</f>
        <v>170.82000000000002</v>
      </c>
      <c r="AK93" s="14">
        <f t="shared" si="89"/>
        <v>43.273624843069463</v>
      </c>
      <c r="AL93" s="22">
        <f t="shared" si="58"/>
        <v>372.87972993501268</v>
      </c>
      <c r="AM93" s="62">
        <f t="shared" si="59"/>
        <v>666.21306326834599</v>
      </c>
      <c r="AN93" s="62">
        <f ca="1">AVERAGE(OFFSET($AM$3,0,0,'Données projet'!$E$10+1,1))-AVERAGE(OFFSET($H$3,0,0,'Données projet'!$E$10+1,1))</f>
        <v>259.74478933784656</v>
      </c>
      <c r="AO93" s="62">
        <f t="shared" si="90"/>
        <v>223.74038909289646</v>
      </c>
      <c r="AP93" s="16">
        <f>IF(ISNA(VLOOKUP(A93,'Données projet'!$A$61:$I$81,3,0)),0,VLOOKUP(A93,'Données projet'!$A$61:$I$81,3,0))</f>
        <v>8</v>
      </c>
      <c r="AQ93" s="16">
        <f>IF(ISNA(VLOOKUP(A93,'Données projet'!$A$61:$I$81,4,0)),0,VLOOKUP(A93,'Données projet'!$A$61:$I$81,4,0))</f>
        <v>73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80.044039344639373</v>
      </c>
      <c r="T94" s="62">
        <f t="shared" si="88"/>
        <v>373.57883793591537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14.278153559307537</v>
      </c>
      <c r="AA94" s="23">
        <f>EXP(-LN(2)/25)*AA93+(1-EXP(-LN(2)/25))/(LN(2)/25)*Calculateur!V94*Calculateur!X94*VLOOKUP('Données projet'!$B$9,Paramètres!$A$1:$I$89,3,0)*0.475*44/12</f>
        <v>3.3152339374889213</v>
      </c>
      <c r="AB94" s="23">
        <f>EXP(-LN(2)/2)*AB93+(1-EXP(-LN(2)/2))/(LN(2)/2)*V94*Y94*VLOOKUP('Données projet'!$B$9,Paramètres!$A$1:$I$89,3,0)*0.475*44/12</f>
        <v>6.8215642569875219E-10</v>
      </c>
      <c r="AC94" s="24">
        <f t="shared" si="57"/>
        <v>17.593387497478616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8.3000000000000007</v>
      </c>
      <c r="AI94" s="14">
        <f>IF('Données projet'!$A$62&gt;35,AI93+AH94-AQ93,IF(A94&lt;'Données projet'!$A$62,$AF$205^A94,IF(A94='Données projet'!$A$62,'Données projet'!$B$62,AI93+AH94-AQ93)))</f>
        <v>300.3</v>
      </c>
      <c r="AJ94" s="14">
        <f>AI94*VLOOKUP('Données projet'!$B$10,Paramètres!$A$1:$I$89,3,0)*VLOOKUP('Données projet'!$B$10,Paramètres!$A$1:$I$89,5,0)</f>
        <v>140.54040000000001</v>
      </c>
      <c r="AK94" s="14">
        <f t="shared" si="89"/>
        <v>36.420775774849901</v>
      </c>
      <c r="AL94" s="22">
        <f t="shared" si="58"/>
        <v>308.20738114119689</v>
      </c>
      <c r="AM94" s="62">
        <f t="shared" si="59"/>
        <v>601.5407144745302</v>
      </c>
      <c r="AN94" s="62">
        <f ca="1">AVERAGE(OFFSET($AM$3,0,0,'Données projet'!$E$10+1,1))-AVERAGE(OFFSET($H$3,0,0,'Données projet'!$E$10+1,1))</f>
        <v>259.74478933784656</v>
      </c>
      <c r="AO94" s="62">
        <f t="shared" si="90"/>
        <v>223.74038909289646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80.044039344639373</v>
      </c>
      <c r="T95" s="62">
        <f t="shared" si="88"/>
        <v>373.57883793591537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13.998167676823263</v>
      </c>
      <c r="AA95" s="23">
        <f>EXP(-LN(2)/25)*AA94+(1-EXP(-LN(2)/25))/(LN(2)/25)*Calculateur!V95*Calculateur!X95*VLOOKUP('Données projet'!$B$9,Paramètres!$A$1:$I$89,3,0)*0.475*44/12</f>
        <v>3.2245786911277108</v>
      </c>
      <c r="AB95" s="23">
        <f>EXP(-LN(2)/2)*AB94+(1-EXP(-LN(2)/2))/(LN(2)/2)*V95*Y95*VLOOKUP('Données projet'!$B$9,Paramètres!$A$1:$I$89,3,0)*0.475*44/12</f>
        <v>4.8235743444156492E-10</v>
      </c>
      <c r="AC95" s="24">
        <f t="shared" si="57"/>
        <v>17.222746368433334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8.3000000000000007</v>
      </c>
      <c r="AI95" s="14">
        <f>IF('Données projet'!$A$62&gt;35,AI94+AH95-AQ94,IF(A95&lt;'Données projet'!$A$62,$AF$205^A95,IF(A95='Données projet'!$A$62,'Données projet'!$B$62,AI94+AH95-AQ94)))</f>
        <v>308.60000000000002</v>
      </c>
      <c r="AJ95" s="14">
        <f>AI95*VLOOKUP('Données projet'!$B$10,Paramètres!$A$1:$I$89,3,0)*VLOOKUP('Données projet'!$B$10,Paramètres!$A$1:$I$89,5,0)</f>
        <v>144.4248</v>
      </c>
      <c r="AK95" s="14">
        <f t="shared" si="89"/>
        <v>37.308822031923654</v>
      </c>
      <c r="AL95" s="22">
        <f t="shared" si="58"/>
        <v>316.51939170560036</v>
      </c>
      <c r="AM95" s="62">
        <f t="shared" si="59"/>
        <v>609.85272503893361</v>
      </c>
      <c r="AN95" s="62">
        <f ca="1">AVERAGE(OFFSET($AM$3,0,0,'Données projet'!$E$10+1,1))-AVERAGE(OFFSET($H$3,0,0,'Données projet'!$E$10+1,1))</f>
        <v>259.74478933784656</v>
      </c>
      <c r="AO95" s="62">
        <f t="shared" si="90"/>
        <v>223.74038909289646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80.044039344639373</v>
      </c>
      <c r="T96" s="62">
        <f t="shared" si="88"/>
        <v>373.57883793591537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13.723672146719981</v>
      </c>
      <c r="AA96" s="23">
        <f>EXP(-LN(2)/25)*AA95+(1-EXP(-LN(2)/25))/(LN(2)/25)*Calculateur!V96*Calculateur!X96*VLOOKUP('Données projet'!$B$9,Paramètres!$A$1:$I$89,3,0)*0.475*44/12</f>
        <v>3.1364024172456002</v>
      </c>
      <c r="AB96" s="23">
        <f>EXP(-LN(2)/2)*AB95+(1-EXP(-LN(2)/2))/(LN(2)/2)*V96*Y96*VLOOKUP('Données projet'!$B$9,Paramètres!$A$1:$I$89,3,0)*0.475*44/12</f>
        <v>3.4107821284937609E-10</v>
      </c>
      <c r="AC96" s="24">
        <f t="shared" si="57"/>
        <v>16.860074564306661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8.3000000000000007</v>
      </c>
      <c r="AI96" s="14">
        <f>IF('Données projet'!$A$62&gt;35,AI95+AH96-AQ95,IF(A96&lt;'Données projet'!$A$62,$AF$205^A96,IF(A96='Données projet'!$A$62,'Données projet'!$B$62,AI95+AH96-AQ95)))</f>
        <v>316.90000000000003</v>
      </c>
      <c r="AJ96" s="14">
        <f>AI96*VLOOKUP('Données projet'!$B$10,Paramètres!$A$1:$I$89,3,0)*VLOOKUP('Données projet'!$B$10,Paramètres!$A$1:$I$89,5,0)</f>
        <v>148.3092</v>
      </c>
      <c r="AK96" s="14">
        <f t="shared" si="89"/>
        <v>38.194092116566551</v>
      </c>
      <c r="AL96" s="22">
        <f t="shared" si="58"/>
        <v>324.82656710302007</v>
      </c>
      <c r="AM96" s="62">
        <f t="shared" si="59"/>
        <v>618.15990043635338</v>
      </c>
      <c r="AN96" s="62">
        <f ca="1">AVERAGE(OFFSET($AM$3,0,0,'Données projet'!$E$10+1,1))-AVERAGE(OFFSET($H$3,0,0,'Données projet'!$E$10+1,1))</f>
        <v>259.74478933784656</v>
      </c>
      <c r="AO96" s="62">
        <f t="shared" si="90"/>
        <v>223.74038909289646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80.044039344639373</v>
      </c>
      <c r="T97" s="62">
        <f t="shared" si="88"/>
        <v>373.57883793591537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13.454559306536282</v>
      </c>
      <c r="AA97" s="23">
        <f>EXP(-LN(2)/25)*AA96+(1-EXP(-LN(2)/25))/(LN(2)/25)*Calculateur!V97*Calculateur!X97*VLOOKUP('Données projet'!$B$9,Paramètres!$A$1:$I$89,3,0)*0.475*44/12</f>
        <v>3.0506373282097843</v>
      </c>
      <c r="AB97" s="23">
        <f>EXP(-LN(2)/2)*AB96+(1-EXP(-LN(2)/2))/(LN(2)/2)*V97*Y97*VLOOKUP('Données projet'!$B$9,Paramètres!$A$1:$I$89,3,0)*0.475*44/12</f>
        <v>2.4117871722078246E-10</v>
      </c>
      <c r="AC97" s="24">
        <f t="shared" si="57"/>
        <v>16.505196634987247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8.3000000000000007</v>
      </c>
      <c r="AI97" s="14">
        <f>IF('Données projet'!$A$62&gt;35,AI96+AH97-AQ96,IF(A97&lt;'Données projet'!$A$62,$AF$205^A97,IF(A97='Données projet'!$A$62,'Données projet'!$B$62,AI96+AH97-AQ96)))</f>
        <v>325.20000000000005</v>
      </c>
      <c r="AJ97" s="14">
        <f>AI97*VLOOKUP('Données projet'!$B$10,Paramètres!$A$1:$I$89,3,0)*VLOOKUP('Données projet'!$B$10,Paramètres!$A$1:$I$89,5,0)</f>
        <v>152.19360000000003</v>
      </c>
      <c r="AK97" s="14">
        <f t="shared" si="89"/>
        <v>39.076667098894909</v>
      </c>
      <c r="AL97" s="22">
        <f t="shared" si="58"/>
        <v>333.1290485305754</v>
      </c>
      <c r="AM97" s="62">
        <f t="shared" si="59"/>
        <v>626.46238186390872</v>
      </c>
      <c r="AN97" s="62">
        <f ca="1">AVERAGE(OFFSET($AM$3,0,0,'Données projet'!$E$10+1,1))-AVERAGE(OFFSET($H$3,0,0,'Données projet'!$E$10+1,1))</f>
        <v>259.74478933784656</v>
      </c>
      <c r="AO97" s="62">
        <f t="shared" si="90"/>
        <v>223.74038909289646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80.044039344639373</v>
      </c>
      <c r="T98" s="62">
        <f t="shared" si="88"/>
        <v>373.57883793591537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13.190723605005962</v>
      </c>
      <c r="AA98" s="23">
        <f>EXP(-LN(2)/25)*AA97+(1-EXP(-LN(2)/25))/(LN(2)/25)*Calculateur!V98*Calculateur!X98*VLOOKUP('Données projet'!$B$9,Paramètres!$A$1:$I$89,3,0)*0.475*44/12</f>
        <v>2.9672174900438431</v>
      </c>
      <c r="AB98" s="23">
        <f>EXP(-LN(2)/2)*AB97+(1-EXP(-LN(2)/2))/(LN(2)/2)*V98*Y98*VLOOKUP('Données projet'!$B$9,Paramètres!$A$1:$I$89,3,0)*0.475*44/12</f>
        <v>1.7053910642468805E-10</v>
      </c>
      <c r="AC98" s="24">
        <f t="shared" si="57"/>
        <v>16.157941095220341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8.3000000000000007</v>
      </c>
      <c r="AI98" s="14">
        <f>IF('Données projet'!$A$62&gt;35,AI97+AH98-AQ97,IF(A98&lt;'Données projet'!$A$62,$AF$205^A98,IF(A98='Données projet'!$A$62,'Données projet'!$B$62,AI97+AH98-AQ97)))</f>
        <v>333.50000000000006</v>
      </c>
      <c r="AJ98" s="14">
        <f>AI98*VLOOKUP('Données projet'!$B$10,Paramètres!$A$1:$I$89,3,0)*VLOOKUP('Données projet'!$B$10,Paramètres!$A$1:$I$89,5,0)</f>
        <v>156.07800000000003</v>
      </c>
      <c r="AK98" s="14">
        <f t="shared" si="89"/>
        <v>39.956623674978466</v>
      </c>
      <c r="AL98" s="22">
        <f t="shared" si="58"/>
        <v>341.42696956725422</v>
      </c>
      <c r="AM98" s="62">
        <f t="shared" si="59"/>
        <v>634.76030290058748</v>
      </c>
      <c r="AN98" s="62">
        <f ca="1">AVERAGE(OFFSET($AM$3,0,0,'Données projet'!$E$10+1,1))-AVERAGE(OFFSET($H$3,0,0,'Données projet'!$E$10+1,1))</f>
        <v>259.74478933784656</v>
      </c>
      <c r="AO98" s="62">
        <f t="shared" si="90"/>
        <v>223.74038909289646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80.044039344639373</v>
      </c>
      <c r="T99" s="62">
        <f t="shared" si="88"/>
        <v>373.57883793591537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12.932061560658763</v>
      </c>
      <c r="AA99" s="23">
        <f>EXP(-LN(2)/25)*AA98+(1-EXP(-LN(2)/25))/(LN(2)/25)*Calculateur!V99*Calculateur!X99*VLOOKUP('Données projet'!$B$9,Paramètres!$A$1:$I$89,3,0)*0.475*44/12</f>
        <v>2.8860787717394079</v>
      </c>
      <c r="AB99" s="23">
        <f>EXP(-LN(2)/2)*AB98+(1-EXP(-LN(2)/2))/(LN(2)/2)*V99*Y99*VLOOKUP('Données projet'!$B$9,Paramètres!$A$1:$I$89,3,0)*0.475*44/12</f>
        <v>1.2058935861039123E-10</v>
      </c>
      <c r="AC99" s="24">
        <f t="shared" si="57"/>
        <v>15.818140332518761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8.3000000000000007</v>
      </c>
      <c r="AI99" s="14">
        <f>IF('Données projet'!$A$62&gt;35,AI98+AH99-AQ98,IF(A99&lt;'Données projet'!$A$62,$AF$205^A99,IF(A99='Données projet'!$A$62,'Données projet'!$B$62,AI98+AH99-AQ98)))</f>
        <v>341.80000000000007</v>
      </c>
      <c r="AJ99" s="14">
        <f>AI99*VLOOKUP('Données projet'!$B$10,Paramètres!$A$1:$I$89,3,0)*VLOOKUP('Données projet'!$B$10,Paramètres!$A$1:$I$89,5,0)</f>
        <v>159.96240000000003</v>
      </c>
      <c r="AK99" s="14">
        <f t="shared" si="89"/>
        <v>40.834034505739851</v>
      </c>
      <c r="AL99" s="22">
        <f t="shared" si="58"/>
        <v>349.7204567641636</v>
      </c>
      <c r="AM99" s="62">
        <f t="shared" si="59"/>
        <v>643.05379009749686</v>
      </c>
      <c r="AN99" s="62">
        <f ca="1">AVERAGE(OFFSET($AM$3,0,0,'Données projet'!$E$10+1,1))-AVERAGE(OFFSET($H$3,0,0,'Données projet'!$E$10+1,1))</f>
        <v>259.74478933784656</v>
      </c>
      <c r="AO99" s="62">
        <f t="shared" si="90"/>
        <v>223.74038909289646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80.044039344639373</v>
      </c>
      <c r="T100" s="62">
        <f t="shared" si="88"/>
        <v>373.57883793591537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12.678471721232944</v>
      </c>
      <c r="AA100" s="23">
        <f>EXP(-LN(2)/25)*AA99+(1-EXP(-LN(2)/25))/(LN(2)/25)*Calculateur!V100*Calculateur!X100*VLOOKUP('Données projet'!$B$9,Paramètres!$A$1:$I$89,3,0)*0.475*44/12</f>
        <v>2.8071587959539075</v>
      </c>
      <c r="AB100" s="23">
        <f>EXP(-LN(2)/2)*AB99+(1-EXP(-LN(2)/2))/(LN(2)/2)*V100*Y100*VLOOKUP('Données projet'!$B$9,Paramètres!$A$1:$I$89,3,0)*0.475*44/12</f>
        <v>8.5269553212344023E-11</v>
      </c>
      <c r="AC100" s="24">
        <f t="shared" si="57"/>
        <v>15.485630517272121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8.3000000000000007</v>
      </c>
      <c r="AI100" s="14">
        <f>IF('Données projet'!$A$62&gt;35,AI99+AH100-AQ99,IF(A100&lt;'Données projet'!$A$62,$AF$205^A100,IF(A100='Données projet'!$A$62,'Données projet'!$B$62,AI99+AH100-AQ99)))</f>
        <v>350.10000000000008</v>
      </c>
      <c r="AJ100" s="14">
        <f>AI100*VLOOKUP('Données projet'!$B$10,Paramètres!$A$1:$I$89,3,0)*VLOOKUP('Données projet'!$B$10,Paramètres!$A$1:$I$89,5,0)</f>
        <v>163.84680000000003</v>
      </c>
      <c r="AK100" s="14">
        <f t="shared" si="89"/>
        <v>41.708968522008732</v>
      </c>
      <c r="AL100" s="22">
        <f t="shared" si="58"/>
        <v>358.00963017583189</v>
      </c>
      <c r="AM100" s="62">
        <f t="shared" si="59"/>
        <v>651.3429635091652</v>
      </c>
      <c r="AN100" s="62">
        <f ca="1">AVERAGE(OFFSET($AM$3,0,0,'Données projet'!$E$10+1,1))-AVERAGE(OFFSET($H$3,0,0,'Données projet'!$E$10+1,1))</f>
        <v>259.74478933784656</v>
      </c>
      <c r="AO100" s="62">
        <f t="shared" si="90"/>
        <v>223.74038909289646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80.044039344639373</v>
      </c>
      <c r="T101" s="62">
        <f t="shared" si="88"/>
        <v>373.57883793591537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12.429854623883735</v>
      </c>
      <c r="AA101" s="23">
        <f>EXP(-LN(2)/25)*AA100+(1-EXP(-LN(2)/25))/(LN(2)/25)*Calculateur!V101*Calculateur!X101*VLOOKUP('Données projet'!$B$9,Paramètres!$A$1:$I$89,3,0)*0.475*44/12</f>
        <v>2.7303968910564826</v>
      </c>
      <c r="AB101" s="23">
        <f>EXP(-LN(2)/2)*AB100+(1-EXP(-LN(2)/2))/(LN(2)/2)*V101*Y101*VLOOKUP('Données projet'!$B$9,Paramètres!$A$1:$I$89,3,0)*0.475*44/12</f>
        <v>6.0294679305195614E-11</v>
      </c>
      <c r="AC101" s="24">
        <f t="shared" si="57"/>
        <v>15.160251515000512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8.3000000000000007</v>
      </c>
      <c r="AI101" s="14">
        <f>IF('Données projet'!$A$62&gt;35,AI100+AH101-AQ100,IF(A101&lt;'Données projet'!$A$62,$AF$205^A101,IF(A101='Données projet'!$A$62,'Données projet'!$B$62,AI100+AH101-AQ100)))</f>
        <v>358.40000000000009</v>
      </c>
      <c r="AJ101" s="14">
        <f>AI101*VLOOKUP('Données projet'!$B$10,Paramètres!$A$1:$I$89,3,0)*VLOOKUP('Données projet'!$B$10,Paramètres!$A$1:$I$89,5,0)</f>
        <v>167.73120000000006</v>
      </c>
      <c r="AK101" s="14">
        <f t="shared" si="89"/>
        <v>42.581491199832655</v>
      </c>
      <c r="AL101" s="22">
        <f t="shared" si="58"/>
        <v>366.29460383970871</v>
      </c>
      <c r="AM101" s="62">
        <f t="shared" si="59"/>
        <v>659.62793717304203</v>
      </c>
      <c r="AN101" s="62">
        <f ca="1">AVERAGE(OFFSET($AM$3,0,0,'Données projet'!$E$10+1,1))-AVERAGE(OFFSET($H$3,0,0,'Données projet'!$E$10+1,1))</f>
        <v>259.74478933784656</v>
      </c>
      <c r="AO101" s="62">
        <f t="shared" si="90"/>
        <v>223.74038909289646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80.044039344639373</v>
      </c>
      <c r="T102" s="62">
        <f t="shared" si="88"/>
        <v>373.57883793591537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12.186112756172088</v>
      </c>
      <c r="AA102" s="23">
        <f>EXP(-LN(2)/25)*AA101+(1-EXP(-LN(2)/25))/(LN(2)/25)*Calculateur!V102*Calculateur!X102*VLOOKUP('Données projet'!$B$9,Paramètres!$A$1:$I$89,3,0)*0.475*44/12</f>
        <v>2.6557340444852109</v>
      </c>
      <c r="AB102" s="23">
        <f>EXP(-LN(2)/2)*AB101+(1-EXP(-LN(2)/2))/(LN(2)/2)*V102*Y102*VLOOKUP('Données projet'!$B$9,Paramètres!$A$1:$I$89,3,0)*0.475*44/12</f>
        <v>4.2634776606172012E-11</v>
      </c>
      <c r="AC102" s="24">
        <f t="shared" si="57"/>
        <v>14.841846800699933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8.3000000000000007</v>
      </c>
      <c r="AI102" s="14">
        <f>IF('Données projet'!$A$62&gt;35,AI101+AH102-AQ101,IF(A102&lt;'Données projet'!$A$62,$AF$205^A102,IF(A102='Données projet'!$A$62,'Données projet'!$B$62,AI101+AH102-AQ101)))</f>
        <v>366.7000000000001</v>
      </c>
      <c r="AJ102" s="14">
        <f>AI102*VLOOKUP('Données projet'!$B$10,Paramètres!$A$1:$I$89,3,0)*VLOOKUP('Données projet'!$B$10,Paramètres!$A$1:$I$89,5,0)</f>
        <v>171.61560000000006</v>
      </c>
      <c r="AK102" s="14">
        <f t="shared" si="89"/>
        <v>43.45166480956653</v>
      </c>
      <c r="AL102" s="22">
        <f t="shared" si="58"/>
        <v>374.57548620999506</v>
      </c>
      <c r="AM102" s="62">
        <f t="shared" si="59"/>
        <v>667.90881954332838</v>
      </c>
      <c r="AN102" s="62">
        <f ca="1">AVERAGE(OFFSET($AM$3,0,0,'Données projet'!$E$10+1,1))-AVERAGE(OFFSET($H$3,0,0,'Données projet'!$E$10+1,1))</f>
        <v>259.74478933784656</v>
      </c>
      <c r="AO102" s="62">
        <f t="shared" si="90"/>
        <v>223.74038909289646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80.044039344639373</v>
      </c>
      <c r="T103" s="62">
        <f t="shared" si="88"/>
        <v>373.57883793591537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11.947150517818407</v>
      </c>
      <c r="AA103" s="23">
        <f>EXP(-LN(2)/25)*AA102+(1-EXP(-LN(2)/25))/(LN(2)/25)*Calculateur!V103*Calculateur!X103*VLOOKUP('Données projet'!$B$9,Paramètres!$A$1:$I$89,3,0)*0.475*44/12</f>
        <v>2.583112857379779</v>
      </c>
      <c r="AB103" s="23">
        <f>EXP(-LN(2)/2)*AB102+(1-EXP(-LN(2)/2))/(LN(2)/2)*V103*Y103*VLOOKUP('Données projet'!$B$9,Paramètres!$A$1:$I$89,3,0)*0.475*44/12</f>
        <v>3.0147339652597807E-11</v>
      </c>
      <c r="AC103" s="24">
        <f t="shared" si="57"/>
        <v>14.530263375228333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375</v>
      </c>
      <c r="AG103" s="13">
        <f>VLOOKUP(A103,'Données projet'!$A$61:$I$81,9,0)</f>
        <v>8.3000000000000007</v>
      </c>
      <c r="AH103" s="13">
        <f t="array" ref="AH103">INDEX(AG:AG,MIN(IF(ISNUMBER(AG103:AG299),ROW(AG103:AG299),"")))</f>
        <v>8.3000000000000007</v>
      </c>
      <c r="AI103" s="14">
        <f>IF('Données projet'!$A$62&gt;35,AI102+AH103-AQ102,IF(A103&lt;'Données projet'!$A$62,$AF$205^A103,IF(A103='Données projet'!$A$62,'Données projet'!$B$62,AI102+AH103-AQ102)))</f>
        <v>375.00000000000011</v>
      </c>
      <c r="AJ103" s="14">
        <f>AI103*VLOOKUP('Données projet'!$B$10,Paramètres!$A$1:$I$89,3,0)*VLOOKUP('Données projet'!$B$10,Paramètres!$A$1:$I$89,5,0)</f>
        <v>175.50000000000006</v>
      </c>
      <c r="AK103" s="14">
        <f t="shared" si="89"/>
        <v>44.319548641773906</v>
      </c>
      <c r="AL103" s="22">
        <f t="shared" si="58"/>
        <v>382.85238055108965</v>
      </c>
      <c r="AM103" s="62">
        <f t="shared" si="59"/>
        <v>676.18571388442297</v>
      </c>
      <c r="AN103" s="62">
        <f ca="1">AVERAGE(OFFSET($AM$3,0,0,'Données projet'!$E$10+1,1))-AVERAGE(OFFSET($H$3,0,0,'Données projet'!$E$10+1,1))</f>
        <v>259.74478933784656</v>
      </c>
      <c r="AO103" s="62">
        <f t="shared" si="90"/>
        <v>223.74038909289646</v>
      </c>
      <c r="AP103" s="16">
        <f>IF(ISNA(VLOOKUP(A103,'Données projet'!$A$61:$I$81,3,0)),0,VLOOKUP(A103,'Données projet'!$A$61:$I$81,3,0))</f>
        <v>9</v>
      </c>
      <c r="AQ103" s="16">
        <f>IF(ISNA(VLOOKUP(A103,'Données projet'!$A$61:$I$81,4,0)),0,VLOOKUP(A103,'Données projet'!$A$61:$I$81,4,0))</f>
        <v>375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80.044039344639373</v>
      </c>
      <c r="T104" s="62">
        <f t="shared" si="88"/>
        <v>373.57883793591537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11.712874183206269</v>
      </c>
      <c r="AA104" s="23">
        <f>EXP(-LN(2)/25)*AA103+(1-EXP(-LN(2)/25))/(LN(2)/25)*Calculateur!V104*Calculateur!X104*VLOOKUP('Données projet'!$B$9,Paramètres!$A$1:$I$89,3,0)*0.475*44/12</f>
        <v>2.5124775004547275</v>
      </c>
      <c r="AB104" s="23">
        <f>EXP(-LN(2)/2)*AB103+(1-EXP(-LN(2)/2))/(LN(2)/2)*V104*Y104*VLOOKUP('Données projet'!$B$9,Paramètres!$A$1:$I$89,3,0)*0.475*44/12</f>
        <v>2.1317388303086006E-11</v>
      </c>
      <c r="AC104" s="24">
        <f t="shared" si="57"/>
        <v>14.225351683682314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1.1368683772161603E-13</v>
      </c>
      <c r="AJ104" s="14">
        <f>AI104*VLOOKUP('Données projet'!$B$10,Paramètres!$A$1:$I$89,3,0)*VLOOKUP('Données projet'!$B$10,Paramètres!$A$1:$I$89,5,0)</f>
        <v>5.3205440053716299E-14</v>
      </c>
      <c r="AK104" s="14">
        <f t="shared" si="89"/>
        <v>8.602146238565607E-13</v>
      </c>
      <c r="AL104" s="22">
        <f t="shared" si="58"/>
        <v>1.590873277977066E-12</v>
      </c>
      <c r="AM104" s="62">
        <f t="shared" si="59"/>
        <v>293.33333333333491</v>
      </c>
      <c r="AN104" s="62">
        <f ca="1">AVERAGE(OFFSET($AM$3,0,0,'Données projet'!$E$10+1,1))-AVERAGE(OFFSET($H$3,0,0,'Données projet'!$E$10+1,1))</f>
        <v>259.74478933784656</v>
      </c>
      <c r="AO104" s="62">
        <f t="shared" si="90"/>
        <v>223.74038909289646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80.044039344639373</v>
      </c>
      <c r="T105" s="62">
        <f t="shared" si="88"/>
        <v>373.57883793591537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11.483191864621419</v>
      </c>
      <c r="AA105" s="23">
        <f>EXP(-LN(2)/25)*AA104+(1-EXP(-LN(2)/25))/(LN(2)/25)*Calculateur!V105*Calculateur!X105*VLOOKUP('Données projet'!$B$9,Paramètres!$A$1:$I$89,3,0)*0.475*44/12</f>
        <v>2.4437736710793434</v>
      </c>
      <c r="AB105" s="23">
        <f>EXP(-LN(2)/2)*AB104+(1-EXP(-LN(2)/2))/(LN(2)/2)*V105*Y105*VLOOKUP('Données projet'!$B$9,Paramètres!$A$1:$I$89,3,0)*0.475*44/12</f>
        <v>1.5073669826298904E-11</v>
      </c>
      <c r="AC105" s="24">
        <f t="shared" si="57"/>
        <v>13.926965535715837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1.1368683772161603E-13</v>
      </c>
      <c r="AJ105" s="14">
        <f>AI105*VLOOKUP('Données projet'!$B$10,Paramètres!$A$1:$I$89,3,0)*VLOOKUP('Données projet'!$B$10,Paramètres!$A$1:$I$89,5,0)</f>
        <v>5.3205440053716299E-14</v>
      </c>
      <c r="AK105" s="14">
        <f t="shared" si="89"/>
        <v>8.602146238565607E-13</v>
      </c>
      <c r="AL105" s="22">
        <f t="shared" si="58"/>
        <v>1.590873277977066E-12</v>
      </c>
      <c r="AM105" s="62">
        <f t="shared" si="59"/>
        <v>293.33333333333491</v>
      </c>
      <c r="AN105" s="62">
        <f ca="1">AVERAGE(OFFSET($AM$3,0,0,'Données projet'!$E$10+1,1))-AVERAGE(OFFSET($H$3,0,0,'Données projet'!$E$10+1,1))</f>
        <v>259.74478933784656</v>
      </c>
      <c r="AO105" s="62">
        <f t="shared" si="90"/>
        <v>223.74038909289646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80.044039344639373</v>
      </c>
      <c r="T106" s="62">
        <f t="shared" si="88"/>
        <v>373.57883793591537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11.258013476211637</v>
      </c>
      <c r="AA106" s="23">
        <f>EXP(-LN(2)/25)*AA105+(1-EXP(-LN(2)/25))/(LN(2)/25)*Calculateur!V106*Calculateur!X106*VLOOKUP('Données projet'!$B$9,Paramètres!$A$1:$I$89,3,0)*0.475*44/12</f>
        <v>2.3769485515312065</v>
      </c>
      <c r="AB106" s="23">
        <f>EXP(-LN(2)/2)*AB105+(1-EXP(-LN(2)/2))/(LN(2)/2)*V106*Y106*VLOOKUP('Données projet'!$B$9,Paramètres!$A$1:$I$89,3,0)*0.475*44/12</f>
        <v>1.0658694151543003E-11</v>
      </c>
      <c r="AC106" s="24">
        <f t="shared" si="57"/>
        <v>13.634962027753502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1.1368683772161603E-13</v>
      </c>
      <c r="AJ106" s="14">
        <f>AI106*VLOOKUP('Données projet'!$B$10,Paramètres!$A$1:$I$89,3,0)*VLOOKUP('Données projet'!$B$10,Paramètres!$A$1:$I$89,5,0)</f>
        <v>5.3205440053716299E-14</v>
      </c>
      <c r="AK106" s="14">
        <f t="shared" si="89"/>
        <v>8.602146238565607E-13</v>
      </c>
      <c r="AL106" s="22">
        <f t="shared" si="58"/>
        <v>1.590873277977066E-12</v>
      </c>
      <c r="AM106" s="62">
        <f t="shared" si="59"/>
        <v>293.33333333333491</v>
      </c>
      <c r="AN106" s="62">
        <f ca="1">AVERAGE(OFFSET($AM$3,0,0,'Données projet'!$E$10+1,1))-AVERAGE(OFFSET($H$3,0,0,'Données projet'!$E$10+1,1))</f>
        <v>259.74478933784656</v>
      </c>
      <c r="AO106" s="62">
        <f t="shared" si="90"/>
        <v>223.74038909289646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80.044039344639373</v>
      </c>
      <c r="T107" s="62">
        <f t="shared" si="88"/>
        <v>373.57883793591537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11.037250698653317</v>
      </c>
      <c r="AA107" s="23">
        <f>EXP(-LN(2)/25)*AA106+(1-EXP(-LN(2)/25))/(LN(2)/25)*Calculateur!V107*Calculateur!X107*VLOOKUP('Données projet'!$B$9,Paramètres!$A$1:$I$89,3,0)*0.475*44/12</f>
        <v>2.3119507683912941</v>
      </c>
      <c r="AB107" s="23">
        <f>EXP(-LN(2)/2)*AB106+(1-EXP(-LN(2)/2))/(LN(2)/2)*V107*Y107*VLOOKUP('Données projet'!$B$9,Paramètres!$A$1:$I$89,3,0)*0.475*44/12</f>
        <v>7.5368349131494518E-12</v>
      </c>
      <c r="AC107" s="24">
        <f t="shared" si="57"/>
        <v>13.349201467052149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1.1368683772161603E-13</v>
      </c>
      <c r="AJ107" s="14">
        <f>AI107*VLOOKUP('Données projet'!$B$10,Paramètres!$A$1:$I$89,3,0)*VLOOKUP('Données projet'!$B$10,Paramètres!$A$1:$I$89,5,0)</f>
        <v>5.3205440053716299E-14</v>
      </c>
      <c r="AK107" s="14">
        <f t="shared" si="89"/>
        <v>8.602146238565607E-13</v>
      </c>
      <c r="AL107" s="22">
        <f t="shared" si="58"/>
        <v>1.590873277977066E-12</v>
      </c>
      <c r="AM107" s="62">
        <f t="shared" si="59"/>
        <v>293.33333333333491</v>
      </c>
      <c r="AN107" s="62">
        <f ca="1">AVERAGE(OFFSET($AM$3,0,0,'Données projet'!$E$10+1,1))-AVERAGE(OFFSET($H$3,0,0,'Données projet'!$E$10+1,1))</f>
        <v>259.74478933784656</v>
      </c>
      <c r="AO107" s="62">
        <f t="shared" si="90"/>
        <v>223.74038909289646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80.044039344639373</v>
      </c>
      <c r="T108" s="62">
        <f t="shared" si="88"/>
        <v>373.57883793591537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10.820816944510916</v>
      </c>
      <c r="AA108" s="23">
        <f>EXP(-LN(2)/25)*AA107+(1-EXP(-LN(2)/25))/(LN(2)/25)*Calculateur!V108*Calculateur!X108*VLOOKUP('Données projet'!$B$9,Paramètres!$A$1:$I$89,3,0)*0.475*44/12</f>
        <v>2.2487303530494271</v>
      </c>
      <c r="AB108" s="23">
        <f>EXP(-LN(2)/2)*AB107+(1-EXP(-LN(2)/2))/(LN(2)/2)*V108*Y108*VLOOKUP('Données projet'!$B$9,Paramètres!$A$1:$I$89,3,0)*0.475*44/12</f>
        <v>5.3293470757715015E-12</v>
      </c>
      <c r="AC108" s="24">
        <f t="shared" si="57"/>
        <v>13.069547297565673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1.1368683772161603E-13</v>
      </c>
      <c r="AJ108" s="14">
        <f>AI108*VLOOKUP('Données projet'!$B$10,Paramètres!$A$1:$I$89,3,0)*VLOOKUP('Données projet'!$B$10,Paramètres!$A$1:$I$89,5,0)</f>
        <v>5.3205440053716299E-14</v>
      </c>
      <c r="AK108" s="14">
        <f t="shared" si="89"/>
        <v>8.602146238565607E-13</v>
      </c>
      <c r="AL108" s="22">
        <f t="shared" si="58"/>
        <v>1.590873277977066E-12</v>
      </c>
      <c r="AM108" s="62">
        <f t="shared" si="59"/>
        <v>293.33333333333491</v>
      </c>
      <c r="AN108" s="62">
        <f ca="1">AVERAGE(OFFSET($AM$3,0,0,'Données projet'!$E$10+1,1))-AVERAGE(OFFSET($H$3,0,0,'Données projet'!$E$10+1,1))</f>
        <v>259.74478933784656</v>
      </c>
      <c r="AO108" s="62">
        <f t="shared" si="90"/>
        <v>223.74038909289646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80.044039344639373</v>
      </c>
      <c r="T109" s="62">
        <f t="shared" si="88"/>
        <v>373.57883793591537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10.608627324275693</v>
      </c>
      <c r="AA109" s="23">
        <f>EXP(-LN(2)/25)*AA108+(1-EXP(-LN(2)/25))/(LN(2)/25)*Calculateur!V109*Calculateur!X109*VLOOKUP('Données projet'!$B$9,Paramètres!$A$1:$I$89,3,0)*0.475*44/12</f>
        <v>2.1872387032897009</v>
      </c>
      <c r="AB109" s="23">
        <f>EXP(-LN(2)/2)*AB108+(1-EXP(-LN(2)/2))/(LN(2)/2)*V109*Y109*VLOOKUP('Données projet'!$B$9,Paramètres!$A$1:$I$89,3,0)*0.475*44/12</f>
        <v>3.7684174565747259E-12</v>
      </c>
      <c r="AC109" s="24">
        <f t="shared" si="57"/>
        <v>12.795866027569161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1.1368683772161603E-13</v>
      </c>
      <c r="AJ109" s="14">
        <f>AI109*VLOOKUP('Données projet'!$B$10,Paramètres!$A$1:$I$89,3,0)*VLOOKUP('Données projet'!$B$10,Paramètres!$A$1:$I$89,5,0)</f>
        <v>5.3205440053716299E-14</v>
      </c>
      <c r="AK109" s="14">
        <f t="shared" si="89"/>
        <v>8.602146238565607E-13</v>
      </c>
      <c r="AL109" s="22">
        <f t="shared" si="58"/>
        <v>1.590873277977066E-12</v>
      </c>
      <c r="AM109" s="62">
        <f t="shared" si="59"/>
        <v>293.33333333333491</v>
      </c>
      <c r="AN109" s="62">
        <f ca="1">AVERAGE(OFFSET($AM$3,0,0,'Données projet'!$E$10+1,1))-AVERAGE(OFFSET($H$3,0,0,'Données projet'!$E$10+1,1))</f>
        <v>259.74478933784656</v>
      </c>
      <c r="AO109" s="62">
        <f t="shared" si="90"/>
        <v>223.74038909289646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80.044039344639373</v>
      </c>
      <c r="T110" s="62">
        <f t="shared" si="88"/>
        <v>373.57883793591537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10.400598613070393</v>
      </c>
      <c r="AA110" s="23">
        <f>EXP(-LN(2)/25)*AA109+(1-EXP(-LN(2)/25))/(LN(2)/25)*Calculateur!V110*Calculateur!X110*VLOOKUP('Données projet'!$B$9,Paramètres!$A$1:$I$89,3,0)*0.475*44/12</f>
        <v>2.1274285459263598</v>
      </c>
      <c r="AB110" s="23">
        <f>EXP(-LN(2)/2)*AB109+(1-EXP(-LN(2)/2))/(LN(2)/2)*V110*Y110*VLOOKUP('Données projet'!$B$9,Paramètres!$A$1:$I$89,3,0)*0.475*44/12</f>
        <v>2.6646735378857507E-12</v>
      </c>
      <c r="AC110" s="24">
        <f t="shared" si="57"/>
        <v>12.528027158999418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1.1368683772161603E-13</v>
      </c>
      <c r="AJ110" s="14">
        <f>AI110*VLOOKUP('Données projet'!$B$10,Paramètres!$A$1:$I$89,3,0)*VLOOKUP('Données projet'!$B$10,Paramètres!$A$1:$I$89,5,0)</f>
        <v>5.3205440053716299E-14</v>
      </c>
      <c r="AK110" s="14">
        <f t="shared" si="89"/>
        <v>8.602146238565607E-13</v>
      </c>
      <c r="AL110" s="22">
        <f t="shared" si="58"/>
        <v>1.590873277977066E-12</v>
      </c>
      <c r="AM110" s="62">
        <f t="shared" si="59"/>
        <v>293.33333333333491</v>
      </c>
      <c r="AN110" s="62">
        <f ca="1">AVERAGE(OFFSET($AM$3,0,0,'Données projet'!$E$10+1,1))-AVERAGE(OFFSET($H$3,0,0,'Données projet'!$E$10+1,1))</f>
        <v>259.74478933784656</v>
      </c>
      <c r="AO110" s="62">
        <f t="shared" si="90"/>
        <v>223.74038909289646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80.044039344639373</v>
      </c>
      <c r="T111" s="62">
        <f t="shared" si="88"/>
        <v>373.57883793591537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10.196649218006845</v>
      </c>
      <c r="AA111" s="23">
        <f>EXP(-LN(2)/25)*AA110+(1-EXP(-LN(2)/25))/(LN(2)/25)*Calculateur!V111*Calculateur!X111*VLOOKUP('Données projet'!$B$9,Paramètres!$A$1:$I$89,3,0)*0.475*44/12</f>
        <v>2.0692539004613986</v>
      </c>
      <c r="AB111" s="23">
        <f>EXP(-LN(2)/2)*AB110+(1-EXP(-LN(2)/2))/(LN(2)/2)*V111*Y111*VLOOKUP('Données projet'!$B$9,Paramètres!$A$1:$I$89,3,0)*0.475*44/12</f>
        <v>1.884208728287363E-12</v>
      </c>
      <c r="AC111" s="24">
        <f t="shared" si="57"/>
        <v>12.265903118470129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1.1368683772161603E-13</v>
      </c>
      <c r="AJ111" s="14">
        <f>AI111*VLOOKUP('Données projet'!$B$10,Paramètres!$A$1:$I$89,3,0)*VLOOKUP('Données projet'!$B$10,Paramètres!$A$1:$I$89,5,0)</f>
        <v>5.3205440053716299E-14</v>
      </c>
      <c r="AK111" s="14">
        <f t="shared" si="89"/>
        <v>8.602146238565607E-13</v>
      </c>
      <c r="AL111" s="22">
        <f t="shared" si="58"/>
        <v>1.590873277977066E-12</v>
      </c>
      <c r="AM111" s="62">
        <f t="shared" si="59"/>
        <v>293.33333333333491</v>
      </c>
      <c r="AN111" s="62">
        <f ca="1">AVERAGE(OFFSET($AM$3,0,0,'Données projet'!$E$10+1,1))-AVERAGE(OFFSET($H$3,0,0,'Données projet'!$E$10+1,1))</f>
        <v>259.74478933784656</v>
      </c>
      <c r="AO111" s="62">
        <f t="shared" si="90"/>
        <v>223.74038909289646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80.044039344639373</v>
      </c>
      <c r="T112" s="62">
        <f t="shared" si="88"/>
        <v>373.57883793591537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9.9966991461836443</v>
      </c>
      <c r="AA112" s="23">
        <f>EXP(-LN(2)/25)*AA111+(1-EXP(-LN(2)/25))/(LN(2)/25)*Calculateur!V112*Calculateur!X112*VLOOKUP('Données projet'!$B$9,Paramètres!$A$1:$I$89,3,0)*0.475*44/12</f>
        <v>2.0126700437359482</v>
      </c>
      <c r="AB112" s="23">
        <f>EXP(-LN(2)/2)*AB111+(1-EXP(-LN(2)/2))/(LN(2)/2)*V112*Y112*VLOOKUP('Données projet'!$B$9,Paramètres!$A$1:$I$89,3,0)*0.475*44/12</f>
        <v>1.3323367689428754E-12</v>
      </c>
      <c r="AC112" s="24">
        <f t="shared" si="57"/>
        <v>12.009369189920925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1.1368683772161603E-13</v>
      </c>
      <c r="AJ112" s="14">
        <f>AI112*VLOOKUP('Données projet'!$B$10,Paramètres!$A$1:$I$89,3,0)*VLOOKUP('Données projet'!$B$10,Paramètres!$A$1:$I$89,5,0)</f>
        <v>5.3205440053716299E-14</v>
      </c>
      <c r="AK112" s="14">
        <f t="shared" si="89"/>
        <v>8.602146238565607E-13</v>
      </c>
      <c r="AL112" s="22">
        <f t="shared" si="58"/>
        <v>1.590873277977066E-12</v>
      </c>
      <c r="AM112" s="62">
        <f t="shared" si="59"/>
        <v>293.33333333333491</v>
      </c>
      <c r="AN112" s="62">
        <f ca="1">AVERAGE(OFFSET($AM$3,0,0,'Données projet'!$E$10+1,1))-AVERAGE(OFFSET($H$3,0,0,'Données projet'!$E$10+1,1))</f>
        <v>259.74478933784656</v>
      </c>
      <c r="AO112" s="62">
        <f t="shared" si="90"/>
        <v>223.74038909289646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80.044039344639373</v>
      </c>
      <c r="T113" s="62">
        <f t="shared" si="88"/>
        <v>373.57883793591537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9.8006699733113951</v>
      </c>
      <c r="AA113" s="23">
        <f>EXP(-LN(2)/25)*AA112+(1-EXP(-LN(2)/25))/(LN(2)/25)*Calculateur!V113*Calculateur!X113*VLOOKUP('Données projet'!$B$9,Paramètres!$A$1:$I$89,3,0)*0.475*44/12</f>
        <v>1.9576334755482712</v>
      </c>
      <c r="AB113" s="23">
        <f>EXP(-LN(2)/2)*AB112+(1-EXP(-LN(2)/2))/(LN(2)/2)*V113*Y113*VLOOKUP('Données projet'!$B$9,Paramètres!$A$1:$I$89,3,0)*0.475*44/12</f>
        <v>9.4210436414368148E-13</v>
      </c>
      <c r="AC113" s="24">
        <f t="shared" si="57"/>
        <v>11.758303448860607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1.1368683772161603E-13</v>
      </c>
      <c r="AJ113" s="14">
        <f>AI113*VLOOKUP('Données projet'!$B$10,Paramètres!$A$1:$I$89,3,0)*VLOOKUP('Données projet'!$B$10,Paramètres!$A$1:$I$89,5,0)</f>
        <v>5.3205440053716299E-14</v>
      </c>
      <c r="AK113" s="14">
        <f t="shared" si="89"/>
        <v>8.602146238565607E-13</v>
      </c>
      <c r="AL113" s="22">
        <f t="shared" si="58"/>
        <v>1.590873277977066E-12</v>
      </c>
      <c r="AM113" s="62">
        <f t="shared" si="59"/>
        <v>293.33333333333491</v>
      </c>
      <c r="AN113" s="62">
        <f ca="1">AVERAGE(OFFSET($AM$3,0,0,'Données projet'!$E$10+1,1))-AVERAGE(OFFSET($H$3,0,0,'Données projet'!$E$10+1,1))</f>
        <v>259.74478933784656</v>
      </c>
      <c r="AO113" s="62">
        <f t="shared" si="90"/>
        <v>223.74038909289646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80.044039344639373</v>
      </c>
      <c r="T114" s="62">
        <f t="shared" si="88"/>
        <v>373.57883793591537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9.608484812953181</v>
      </c>
      <c r="AA114" s="23">
        <f>EXP(-LN(2)/25)*AA113+(1-EXP(-LN(2)/25))/(LN(2)/25)*Calculateur!V114*Calculateur!X114*VLOOKUP('Données projet'!$B$9,Paramètres!$A$1:$I$89,3,0)*0.475*44/12</f>
        <v>1.9041018852119334</v>
      </c>
      <c r="AB114" s="23">
        <f>EXP(-LN(2)/2)*AB113+(1-EXP(-LN(2)/2))/(LN(2)/2)*V114*Y114*VLOOKUP('Données projet'!$B$9,Paramètres!$A$1:$I$89,3,0)*0.475*44/12</f>
        <v>6.6616838447143768E-13</v>
      </c>
      <c r="AC114" s="24">
        <f t="shared" si="57"/>
        <v>11.51258669816578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1.1368683772161603E-13</v>
      </c>
      <c r="AJ114" s="14">
        <f>AI114*VLOOKUP('Données projet'!$B$10,Paramètres!$A$1:$I$89,3,0)*VLOOKUP('Données projet'!$B$10,Paramètres!$A$1:$I$89,5,0)</f>
        <v>5.3205440053716299E-14</v>
      </c>
      <c r="AK114" s="14">
        <f t="shared" si="89"/>
        <v>8.602146238565607E-13</v>
      </c>
      <c r="AL114" s="22">
        <f t="shared" si="58"/>
        <v>1.590873277977066E-12</v>
      </c>
      <c r="AM114" s="62">
        <f t="shared" si="59"/>
        <v>293.33333333333491</v>
      </c>
      <c r="AN114" s="62">
        <f ca="1">AVERAGE(OFFSET($AM$3,0,0,'Données projet'!$E$10+1,1))-AVERAGE(OFFSET($H$3,0,0,'Données projet'!$E$10+1,1))</f>
        <v>259.74478933784656</v>
      </c>
      <c r="AO114" s="62">
        <f t="shared" si="90"/>
        <v>223.74038909289646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80.044039344639373</v>
      </c>
      <c r="T115" s="62">
        <f t="shared" si="88"/>
        <v>373.57883793591537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9.4200682863682186</v>
      </c>
      <c r="AA115" s="23">
        <f>EXP(-LN(2)/25)*AA114+(1-EXP(-LN(2)/25))/(LN(2)/25)*Calculateur!V115*Calculateur!X115*VLOOKUP('Données projet'!$B$9,Paramètres!$A$1:$I$89,3,0)*0.475*44/12</f>
        <v>1.8520341190284468</v>
      </c>
      <c r="AB115" s="23">
        <f>EXP(-LN(2)/2)*AB114+(1-EXP(-LN(2)/2))/(LN(2)/2)*V115*Y115*VLOOKUP('Données projet'!$B$9,Paramètres!$A$1:$I$89,3,0)*0.475*44/12</f>
        <v>4.7105218207184074E-13</v>
      </c>
      <c r="AC115" s="24">
        <f t="shared" si="57"/>
        <v>11.272102405397137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1.1368683772161603E-13</v>
      </c>
      <c r="AJ115" s="14">
        <f>AI115*VLOOKUP('Données projet'!$B$10,Paramètres!$A$1:$I$89,3,0)*VLOOKUP('Données projet'!$B$10,Paramètres!$A$1:$I$89,5,0)</f>
        <v>5.3205440053716299E-14</v>
      </c>
      <c r="AK115" s="14">
        <f t="shared" si="89"/>
        <v>8.602146238565607E-13</v>
      </c>
      <c r="AL115" s="22">
        <f t="shared" si="58"/>
        <v>1.590873277977066E-12</v>
      </c>
      <c r="AM115" s="62">
        <f t="shared" si="59"/>
        <v>293.33333333333491</v>
      </c>
      <c r="AN115" s="62">
        <f ca="1">AVERAGE(OFFSET($AM$3,0,0,'Données projet'!$E$10+1,1))-AVERAGE(OFFSET($H$3,0,0,'Données projet'!$E$10+1,1))</f>
        <v>259.74478933784656</v>
      </c>
      <c r="AO115" s="62">
        <f t="shared" si="90"/>
        <v>223.74038909289646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80.044039344639373</v>
      </c>
      <c r="T116" s="62">
        <f t="shared" si="88"/>
        <v>373.57883793591537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9.2353464929468547</v>
      </c>
      <c r="AA116" s="23">
        <f>EXP(-LN(2)/25)*AA115+(1-EXP(-LN(2)/25))/(LN(2)/25)*Calculateur!V116*Calculateur!X116*VLOOKUP('Données projet'!$B$9,Paramètres!$A$1:$I$89,3,0)*0.475*44/12</f>
        <v>1.8013901486493724</v>
      </c>
      <c r="AB116" s="23">
        <f>EXP(-LN(2)/2)*AB115+(1-EXP(-LN(2)/2))/(LN(2)/2)*V116*Y116*VLOOKUP('Données projet'!$B$9,Paramètres!$A$1:$I$89,3,0)*0.475*44/12</f>
        <v>3.3308419223571884E-13</v>
      </c>
      <c r="AC116" s="24">
        <f t="shared" si="57"/>
        <v>11.036736641596562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1.1368683772161603E-13</v>
      </c>
      <c r="AJ116" s="14">
        <f>AI116*VLOOKUP('Données projet'!$B$10,Paramètres!$A$1:$I$89,3,0)*VLOOKUP('Données projet'!$B$10,Paramètres!$A$1:$I$89,5,0)</f>
        <v>5.3205440053716299E-14</v>
      </c>
      <c r="AK116" s="14">
        <f t="shared" si="89"/>
        <v>8.602146238565607E-13</v>
      </c>
      <c r="AL116" s="22">
        <f t="shared" si="58"/>
        <v>1.590873277977066E-12</v>
      </c>
      <c r="AM116" s="62">
        <f t="shared" si="59"/>
        <v>293.33333333333491</v>
      </c>
      <c r="AN116" s="62">
        <f ca="1">AVERAGE(OFFSET($AM$3,0,0,'Données projet'!$E$10+1,1))-AVERAGE(OFFSET($H$3,0,0,'Données projet'!$E$10+1,1))</f>
        <v>259.74478933784656</v>
      </c>
      <c r="AO116" s="62">
        <f t="shared" si="90"/>
        <v>223.74038909289646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80.044039344639373</v>
      </c>
      <c r="T117" s="62">
        <f t="shared" si="88"/>
        <v>373.57883793591537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9.0542469812253152</v>
      </c>
      <c r="AA117" s="23">
        <f>EXP(-LN(2)/25)*AA116+(1-EXP(-LN(2)/25))/(LN(2)/25)*Calculateur!V117*Calculateur!X117*VLOOKUP('Données projet'!$B$9,Paramètres!$A$1:$I$89,3,0)*0.475*44/12</f>
        <v>1.7521310403035646</v>
      </c>
      <c r="AB117" s="23">
        <f>EXP(-LN(2)/2)*AB116+(1-EXP(-LN(2)/2))/(LN(2)/2)*V117*Y117*VLOOKUP('Données projet'!$B$9,Paramètres!$A$1:$I$89,3,0)*0.475*44/12</f>
        <v>2.3552609103592037E-13</v>
      </c>
      <c r="AC117" s="24">
        <f t="shared" si="57"/>
        <v>10.806378021529117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1.1368683772161603E-13</v>
      </c>
      <c r="AJ117" s="14">
        <f>AI117*VLOOKUP('Données projet'!$B$10,Paramètres!$A$1:$I$89,3,0)*VLOOKUP('Données projet'!$B$10,Paramètres!$A$1:$I$89,5,0)</f>
        <v>5.3205440053716299E-14</v>
      </c>
      <c r="AK117" s="14">
        <f t="shared" si="89"/>
        <v>8.602146238565607E-13</v>
      </c>
      <c r="AL117" s="22">
        <f t="shared" si="58"/>
        <v>1.590873277977066E-12</v>
      </c>
      <c r="AM117" s="62">
        <f t="shared" si="59"/>
        <v>293.33333333333491</v>
      </c>
      <c r="AN117" s="62">
        <f ca="1">AVERAGE(OFFSET($AM$3,0,0,'Données projet'!$E$10+1,1))-AVERAGE(OFFSET($H$3,0,0,'Données projet'!$E$10+1,1))</f>
        <v>259.74478933784656</v>
      </c>
      <c r="AO117" s="62">
        <f t="shared" si="90"/>
        <v>223.74038909289646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80.044039344639373</v>
      </c>
      <c r="T118" s="62">
        <f t="shared" si="88"/>
        <v>373.57883793591537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8.8766987204688395</v>
      </c>
      <c r="AA118" s="23">
        <f>EXP(-LN(2)/25)*AA117+(1-EXP(-LN(2)/25))/(LN(2)/25)*Calculateur!V118*Calculateur!X118*VLOOKUP('Données projet'!$B$9,Paramètres!$A$1:$I$89,3,0)*0.475*44/12</f>
        <v>1.7042189248658968</v>
      </c>
      <c r="AB118" s="23">
        <f>EXP(-LN(2)/2)*AB117+(1-EXP(-LN(2)/2))/(LN(2)/2)*V118*Y118*VLOOKUP('Données projet'!$B$9,Paramètres!$A$1:$I$89,3,0)*0.475*44/12</f>
        <v>1.6654209611785942E-13</v>
      </c>
      <c r="AC118" s="24">
        <f t="shared" si="57"/>
        <v>10.580917645334903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1.1368683772161603E-13</v>
      </c>
      <c r="AJ118" s="14">
        <f>AI118*VLOOKUP('Données projet'!$B$10,Paramètres!$A$1:$I$89,3,0)*VLOOKUP('Données projet'!$B$10,Paramètres!$A$1:$I$89,5,0)</f>
        <v>5.3205440053716299E-14</v>
      </c>
      <c r="AK118" s="14">
        <f t="shared" si="89"/>
        <v>8.602146238565607E-13</v>
      </c>
      <c r="AL118" s="22">
        <f t="shared" si="58"/>
        <v>1.590873277977066E-12</v>
      </c>
      <c r="AM118" s="62">
        <f t="shared" si="59"/>
        <v>293.33333333333491</v>
      </c>
      <c r="AN118" s="62">
        <f ca="1">AVERAGE(OFFSET($AM$3,0,0,'Données projet'!$E$10+1,1))-AVERAGE(OFFSET($H$3,0,0,'Données projet'!$E$10+1,1))</f>
        <v>259.74478933784656</v>
      </c>
      <c r="AO118" s="62">
        <f t="shared" si="90"/>
        <v>223.74038909289646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80.044039344639373</v>
      </c>
      <c r="T119" s="62">
        <f t="shared" si="88"/>
        <v>373.57883793591537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8.7026320728120528</v>
      </c>
      <c r="AA119" s="23">
        <f>EXP(-LN(2)/25)*AA118+(1-EXP(-LN(2)/25))/(LN(2)/25)*Calculateur!V119*Calculateur!X119*VLOOKUP('Données projet'!$B$9,Paramètres!$A$1:$I$89,3,0)*0.475*44/12</f>
        <v>1.6576169687444606</v>
      </c>
      <c r="AB119" s="23">
        <f>EXP(-LN(2)/2)*AB118+(1-EXP(-LN(2)/2))/(LN(2)/2)*V119*Y119*VLOOKUP('Données projet'!$B$9,Paramètres!$A$1:$I$89,3,0)*0.475*44/12</f>
        <v>1.1776304551796018E-13</v>
      </c>
      <c r="AC119" s="24">
        <f t="shared" si="57"/>
        <v>10.360249041556632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1.1368683772161603E-13</v>
      </c>
      <c r="AJ119" s="14">
        <f>AI119*VLOOKUP('Données projet'!$B$10,Paramètres!$A$1:$I$89,3,0)*VLOOKUP('Données projet'!$B$10,Paramètres!$A$1:$I$89,5,0)</f>
        <v>5.3205440053716299E-14</v>
      </c>
      <c r="AK119" s="14">
        <f t="shared" si="89"/>
        <v>8.602146238565607E-13</v>
      </c>
      <c r="AL119" s="22">
        <f t="shared" si="58"/>
        <v>1.590873277977066E-12</v>
      </c>
      <c r="AM119" s="62">
        <f t="shared" si="59"/>
        <v>293.33333333333491</v>
      </c>
      <c r="AN119" s="62">
        <f ca="1">AVERAGE(OFFSET($AM$3,0,0,'Données projet'!$E$10+1,1))-AVERAGE(OFFSET($H$3,0,0,'Données projet'!$E$10+1,1))</f>
        <v>259.74478933784656</v>
      </c>
      <c r="AO119" s="62">
        <f t="shared" si="90"/>
        <v>223.74038909289646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80.044039344639373</v>
      </c>
      <c r="T120" s="62">
        <f t="shared" si="88"/>
        <v>373.57883793591537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8.5319787659456434</v>
      </c>
      <c r="AA120" s="23">
        <f>EXP(-LN(2)/25)*AA119+(1-EXP(-LN(2)/25))/(LN(2)/25)*Calculateur!V120*Calculateur!X120*VLOOKUP('Données projet'!$B$9,Paramètres!$A$1:$I$89,3,0)*0.475*44/12</f>
        <v>1.6122893455638554</v>
      </c>
      <c r="AB120" s="23">
        <f>EXP(-LN(2)/2)*AB119+(1-EXP(-LN(2)/2))/(LN(2)/2)*V120*Y120*VLOOKUP('Données projet'!$B$9,Paramètres!$A$1:$I$89,3,0)*0.475*44/12</f>
        <v>8.327104805892971E-14</v>
      </c>
      <c r="AC120" s="24">
        <f t="shared" si="57"/>
        <v>10.144268111509582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1.1368683772161603E-13</v>
      </c>
      <c r="AJ120" s="14">
        <f>AI120*VLOOKUP('Données projet'!$B$10,Paramètres!$A$1:$I$89,3,0)*VLOOKUP('Données projet'!$B$10,Paramètres!$A$1:$I$89,5,0)</f>
        <v>5.3205440053716299E-14</v>
      </c>
      <c r="AK120" s="14">
        <f t="shared" si="89"/>
        <v>8.602146238565607E-13</v>
      </c>
      <c r="AL120" s="22">
        <f t="shared" si="58"/>
        <v>1.590873277977066E-12</v>
      </c>
      <c r="AM120" s="62">
        <f t="shared" si="59"/>
        <v>293.33333333333491</v>
      </c>
      <c r="AN120" s="62">
        <f ca="1">AVERAGE(OFFSET($AM$3,0,0,'Données projet'!$E$10+1,1))-AVERAGE(OFFSET($H$3,0,0,'Données projet'!$E$10+1,1))</f>
        <v>259.74478933784656</v>
      </c>
      <c r="AO120" s="62">
        <f t="shared" si="90"/>
        <v>223.74038909289646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80.044039344639373</v>
      </c>
      <c r="T121" s="62">
        <f t="shared" si="88"/>
        <v>373.57883793591537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8.3646718663386448</v>
      </c>
      <c r="AA121" s="23">
        <f>EXP(-LN(2)/25)*AA120+(1-EXP(-LN(2)/25))/(LN(2)/25)*Calculateur!V121*Calculateur!X121*VLOOKUP('Données projet'!$B$9,Paramètres!$A$1:$I$89,3,0)*0.475*44/12</f>
        <v>1.5682012086228001</v>
      </c>
      <c r="AB121" s="23">
        <f>EXP(-LN(2)/2)*AB120+(1-EXP(-LN(2)/2))/(LN(2)/2)*V121*Y121*VLOOKUP('Données projet'!$B$9,Paramètres!$A$1:$I$89,3,0)*0.475*44/12</f>
        <v>5.8881522758980092E-14</v>
      </c>
      <c r="AC121" s="24">
        <f t="shared" si="57"/>
        <v>9.9328730749615044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1.1368683772161603E-13</v>
      </c>
      <c r="AJ121" s="14">
        <f>AI121*VLOOKUP('Données projet'!$B$10,Paramètres!$A$1:$I$89,3,0)*VLOOKUP('Données projet'!$B$10,Paramètres!$A$1:$I$89,5,0)</f>
        <v>5.3205440053716299E-14</v>
      </c>
      <c r="AK121" s="14">
        <f t="shared" si="89"/>
        <v>8.602146238565607E-13</v>
      </c>
      <c r="AL121" s="22">
        <f t="shared" si="58"/>
        <v>1.590873277977066E-12</v>
      </c>
      <c r="AM121" s="62">
        <f t="shared" si="59"/>
        <v>293.33333333333491</v>
      </c>
      <c r="AN121" s="62">
        <f ca="1">AVERAGE(OFFSET($AM$3,0,0,'Données projet'!$E$10+1,1))-AVERAGE(OFFSET($H$3,0,0,'Données projet'!$E$10+1,1))</f>
        <v>259.74478933784656</v>
      </c>
      <c r="AO121" s="62">
        <f t="shared" si="90"/>
        <v>223.74038909289646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80.044039344639373</v>
      </c>
      <c r="T122" s="62">
        <f t="shared" si="88"/>
        <v>373.57883793591537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8.2006457529858068</v>
      </c>
      <c r="AA122" s="23">
        <f>EXP(-LN(2)/25)*AA121+(1-EXP(-LN(2)/25))/(LN(2)/25)*Calculateur!V122*Calculateur!X122*VLOOKUP('Données projet'!$B$9,Paramètres!$A$1:$I$89,3,0)*0.475*44/12</f>
        <v>1.5253186641048921</v>
      </c>
      <c r="AB122" s="23">
        <f>EXP(-LN(2)/2)*AB121+(1-EXP(-LN(2)/2))/(LN(2)/2)*V122*Y122*VLOOKUP('Données projet'!$B$9,Paramètres!$A$1:$I$89,3,0)*0.475*44/12</f>
        <v>4.1635524029464855E-14</v>
      </c>
      <c r="AC122" s="24">
        <f t="shared" si="57"/>
        <v>9.72596441709074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1.1368683772161603E-13</v>
      </c>
      <c r="AJ122" s="14">
        <f>AI122*VLOOKUP('Données projet'!$B$10,Paramètres!$A$1:$I$89,3,0)*VLOOKUP('Données projet'!$B$10,Paramètres!$A$1:$I$89,5,0)</f>
        <v>5.3205440053716299E-14</v>
      </c>
      <c r="AK122" s="14">
        <f t="shared" si="89"/>
        <v>8.602146238565607E-13</v>
      </c>
      <c r="AL122" s="22">
        <f t="shared" si="58"/>
        <v>1.590873277977066E-12</v>
      </c>
      <c r="AM122" s="62">
        <f t="shared" si="59"/>
        <v>293.33333333333491</v>
      </c>
      <c r="AN122" s="62">
        <f ca="1">AVERAGE(OFFSET($AM$3,0,0,'Données projet'!$E$10+1,1))-AVERAGE(OFFSET($H$3,0,0,'Données projet'!$E$10+1,1))</f>
        <v>259.74478933784656</v>
      </c>
      <c r="AO122" s="62">
        <f t="shared" si="90"/>
        <v>223.74038909289646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80.044039344639373</v>
      </c>
      <c r="T123" s="62">
        <f t="shared" si="88"/>
        <v>373.57883793591537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8.039836091669768</v>
      </c>
      <c r="AA123" s="23">
        <f>EXP(-LN(2)/25)*AA122+(1-EXP(-LN(2)/25))/(LN(2)/25)*Calculateur!V123*Calculateur!X123*VLOOKUP('Données projet'!$B$9,Paramètres!$A$1:$I$89,3,0)*0.475*44/12</f>
        <v>1.4836087450219215</v>
      </c>
      <c r="AB123" s="23">
        <f>EXP(-LN(2)/2)*AB122+(1-EXP(-LN(2)/2))/(LN(2)/2)*V123*Y123*VLOOKUP('Données projet'!$B$9,Paramètres!$A$1:$I$89,3,0)*0.475*44/12</f>
        <v>2.9440761379490046E-14</v>
      </c>
      <c r="AC123" s="24">
        <f t="shared" si="57"/>
        <v>9.5234448366917199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1.1368683772161603E-13</v>
      </c>
      <c r="AJ123" s="14">
        <f>AI123*VLOOKUP('Données projet'!$B$10,Paramètres!$A$1:$I$89,3,0)*VLOOKUP('Données projet'!$B$10,Paramètres!$A$1:$I$89,5,0)</f>
        <v>5.3205440053716299E-14</v>
      </c>
      <c r="AK123" s="14">
        <f t="shared" si="89"/>
        <v>8.602146238565607E-13</v>
      </c>
      <c r="AL123" s="22">
        <f t="shared" si="58"/>
        <v>1.590873277977066E-12</v>
      </c>
      <c r="AM123" s="62">
        <f t="shared" si="59"/>
        <v>293.33333333333491</v>
      </c>
      <c r="AN123" s="62">
        <f ca="1">AVERAGE(OFFSET($AM$3,0,0,'Données projet'!$E$10+1,1))-AVERAGE(OFFSET($H$3,0,0,'Données projet'!$E$10+1,1))</f>
        <v>259.74478933784656</v>
      </c>
      <c r="AO123" s="62">
        <f t="shared" si="90"/>
        <v>223.74038909289646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80.044039344639373</v>
      </c>
      <c r="T124" s="62">
        <f t="shared" si="88"/>
        <v>373.57883793591537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7.8821798097279281</v>
      </c>
      <c r="AA124" s="23">
        <f>EXP(-LN(2)/25)*AA123+(1-EXP(-LN(2)/25))/(LN(2)/25)*Calculateur!V124*Calculateur!X124*VLOOKUP('Données projet'!$B$9,Paramètres!$A$1:$I$89,3,0)*0.475*44/12</f>
        <v>1.4430393858697039</v>
      </c>
      <c r="AB124" s="23">
        <f>EXP(-LN(2)/2)*AB123+(1-EXP(-LN(2)/2))/(LN(2)/2)*V124*Y124*VLOOKUP('Données projet'!$B$9,Paramètres!$A$1:$I$89,3,0)*0.475*44/12</f>
        <v>2.0817762014732428E-14</v>
      </c>
      <c r="AC124" s="24">
        <f t="shared" si="57"/>
        <v>9.3252191955976542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1.1368683772161603E-13</v>
      </c>
      <c r="AJ124" s="14">
        <f>AI124*VLOOKUP('Données projet'!$B$10,Paramètres!$A$1:$I$89,3,0)*VLOOKUP('Données projet'!$B$10,Paramètres!$A$1:$I$89,5,0)</f>
        <v>5.3205440053716299E-14</v>
      </c>
      <c r="AK124" s="14">
        <f t="shared" si="89"/>
        <v>8.602146238565607E-13</v>
      </c>
      <c r="AL124" s="22">
        <f t="shared" si="58"/>
        <v>1.590873277977066E-12</v>
      </c>
      <c r="AM124" s="62">
        <f t="shared" si="59"/>
        <v>293.33333333333491</v>
      </c>
      <c r="AN124" s="62">
        <f ca="1">AVERAGE(OFFSET($AM$3,0,0,'Données projet'!$E$10+1,1))-AVERAGE(OFFSET($H$3,0,0,'Données projet'!$E$10+1,1))</f>
        <v>259.74478933784656</v>
      </c>
      <c r="AO124" s="62">
        <f t="shared" si="90"/>
        <v>223.74038909289646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80.044039344639373</v>
      </c>
      <c r="T125" s="62">
        <f t="shared" si="88"/>
        <v>373.57883793591537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7.7276150713141307</v>
      </c>
      <c r="AA125" s="23">
        <f>EXP(-LN(2)/25)*AA124+(1-EXP(-LN(2)/25))/(LN(2)/25)*Calculateur!V125*Calculateur!X125*VLOOKUP('Données projet'!$B$9,Paramètres!$A$1:$I$89,3,0)*0.475*44/12</f>
        <v>1.4035793979769537</v>
      </c>
      <c r="AB125" s="23">
        <f>EXP(-LN(2)/2)*AB124+(1-EXP(-LN(2)/2))/(LN(2)/2)*V125*Y125*VLOOKUP('Données projet'!$B$9,Paramètres!$A$1:$I$89,3,0)*0.475*44/12</f>
        <v>1.4720380689745023E-14</v>
      </c>
      <c r="AC125" s="24">
        <f t="shared" si="57"/>
        <v>9.1311944692910991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1.1368683772161603E-13</v>
      </c>
      <c r="AJ125" s="14">
        <f>AI125*VLOOKUP('Données projet'!$B$10,Paramètres!$A$1:$I$89,3,0)*VLOOKUP('Données projet'!$B$10,Paramètres!$A$1:$I$89,5,0)</f>
        <v>5.3205440053716299E-14</v>
      </c>
      <c r="AK125" s="14">
        <f t="shared" si="89"/>
        <v>8.602146238565607E-13</v>
      </c>
      <c r="AL125" s="22">
        <f t="shared" si="58"/>
        <v>1.590873277977066E-12</v>
      </c>
      <c r="AM125" s="62">
        <f t="shared" si="59"/>
        <v>293.33333333333491</v>
      </c>
      <c r="AN125" s="62">
        <f ca="1">AVERAGE(OFFSET($AM$3,0,0,'Données projet'!$E$10+1,1))-AVERAGE(OFFSET($H$3,0,0,'Données projet'!$E$10+1,1))</f>
        <v>259.74478933784656</v>
      </c>
      <c r="AO125" s="62">
        <f t="shared" si="90"/>
        <v>223.74038909289646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80.044039344639373</v>
      </c>
      <c r="T126" s="62">
        <f t="shared" si="88"/>
        <v>373.57883793591537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7.5760812531454462</v>
      </c>
      <c r="AA126" s="23">
        <f>EXP(-LN(2)/25)*AA125+(1-EXP(-LN(2)/25))/(LN(2)/25)*Calculateur!V126*Calculateur!X126*VLOOKUP('Données projet'!$B$9,Paramètres!$A$1:$I$89,3,0)*0.475*44/12</f>
        <v>1.3651984455282413</v>
      </c>
      <c r="AB126" s="23">
        <f>EXP(-LN(2)/2)*AB125+(1-EXP(-LN(2)/2))/(LN(2)/2)*V126*Y126*VLOOKUP('Données projet'!$B$9,Paramètres!$A$1:$I$89,3,0)*0.475*44/12</f>
        <v>1.0408881007366214E-14</v>
      </c>
      <c r="AC126" s="24">
        <f t="shared" si="57"/>
        <v>8.9412796986736982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1.1368683772161603E-13</v>
      </c>
      <c r="AJ126" s="14">
        <f>AI126*VLOOKUP('Données projet'!$B$10,Paramètres!$A$1:$I$89,3,0)*VLOOKUP('Données projet'!$B$10,Paramètres!$A$1:$I$89,5,0)</f>
        <v>5.3205440053716299E-14</v>
      </c>
      <c r="AK126" s="14">
        <f t="shared" si="89"/>
        <v>8.602146238565607E-13</v>
      </c>
      <c r="AL126" s="22">
        <f t="shared" si="58"/>
        <v>1.590873277977066E-12</v>
      </c>
      <c r="AM126" s="62">
        <f t="shared" si="59"/>
        <v>293.33333333333491</v>
      </c>
      <c r="AN126" s="62">
        <f ca="1">AVERAGE(OFFSET($AM$3,0,0,'Données projet'!$E$10+1,1))-AVERAGE(OFFSET($H$3,0,0,'Données projet'!$E$10+1,1))</f>
        <v>259.74478933784656</v>
      </c>
      <c r="AO126" s="62">
        <f t="shared" si="90"/>
        <v>223.74038909289646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80.044039344639373</v>
      </c>
      <c r="T127" s="62">
        <f t="shared" si="88"/>
        <v>373.57883793591537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7.4275189207245473</v>
      </c>
      <c r="AA127" s="23">
        <f>EXP(-LN(2)/25)*AA126+(1-EXP(-LN(2)/25))/(LN(2)/25)*Calculateur!V127*Calculateur!X127*VLOOKUP('Données projet'!$B$9,Paramètres!$A$1:$I$89,3,0)*0.475*44/12</f>
        <v>1.3278670222426054</v>
      </c>
      <c r="AB127" s="23">
        <f>EXP(-LN(2)/2)*AB126+(1-EXP(-LN(2)/2))/(LN(2)/2)*V127*Y127*VLOOKUP('Données projet'!$B$9,Paramètres!$A$1:$I$89,3,0)*0.475*44/12</f>
        <v>7.3601903448725115E-15</v>
      </c>
      <c r="AC127" s="24">
        <f t="shared" si="57"/>
        <v>8.755385942967159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1.1368683772161603E-13</v>
      </c>
      <c r="AJ127" s="14">
        <f>AI127*VLOOKUP('Données projet'!$B$10,Paramètres!$A$1:$I$89,3,0)*VLOOKUP('Données projet'!$B$10,Paramètres!$A$1:$I$89,5,0)</f>
        <v>5.3205440053716299E-14</v>
      </c>
      <c r="AK127" s="14">
        <f t="shared" si="89"/>
        <v>8.602146238565607E-13</v>
      </c>
      <c r="AL127" s="22">
        <f t="shared" si="58"/>
        <v>1.590873277977066E-12</v>
      </c>
      <c r="AM127" s="62">
        <f t="shared" si="59"/>
        <v>293.33333333333491</v>
      </c>
      <c r="AN127" s="62">
        <f ca="1">AVERAGE(OFFSET($AM$3,0,0,'Données projet'!$E$10+1,1))-AVERAGE(OFFSET($H$3,0,0,'Données projet'!$E$10+1,1))</f>
        <v>259.74478933784656</v>
      </c>
      <c r="AO127" s="62">
        <f t="shared" si="90"/>
        <v>223.74038909289646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80.044039344639373</v>
      </c>
      <c r="T128" s="62">
        <f t="shared" si="88"/>
        <v>373.57883793591537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7.2818698050283466</v>
      </c>
      <c r="AA128" s="23">
        <f>EXP(-LN(2)/25)*AA127+(1-EXP(-LN(2)/25))/(LN(2)/25)*Calculateur!V128*Calculateur!X128*VLOOKUP('Données projet'!$B$9,Paramètres!$A$1:$I$89,3,0)*0.475*44/12</f>
        <v>1.2915564286898895</v>
      </c>
      <c r="AB128" s="23">
        <f>EXP(-LN(2)/2)*AB127+(1-EXP(-LN(2)/2))/(LN(2)/2)*V128*Y128*VLOOKUP('Données projet'!$B$9,Paramètres!$A$1:$I$89,3,0)*0.475*44/12</f>
        <v>5.2044405036831069E-15</v>
      </c>
      <c r="AC128" s="24">
        <f t="shared" si="57"/>
        <v>8.5734262337182408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1.1368683772161603E-13</v>
      </c>
      <c r="AJ128" s="14">
        <f>AI128*VLOOKUP('Données projet'!$B$10,Paramètres!$A$1:$I$89,3,0)*VLOOKUP('Données projet'!$B$10,Paramètres!$A$1:$I$89,5,0)</f>
        <v>5.3205440053716299E-14</v>
      </c>
      <c r="AK128" s="14">
        <f t="shared" si="89"/>
        <v>8.602146238565607E-13</v>
      </c>
      <c r="AL128" s="22">
        <f t="shared" si="58"/>
        <v>1.590873277977066E-12</v>
      </c>
      <c r="AM128" s="62">
        <f t="shared" si="59"/>
        <v>293.33333333333491</v>
      </c>
      <c r="AN128" s="62">
        <f ca="1">AVERAGE(OFFSET($AM$3,0,0,'Données projet'!$E$10+1,1))-AVERAGE(OFFSET($H$3,0,0,'Données projet'!$E$10+1,1))</f>
        <v>259.74478933784656</v>
      </c>
      <c r="AO128" s="62">
        <f t="shared" si="90"/>
        <v>223.74038909289646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80.044039344639373</v>
      </c>
      <c r="T129" s="62">
        <f t="shared" si="88"/>
        <v>373.57883793591537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7.1390767796537595</v>
      </c>
      <c r="AA129" s="23">
        <f>EXP(-LN(2)/25)*AA128+(1-EXP(-LN(2)/25))/(LN(2)/25)*Calculateur!V129*Calculateur!X129*VLOOKUP('Données projet'!$B$9,Paramètres!$A$1:$I$89,3,0)*0.475*44/12</f>
        <v>1.2562387502273638</v>
      </c>
      <c r="AB129" s="23">
        <f>EXP(-LN(2)/2)*AB128+(1-EXP(-LN(2)/2))/(LN(2)/2)*V129*Y129*VLOOKUP('Données projet'!$B$9,Paramètres!$A$1:$I$89,3,0)*0.475*44/12</f>
        <v>3.6800951724362558E-15</v>
      </c>
      <c r="AC129" s="24">
        <f t="shared" si="57"/>
        <v>8.3953155298811275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1.1368683772161603E-13</v>
      </c>
      <c r="AJ129" s="14">
        <f>AI129*VLOOKUP('Données projet'!$B$10,Paramètres!$A$1:$I$89,3,0)*VLOOKUP('Données projet'!$B$10,Paramètres!$A$1:$I$89,5,0)</f>
        <v>5.3205440053716299E-14</v>
      </c>
      <c r="AK129" s="14">
        <f t="shared" si="89"/>
        <v>8.602146238565607E-13</v>
      </c>
      <c r="AL129" s="22">
        <f t="shared" si="58"/>
        <v>1.590873277977066E-12</v>
      </c>
      <c r="AM129" s="62">
        <f t="shared" si="59"/>
        <v>293.33333333333491</v>
      </c>
      <c r="AN129" s="62">
        <f ca="1">AVERAGE(OFFSET($AM$3,0,0,'Données projet'!$E$10+1,1))-AVERAGE(OFFSET($H$3,0,0,'Données projet'!$E$10+1,1))</f>
        <v>259.74478933784656</v>
      </c>
      <c r="AO129" s="62">
        <f t="shared" si="90"/>
        <v>223.74038909289646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80.044039344639373</v>
      </c>
      <c r="T130" s="62">
        <f t="shared" si="88"/>
        <v>373.57883793591537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6.9990838384116225</v>
      </c>
      <c r="AA130" s="23">
        <f>EXP(-LN(2)/25)*AA129+(1-EXP(-LN(2)/25))/(LN(2)/25)*Calculateur!V130*Calculateur!X130*VLOOKUP('Données projet'!$B$9,Paramètres!$A$1:$I$89,3,0)*0.475*44/12</f>
        <v>1.2218868355396717</v>
      </c>
      <c r="AB130" s="23">
        <f>EXP(-LN(2)/2)*AB129+(1-EXP(-LN(2)/2))/(LN(2)/2)*V130*Y130*VLOOKUP('Données projet'!$B$9,Paramètres!$A$1:$I$89,3,0)*0.475*44/12</f>
        <v>2.6022202518415534E-15</v>
      </c>
      <c r="AC130" s="24">
        <f t="shared" si="57"/>
        <v>8.220970673951296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1.1368683772161603E-13</v>
      </c>
      <c r="AJ130" s="14">
        <f>AI130*VLOOKUP('Données projet'!$B$10,Paramètres!$A$1:$I$89,3,0)*VLOOKUP('Données projet'!$B$10,Paramètres!$A$1:$I$89,5,0)</f>
        <v>5.3205440053716299E-14</v>
      </c>
      <c r="AK130" s="14">
        <f t="shared" si="89"/>
        <v>8.602146238565607E-13</v>
      </c>
      <c r="AL130" s="22">
        <f t="shared" si="58"/>
        <v>1.590873277977066E-12</v>
      </c>
      <c r="AM130" s="62">
        <f t="shared" si="59"/>
        <v>293.33333333333491</v>
      </c>
      <c r="AN130" s="62">
        <f ca="1">AVERAGE(OFFSET($AM$3,0,0,'Données projet'!$E$10+1,1))-AVERAGE(OFFSET($H$3,0,0,'Données projet'!$E$10+1,1))</f>
        <v>259.74478933784656</v>
      </c>
      <c r="AO130" s="62">
        <f t="shared" si="90"/>
        <v>223.74038909289646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80.044039344639373</v>
      </c>
      <c r="T131" s="62">
        <f t="shared" si="88"/>
        <v>373.57883793591537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6.8618360733599815</v>
      </c>
      <c r="AA131" s="23">
        <f>EXP(-LN(2)/25)*AA130+(1-EXP(-LN(2)/25))/(LN(2)/25)*Calculateur!V131*Calculateur!X131*VLOOKUP('Données projet'!$B$9,Paramètres!$A$1:$I$89,3,0)*0.475*44/12</f>
        <v>1.1884742757656033</v>
      </c>
      <c r="AB131" s="23">
        <f>EXP(-LN(2)/2)*AB130+(1-EXP(-LN(2)/2))/(LN(2)/2)*V131*Y131*VLOOKUP('Données projet'!$B$9,Paramètres!$A$1:$I$89,3,0)*0.475*44/12</f>
        <v>1.8400475862181279E-15</v>
      </c>
      <c r="AC131" s="24">
        <f t="shared" si="57"/>
        <v>8.0503103491255867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1.1368683772161603E-13</v>
      </c>
      <c r="AJ131" s="14">
        <f>AI131*VLOOKUP('Données projet'!$B$10,Paramètres!$A$1:$I$89,3,0)*VLOOKUP('Données projet'!$B$10,Paramètres!$A$1:$I$89,5,0)</f>
        <v>5.3205440053716299E-14</v>
      </c>
      <c r="AK131" s="14">
        <f t="shared" si="89"/>
        <v>8.602146238565607E-13</v>
      </c>
      <c r="AL131" s="22">
        <f t="shared" si="58"/>
        <v>1.590873277977066E-12</v>
      </c>
      <c r="AM131" s="62">
        <f t="shared" si="59"/>
        <v>293.33333333333491</v>
      </c>
      <c r="AN131" s="62">
        <f ca="1">AVERAGE(OFFSET($AM$3,0,0,'Données projet'!$E$10+1,1))-AVERAGE(OFFSET($H$3,0,0,'Données projet'!$E$10+1,1))</f>
        <v>259.74478933784656</v>
      </c>
      <c r="AO131" s="62">
        <f t="shared" si="90"/>
        <v>223.74038909289646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80.044039344639373</v>
      </c>
      <c r="T132" s="62">
        <f t="shared" si="88"/>
        <v>373.57883793591537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6.7272796532681323</v>
      </c>
      <c r="AA132" s="23">
        <f>EXP(-LN(2)/25)*AA131+(1-EXP(-LN(2)/25))/(LN(2)/25)*Calculateur!V132*Calculateur!X132*VLOOKUP('Données projet'!$B$9,Paramètres!$A$1:$I$89,3,0)*0.475*44/12</f>
        <v>1.155975384195647</v>
      </c>
      <c r="AB132" s="23">
        <f>EXP(-LN(2)/2)*AB131+(1-EXP(-LN(2)/2))/(LN(2)/2)*V132*Y132*VLOOKUP('Données projet'!$B$9,Paramètres!$A$1:$I$89,3,0)*0.475*44/12</f>
        <v>1.3011101259207767E-15</v>
      </c>
      <c r="AC132" s="24">
        <f t="shared" ref="AC132:AC153" si="111">SUM(Z132:AB132)</f>
        <v>7.8832550374637806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1.1368683772161603E-13</v>
      </c>
      <c r="AJ132" s="14">
        <f>AI132*VLOOKUP('Données projet'!$B$10,Paramètres!$A$1:$I$89,3,0)*VLOOKUP('Données projet'!$B$10,Paramètres!$A$1:$I$89,5,0)</f>
        <v>5.3205440053716299E-14</v>
      </c>
      <c r="AK132" s="14">
        <f t="shared" si="89"/>
        <v>8.602146238565607E-13</v>
      </c>
      <c r="AL132" s="22">
        <f t="shared" ref="AL132:AL153" si="112">(AJ132+AK132)*0.475*44/12</f>
        <v>1.590873277977066E-12</v>
      </c>
      <c r="AM132" s="62">
        <f t="shared" ref="AM132:AM195" si="113">AL132+(AD132+AE132)*44/12</f>
        <v>293.33333333333491</v>
      </c>
      <c r="AN132" s="62">
        <f ca="1">AVERAGE(OFFSET($AM$3,0,0,'Données projet'!$E$10+1,1))-AVERAGE(OFFSET($H$3,0,0,'Données projet'!$E$10+1,1))</f>
        <v>259.74478933784656</v>
      </c>
      <c r="AO132" s="62">
        <f t="shared" si="90"/>
        <v>223.74038909289646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80.044039344639373</v>
      </c>
      <c r="T133" s="62">
        <f t="shared" ref="T133:T196" si="142">$T$3</f>
        <v>373.57883793591537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6.5953618025029721</v>
      </c>
      <c r="AA133" s="23">
        <f>EXP(-LN(2)/25)*AA132+(1-EXP(-LN(2)/25))/(LN(2)/25)*Calculateur!V133*Calculateur!X133*VLOOKUP('Données projet'!$B$9,Paramètres!$A$1:$I$89,3,0)*0.475*44/12</f>
        <v>1.1243651765247136</v>
      </c>
      <c r="AB133" s="23">
        <f>EXP(-LN(2)/2)*AB132+(1-EXP(-LN(2)/2))/(LN(2)/2)*V133*Y133*VLOOKUP('Données projet'!$B$9,Paramètres!$A$1:$I$89,3,0)*0.475*44/12</f>
        <v>9.2002379310906394E-16</v>
      </c>
      <c r="AC133" s="24">
        <f t="shared" si="111"/>
        <v>7.7197269790276861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1.1368683772161603E-13</v>
      </c>
      <c r="AJ133" s="14">
        <f>AI133*VLOOKUP('Données projet'!$B$10,Paramètres!$A$1:$I$89,3,0)*VLOOKUP('Données projet'!$B$10,Paramètres!$A$1:$I$89,5,0)</f>
        <v>5.3205440053716299E-14</v>
      </c>
      <c r="AK133" s="14">
        <f t="shared" ref="AK133:AK153" si="143">EXP(-1.0587+0.8836*LN(AJ133)+0.284)</f>
        <v>8.602146238565607E-13</v>
      </c>
      <c r="AL133" s="22">
        <f t="shared" si="112"/>
        <v>1.590873277977066E-12</v>
      </c>
      <c r="AM133" s="62">
        <f t="shared" si="113"/>
        <v>293.33333333333491</v>
      </c>
      <c r="AN133" s="62">
        <f ca="1">AVERAGE(OFFSET($AM$3,0,0,'Données projet'!$E$10+1,1))-AVERAGE(OFFSET($H$3,0,0,'Données projet'!$E$10+1,1))</f>
        <v>259.74478933784656</v>
      </c>
      <c r="AO133" s="62">
        <f t="shared" ref="AO133:AO196" si="144">$AO$3</f>
        <v>223.74038909289646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80.044039344639373</v>
      </c>
      <c r="T134" s="62">
        <f t="shared" si="142"/>
        <v>373.57883793591537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6.4660307803293726</v>
      </c>
      <c r="AA134" s="23">
        <f>EXP(-LN(2)/25)*AA133+(1-EXP(-LN(2)/25))/(LN(2)/25)*Calculateur!V134*Calculateur!X134*VLOOKUP('Données projet'!$B$9,Paramètres!$A$1:$I$89,3,0)*0.475*44/12</f>
        <v>1.0936193516448505</v>
      </c>
      <c r="AB134" s="23">
        <f>EXP(-LN(2)/2)*AB133+(1-EXP(-LN(2)/2))/(LN(2)/2)*V134*Y134*VLOOKUP('Données projet'!$B$9,Paramètres!$A$1:$I$89,3,0)*0.475*44/12</f>
        <v>6.5055506296038836E-16</v>
      </c>
      <c r="AC134" s="24">
        <f t="shared" si="111"/>
        <v>7.559650131974224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1.1368683772161603E-13</v>
      </c>
      <c r="AJ134" s="14">
        <f>AI134*VLOOKUP('Données projet'!$B$10,Paramètres!$A$1:$I$89,3,0)*VLOOKUP('Données projet'!$B$10,Paramètres!$A$1:$I$89,5,0)</f>
        <v>5.3205440053716299E-14</v>
      </c>
      <c r="AK134" s="14">
        <f t="shared" si="143"/>
        <v>8.602146238565607E-13</v>
      </c>
      <c r="AL134" s="22">
        <f t="shared" si="112"/>
        <v>1.590873277977066E-12</v>
      </c>
      <c r="AM134" s="62">
        <f t="shared" si="113"/>
        <v>293.33333333333491</v>
      </c>
      <c r="AN134" s="62">
        <f ca="1">AVERAGE(OFFSET($AM$3,0,0,'Données projet'!$E$10+1,1))-AVERAGE(OFFSET($H$3,0,0,'Données projet'!$E$10+1,1))</f>
        <v>259.74478933784656</v>
      </c>
      <c r="AO134" s="62">
        <f t="shared" si="144"/>
        <v>223.74038909289646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80.044039344639373</v>
      </c>
      <c r="T135" s="62">
        <f t="shared" si="142"/>
        <v>373.57883793591537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6.3392358606164629</v>
      </c>
      <c r="AA135" s="23">
        <f>EXP(-LN(2)/25)*AA134+(1-EXP(-LN(2)/25))/(LN(2)/25)*Calculateur!V135*Calculateur!X135*VLOOKUP('Données projet'!$B$9,Paramètres!$A$1:$I$89,3,0)*0.475*44/12</f>
        <v>1.0637142729631799</v>
      </c>
      <c r="AB135" s="23">
        <f>EXP(-LN(2)/2)*AB134+(1-EXP(-LN(2)/2))/(LN(2)/2)*V135*Y135*VLOOKUP('Données projet'!$B$9,Paramètres!$A$1:$I$89,3,0)*0.475*44/12</f>
        <v>4.6001189655453197E-16</v>
      </c>
      <c r="AC135" s="24">
        <f t="shared" si="111"/>
        <v>7.4029501335796439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1.1368683772161603E-13</v>
      </c>
      <c r="AJ135" s="14">
        <f>AI135*VLOOKUP('Données projet'!$B$10,Paramètres!$A$1:$I$89,3,0)*VLOOKUP('Données projet'!$B$10,Paramètres!$A$1:$I$89,5,0)</f>
        <v>5.3205440053716299E-14</v>
      </c>
      <c r="AK135" s="14">
        <f t="shared" si="143"/>
        <v>8.602146238565607E-13</v>
      </c>
      <c r="AL135" s="22">
        <f t="shared" si="112"/>
        <v>1.590873277977066E-12</v>
      </c>
      <c r="AM135" s="62">
        <f t="shared" si="113"/>
        <v>293.33333333333491</v>
      </c>
      <c r="AN135" s="62">
        <f ca="1">AVERAGE(OFFSET($AM$3,0,0,'Données projet'!$E$10+1,1))-AVERAGE(OFFSET($H$3,0,0,'Données projet'!$E$10+1,1))</f>
        <v>259.74478933784656</v>
      </c>
      <c r="AO135" s="62">
        <f t="shared" si="144"/>
        <v>223.74038909289646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80.044039344639373</v>
      </c>
      <c r="T136" s="62">
        <f t="shared" si="142"/>
        <v>373.57883793591537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6.2149273119418584</v>
      </c>
      <c r="AA136" s="23">
        <f>EXP(-LN(2)/25)*AA135+(1-EXP(-LN(2)/25))/(LN(2)/25)*Calculateur!V136*Calculateur!X136*VLOOKUP('Données projet'!$B$9,Paramètres!$A$1:$I$89,3,0)*0.475*44/12</f>
        <v>1.0346269502306993</v>
      </c>
      <c r="AB136" s="23">
        <f>EXP(-LN(2)/2)*AB135+(1-EXP(-LN(2)/2))/(LN(2)/2)*V136*Y136*VLOOKUP('Données projet'!$B$9,Paramètres!$A$1:$I$89,3,0)*0.475*44/12</f>
        <v>3.2527753148019418E-16</v>
      </c>
      <c r="AC136" s="24">
        <f t="shared" si="111"/>
        <v>7.2495542621725573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1.1368683772161603E-13</v>
      </c>
      <c r="AJ136" s="14">
        <f>AI136*VLOOKUP('Données projet'!$B$10,Paramètres!$A$1:$I$89,3,0)*VLOOKUP('Données projet'!$B$10,Paramètres!$A$1:$I$89,5,0)</f>
        <v>5.3205440053716299E-14</v>
      </c>
      <c r="AK136" s="14">
        <f t="shared" si="143"/>
        <v>8.602146238565607E-13</v>
      </c>
      <c r="AL136" s="22">
        <f t="shared" si="112"/>
        <v>1.590873277977066E-12</v>
      </c>
      <c r="AM136" s="62">
        <f t="shared" si="113"/>
        <v>293.33333333333491</v>
      </c>
      <c r="AN136" s="62">
        <f ca="1">AVERAGE(OFFSET($AM$3,0,0,'Données projet'!$E$10+1,1))-AVERAGE(OFFSET($H$3,0,0,'Données projet'!$E$10+1,1))</f>
        <v>259.74478933784656</v>
      </c>
      <c r="AO136" s="62">
        <f t="shared" si="144"/>
        <v>223.74038909289646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80.044039344639373</v>
      </c>
      <c r="T137" s="62">
        <f t="shared" si="142"/>
        <v>373.57883793591537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6.0930563780860352</v>
      </c>
      <c r="AA137" s="23">
        <f>EXP(-LN(2)/25)*AA136+(1-EXP(-LN(2)/25))/(LN(2)/25)*Calculateur!V137*Calculateur!X137*VLOOKUP('Données projet'!$B$9,Paramètres!$A$1:$I$89,3,0)*0.475*44/12</f>
        <v>1.0063350218679741</v>
      </c>
      <c r="AB137" s="23">
        <f>EXP(-LN(2)/2)*AB136+(1-EXP(-LN(2)/2))/(LN(2)/2)*V137*Y137*VLOOKUP('Données projet'!$B$9,Paramètres!$A$1:$I$89,3,0)*0.475*44/12</f>
        <v>2.3000594827726599E-16</v>
      </c>
      <c r="AC137" s="24">
        <f t="shared" si="111"/>
        <v>7.0993913999540093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1.1368683772161603E-13</v>
      </c>
      <c r="AJ137" s="14">
        <f>AI137*VLOOKUP('Données projet'!$B$10,Paramètres!$A$1:$I$89,3,0)*VLOOKUP('Données projet'!$B$10,Paramètres!$A$1:$I$89,5,0)</f>
        <v>5.3205440053716299E-14</v>
      </c>
      <c r="AK137" s="14">
        <f t="shared" si="143"/>
        <v>8.602146238565607E-13</v>
      </c>
      <c r="AL137" s="22">
        <f t="shared" si="112"/>
        <v>1.590873277977066E-12</v>
      </c>
      <c r="AM137" s="62">
        <f t="shared" si="113"/>
        <v>293.33333333333491</v>
      </c>
      <c r="AN137" s="62">
        <f ca="1">AVERAGE(OFFSET($AM$3,0,0,'Données projet'!$E$10+1,1))-AVERAGE(OFFSET($H$3,0,0,'Données projet'!$E$10+1,1))</f>
        <v>259.74478933784656</v>
      </c>
      <c r="AO137" s="62">
        <f t="shared" si="144"/>
        <v>223.74038909289646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80.044039344639373</v>
      </c>
      <c r="T138" s="62">
        <f t="shared" si="142"/>
        <v>373.57883793591537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5.9735752589091948</v>
      </c>
      <c r="AA138" s="23">
        <f>EXP(-LN(2)/25)*AA137+(1-EXP(-LN(2)/25))/(LN(2)/25)*Calculateur!V138*Calculateur!X138*VLOOKUP('Données projet'!$B$9,Paramètres!$A$1:$I$89,3,0)*0.475*44/12</f>
        <v>0.97881673777413558</v>
      </c>
      <c r="AB138" s="23">
        <f>EXP(-LN(2)/2)*AB137+(1-EXP(-LN(2)/2))/(LN(2)/2)*V138*Y138*VLOOKUP('Données projet'!$B$9,Paramètres!$A$1:$I$89,3,0)*0.475*44/12</f>
        <v>1.6263876574009709E-16</v>
      </c>
      <c r="AC138" s="24">
        <f t="shared" si="111"/>
        <v>6.9523919966833301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1.1368683772161603E-13</v>
      </c>
      <c r="AJ138" s="14">
        <f>AI138*VLOOKUP('Données projet'!$B$10,Paramètres!$A$1:$I$89,3,0)*VLOOKUP('Données projet'!$B$10,Paramètres!$A$1:$I$89,5,0)</f>
        <v>5.3205440053716299E-14</v>
      </c>
      <c r="AK138" s="14">
        <f t="shared" si="143"/>
        <v>8.602146238565607E-13</v>
      </c>
      <c r="AL138" s="22">
        <f t="shared" si="112"/>
        <v>1.590873277977066E-12</v>
      </c>
      <c r="AM138" s="62">
        <f t="shared" si="113"/>
        <v>293.33333333333491</v>
      </c>
      <c r="AN138" s="62">
        <f ca="1">AVERAGE(OFFSET($AM$3,0,0,'Données projet'!$E$10+1,1))-AVERAGE(OFFSET($H$3,0,0,'Données projet'!$E$10+1,1))</f>
        <v>259.74478933784656</v>
      </c>
      <c r="AO138" s="62">
        <f t="shared" si="144"/>
        <v>223.74038909289646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80.044039344639373</v>
      </c>
      <c r="T139" s="62">
        <f t="shared" si="142"/>
        <v>373.57883793591537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5.8564370916031256</v>
      </c>
      <c r="AA139" s="23">
        <f>EXP(-LN(2)/25)*AA138+(1-EXP(-LN(2)/25))/(LN(2)/25)*Calculateur!V139*Calculateur!X139*VLOOKUP('Données projet'!$B$9,Paramètres!$A$1:$I$89,3,0)*0.475*44/12</f>
        <v>0.95205094260596668</v>
      </c>
      <c r="AB139" s="23">
        <f>EXP(-LN(2)/2)*AB138+(1-EXP(-LN(2)/2))/(LN(2)/2)*V139*Y139*VLOOKUP('Données projet'!$B$9,Paramètres!$A$1:$I$89,3,0)*0.475*44/12</f>
        <v>1.1500297413863299E-16</v>
      </c>
      <c r="AC139" s="24">
        <f t="shared" si="111"/>
        <v>6.8084880342090921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1.1368683772161603E-13</v>
      </c>
      <c r="AJ139" s="14">
        <f>AI139*VLOOKUP('Données projet'!$B$10,Paramètres!$A$1:$I$89,3,0)*VLOOKUP('Données projet'!$B$10,Paramètres!$A$1:$I$89,5,0)</f>
        <v>5.3205440053716299E-14</v>
      </c>
      <c r="AK139" s="14">
        <f t="shared" si="143"/>
        <v>8.602146238565607E-13</v>
      </c>
      <c r="AL139" s="22">
        <f t="shared" si="112"/>
        <v>1.590873277977066E-12</v>
      </c>
      <c r="AM139" s="62">
        <f t="shared" si="113"/>
        <v>293.33333333333491</v>
      </c>
      <c r="AN139" s="62">
        <f ca="1">AVERAGE(OFFSET($AM$3,0,0,'Données projet'!$E$10+1,1))-AVERAGE(OFFSET($H$3,0,0,'Données projet'!$E$10+1,1))</f>
        <v>259.74478933784656</v>
      </c>
      <c r="AO139" s="62">
        <f t="shared" si="144"/>
        <v>223.74038909289646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80.044039344639373</v>
      </c>
      <c r="T140" s="62">
        <f t="shared" si="142"/>
        <v>373.57883793591537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5.7415959323107009</v>
      </c>
      <c r="AA140" s="23">
        <f>EXP(-LN(2)/25)*AA139+(1-EXP(-LN(2)/25))/(LN(2)/25)*Calculateur!V140*Calculateur!X140*VLOOKUP('Données projet'!$B$9,Paramètres!$A$1:$I$89,3,0)*0.475*44/12</f>
        <v>0.92601705951422342</v>
      </c>
      <c r="AB140" s="23">
        <f>EXP(-LN(2)/2)*AB139+(1-EXP(-LN(2)/2))/(LN(2)/2)*V140*Y140*VLOOKUP('Données projet'!$B$9,Paramètres!$A$1:$I$89,3,0)*0.475*44/12</f>
        <v>8.1319382870048545E-17</v>
      </c>
      <c r="AC140" s="24">
        <f t="shared" si="111"/>
        <v>6.6676129918249245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1.1368683772161603E-13</v>
      </c>
      <c r="AJ140" s="14">
        <f>AI140*VLOOKUP('Données projet'!$B$10,Paramètres!$A$1:$I$89,3,0)*VLOOKUP('Données projet'!$B$10,Paramètres!$A$1:$I$89,5,0)</f>
        <v>5.3205440053716299E-14</v>
      </c>
      <c r="AK140" s="14">
        <f t="shared" si="143"/>
        <v>8.602146238565607E-13</v>
      </c>
      <c r="AL140" s="22">
        <f t="shared" si="112"/>
        <v>1.590873277977066E-12</v>
      </c>
      <c r="AM140" s="62">
        <f t="shared" si="113"/>
        <v>293.33333333333491</v>
      </c>
      <c r="AN140" s="62">
        <f ca="1">AVERAGE(OFFSET($AM$3,0,0,'Données projet'!$E$10+1,1))-AVERAGE(OFFSET($H$3,0,0,'Données projet'!$E$10+1,1))</f>
        <v>259.74478933784656</v>
      </c>
      <c r="AO140" s="62">
        <f t="shared" si="144"/>
        <v>223.74038909289646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80.044039344639373</v>
      </c>
      <c r="T141" s="62">
        <f t="shared" si="142"/>
        <v>373.57883793591537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5.6290067381058106</v>
      </c>
      <c r="AA141" s="23">
        <f>EXP(-LN(2)/25)*AA140+(1-EXP(-LN(2)/25))/(LN(2)/25)*Calculateur!V141*Calculateur!X141*VLOOKUP('Données projet'!$B$9,Paramètres!$A$1:$I$89,3,0)*0.475*44/12</f>
        <v>0.90069507432468621</v>
      </c>
      <c r="AB141" s="23">
        <f>EXP(-LN(2)/2)*AB140+(1-EXP(-LN(2)/2))/(LN(2)/2)*V141*Y141*VLOOKUP('Données projet'!$B$9,Paramètres!$A$1:$I$89,3,0)*0.475*44/12</f>
        <v>5.7501487069316496E-17</v>
      </c>
      <c r="AC141" s="24">
        <f t="shared" si="111"/>
        <v>6.5297018124304973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1.1368683772161603E-13</v>
      </c>
      <c r="AJ141" s="14">
        <f>AI141*VLOOKUP('Données projet'!$B$10,Paramètres!$A$1:$I$89,3,0)*VLOOKUP('Données projet'!$B$10,Paramètres!$A$1:$I$89,5,0)</f>
        <v>5.3205440053716299E-14</v>
      </c>
      <c r="AK141" s="14">
        <f t="shared" si="143"/>
        <v>8.602146238565607E-13</v>
      </c>
      <c r="AL141" s="22">
        <f t="shared" si="112"/>
        <v>1.590873277977066E-12</v>
      </c>
      <c r="AM141" s="62">
        <f t="shared" si="113"/>
        <v>293.33333333333491</v>
      </c>
      <c r="AN141" s="62">
        <f ca="1">AVERAGE(OFFSET($AM$3,0,0,'Données projet'!$E$10+1,1))-AVERAGE(OFFSET($H$3,0,0,'Données projet'!$E$10+1,1))</f>
        <v>259.74478933784656</v>
      </c>
      <c r="AO141" s="62">
        <f t="shared" si="144"/>
        <v>223.74038909289646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80.044039344639373</v>
      </c>
      <c r="T142" s="62">
        <f t="shared" si="142"/>
        <v>373.57883793591537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5.5186253493266504</v>
      </c>
      <c r="AA142" s="23">
        <f>EXP(-LN(2)/25)*AA141+(1-EXP(-LN(2)/25))/(LN(2)/25)*Calculateur!V142*Calculateur!X142*VLOOKUP('Données projet'!$B$9,Paramètres!$A$1:$I$89,3,0)*0.475*44/12</f>
        <v>0.8760655201517823</v>
      </c>
      <c r="AB142" s="23">
        <f>EXP(-LN(2)/2)*AB141+(1-EXP(-LN(2)/2))/(LN(2)/2)*V142*Y142*VLOOKUP('Données projet'!$B$9,Paramètres!$A$1:$I$89,3,0)*0.475*44/12</f>
        <v>4.0659691435024273E-17</v>
      </c>
      <c r="AC142" s="24">
        <f t="shared" si="111"/>
        <v>6.394690869478433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1.1368683772161603E-13</v>
      </c>
      <c r="AJ142" s="14">
        <f>AI142*VLOOKUP('Données projet'!$B$10,Paramètres!$A$1:$I$89,3,0)*VLOOKUP('Données projet'!$B$10,Paramètres!$A$1:$I$89,5,0)</f>
        <v>5.3205440053716299E-14</v>
      </c>
      <c r="AK142" s="14">
        <f t="shared" si="143"/>
        <v>8.602146238565607E-13</v>
      </c>
      <c r="AL142" s="22">
        <f t="shared" si="112"/>
        <v>1.590873277977066E-12</v>
      </c>
      <c r="AM142" s="62">
        <f t="shared" si="113"/>
        <v>293.33333333333491</v>
      </c>
      <c r="AN142" s="62">
        <f ca="1">AVERAGE(OFFSET($AM$3,0,0,'Données projet'!$E$10+1,1))-AVERAGE(OFFSET($H$3,0,0,'Données projet'!$E$10+1,1))</f>
        <v>259.74478933784656</v>
      </c>
      <c r="AO142" s="62">
        <f t="shared" si="144"/>
        <v>223.74038909289646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80.044039344639373</v>
      </c>
      <c r="T143" s="62">
        <f t="shared" si="142"/>
        <v>373.57883793591537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5.4104084722554502</v>
      </c>
      <c r="AA143" s="23">
        <f>EXP(-LN(2)/25)*AA142+(1-EXP(-LN(2)/25))/(LN(2)/25)*Calculateur!V143*Calculateur!X143*VLOOKUP('Données projet'!$B$9,Paramètres!$A$1:$I$89,3,0)*0.475*44/12</f>
        <v>0.85210946243294838</v>
      </c>
      <c r="AB143" s="23">
        <f>EXP(-LN(2)/2)*AB142+(1-EXP(-LN(2)/2))/(LN(2)/2)*V143*Y143*VLOOKUP('Données projet'!$B$9,Paramètres!$A$1:$I$89,3,0)*0.475*44/12</f>
        <v>2.8750743534658248E-17</v>
      </c>
      <c r="AC143" s="24">
        <f t="shared" si="111"/>
        <v>6.2625179346883986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1.1368683772161603E-13</v>
      </c>
      <c r="AJ143" s="14">
        <f>AI143*VLOOKUP('Données projet'!$B$10,Paramètres!$A$1:$I$89,3,0)*VLOOKUP('Données projet'!$B$10,Paramètres!$A$1:$I$89,5,0)</f>
        <v>5.3205440053716299E-14</v>
      </c>
      <c r="AK143" s="14">
        <f t="shared" si="143"/>
        <v>8.602146238565607E-13</v>
      </c>
      <c r="AL143" s="22">
        <f t="shared" si="112"/>
        <v>1.590873277977066E-12</v>
      </c>
      <c r="AM143" s="62">
        <f t="shared" si="113"/>
        <v>293.33333333333491</v>
      </c>
      <c r="AN143" s="62">
        <f ca="1">AVERAGE(OFFSET($AM$3,0,0,'Données projet'!$E$10+1,1))-AVERAGE(OFFSET($H$3,0,0,'Données projet'!$E$10+1,1))</f>
        <v>259.74478933784656</v>
      </c>
      <c r="AO143" s="62">
        <f t="shared" si="144"/>
        <v>223.74038909289646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80.044039344639373</v>
      </c>
      <c r="T144" s="62">
        <f t="shared" si="142"/>
        <v>373.57883793591537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5.3043136621378384</v>
      </c>
      <c r="AA144" s="23">
        <f>EXP(-LN(2)/25)*AA143+(1-EXP(-LN(2)/25))/(LN(2)/25)*Calculateur!V144*Calculateur!X144*VLOOKUP('Données projet'!$B$9,Paramètres!$A$1:$I$89,3,0)*0.475*44/12</f>
        <v>0.82880848437223031</v>
      </c>
      <c r="AB144" s="23">
        <f>EXP(-LN(2)/2)*AB143+(1-EXP(-LN(2)/2))/(LN(2)/2)*V144*Y144*VLOOKUP('Données projet'!$B$9,Paramètres!$A$1:$I$89,3,0)*0.475*44/12</f>
        <v>2.0329845717512136E-17</v>
      </c>
      <c r="AC144" s="24">
        <f t="shared" si="111"/>
        <v>6.1331221465100683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1.1368683772161603E-13</v>
      </c>
      <c r="AJ144" s="14">
        <f>AI144*VLOOKUP('Données projet'!$B$10,Paramètres!$A$1:$I$89,3,0)*VLOOKUP('Données projet'!$B$10,Paramètres!$A$1:$I$89,5,0)</f>
        <v>5.3205440053716299E-14</v>
      </c>
      <c r="AK144" s="14">
        <f t="shared" si="143"/>
        <v>8.602146238565607E-13</v>
      </c>
      <c r="AL144" s="22">
        <f t="shared" si="112"/>
        <v>1.590873277977066E-12</v>
      </c>
      <c r="AM144" s="62">
        <f t="shared" si="113"/>
        <v>293.33333333333491</v>
      </c>
      <c r="AN144" s="62">
        <f ca="1">AVERAGE(OFFSET($AM$3,0,0,'Données projet'!$E$10+1,1))-AVERAGE(OFFSET($H$3,0,0,'Données projet'!$E$10+1,1))</f>
        <v>259.74478933784656</v>
      </c>
      <c r="AO144" s="62">
        <f t="shared" si="144"/>
        <v>223.74038909289646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80.044039344639373</v>
      </c>
      <c r="T145" s="62">
        <f t="shared" si="142"/>
        <v>373.57883793591537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5.2002993065351886</v>
      </c>
      <c r="AA145" s="23">
        <f>EXP(-LN(2)/25)*AA144+(1-EXP(-LN(2)/25))/(LN(2)/25)*Calculateur!V145*Calculateur!X145*VLOOKUP('Données projet'!$B$9,Paramètres!$A$1:$I$89,3,0)*0.475*44/12</f>
        <v>0.8061446727819277</v>
      </c>
      <c r="AB145" s="23">
        <f>EXP(-LN(2)/2)*AB144+(1-EXP(-LN(2)/2))/(LN(2)/2)*V145*Y145*VLOOKUP('Données projet'!$B$9,Paramètres!$A$1:$I$89,3,0)*0.475*44/12</f>
        <v>1.4375371767329124E-17</v>
      </c>
      <c r="AC145" s="24">
        <f t="shared" si="111"/>
        <v>6.0064439793171163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1.1368683772161603E-13</v>
      </c>
      <c r="AJ145" s="14">
        <f>AI145*VLOOKUP('Données projet'!$B$10,Paramètres!$A$1:$I$89,3,0)*VLOOKUP('Données projet'!$B$10,Paramètres!$A$1:$I$89,5,0)</f>
        <v>5.3205440053716299E-14</v>
      </c>
      <c r="AK145" s="14">
        <f t="shared" si="143"/>
        <v>8.602146238565607E-13</v>
      </c>
      <c r="AL145" s="22">
        <f t="shared" si="112"/>
        <v>1.590873277977066E-12</v>
      </c>
      <c r="AM145" s="62">
        <f t="shared" si="113"/>
        <v>293.33333333333491</v>
      </c>
      <c r="AN145" s="62">
        <f ca="1">AVERAGE(OFFSET($AM$3,0,0,'Données projet'!$E$10+1,1))-AVERAGE(OFFSET($H$3,0,0,'Données projet'!$E$10+1,1))</f>
        <v>259.74478933784656</v>
      </c>
      <c r="AO145" s="62">
        <f t="shared" si="144"/>
        <v>223.74038909289646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80.044039344639373</v>
      </c>
      <c r="T146" s="62">
        <f t="shared" si="142"/>
        <v>373.57883793591537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5.0983246090034147</v>
      </c>
      <c r="AA146" s="23">
        <f>EXP(-LN(2)/25)*AA145+(1-EXP(-LN(2)/25))/(LN(2)/25)*Calculateur!V146*Calculateur!X146*VLOOKUP('Données projet'!$B$9,Paramètres!$A$1:$I$89,3,0)*0.475*44/12</f>
        <v>0.78410060431140005</v>
      </c>
      <c r="AB146" s="23">
        <f>EXP(-LN(2)/2)*AB145+(1-EXP(-LN(2)/2))/(LN(2)/2)*V146*Y146*VLOOKUP('Données projet'!$B$9,Paramètres!$A$1:$I$89,3,0)*0.475*44/12</f>
        <v>1.0164922858756068E-17</v>
      </c>
      <c r="AC146" s="24">
        <f t="shared" si="111"/>
        <v>5.8824252133148143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1.1368683772161603E-13</v>
      </c>
      <c r="AJ146" s="14">
        <f>AI146*VLOOKUP('Données projet'!$B$10,Paramètres!$A$1:$I$89,3,0)*VLOOKUP('Données projet'!$B$10,Paramètres!$A$1:$I$89,5,0)</f>
        <v>5.3205440053716299E-14</v>
      </c>
      <c r="AK146" s="14">
        <f t="shared" si="143"/>
        <v>8.602146238565607E-13</v>
      </c>
      <c r="AL146" s="22">
        <f t="shared" si="112"/>
        <v>1.590873277977066E-12</v>
      </c>
      <c r="AM146" s="62">
        <f t="shared" si="113"/>
        <v>293.33333333333491</v>
      </c>
      <c r="AN146" s="62">
        <f ca="1">AVERAGE(OFFSET($AM$3,0,0,'Données projet'!$E$10+1,1))-AVERAGE(OFFSET($H$3,0,0,'Données projet'!$E$10+1,1))</f>
        <v>259.74478933784656</v>
      </c>
      <c r="AO146" s="62">
        <f t="shared" si="144"/>
        <v>223.74038909289646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80.044039344639373</v>
      </c>
      <c r="T147" s="62">
        <f t="shared" si="142"/>
        <v>373.57883793591537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4.998349573091815</v>
      </c>
      <c r="AA147" s="23">
        <f>EXP(-LN(2)/25)*AA146+(1-EXP(-LN(2)/25))/(LN(2)/25)*Calculateur!V147*Calculateur!X147*VLOOKUP('Données projet'!$B$9,Paramètres!$A$1:$I$89,3,0)*0.475*44/12</f>
        <v>0.76265933205244607</v>
      </c>
      <c r="AB147" s="23">
        <f>EXP(-LN(2)/2)*AB146+(1-EXP(-LN(2)/2))/(LN(2)/2)*V147*Y147*VLOOKUP('Données projet'!$B$9,Paramètres!$A$1:$I$89,3,0)*0.475*44/12</f>
        <v>7.187685883664562E-18</v>
      </c>
      <c r="AC147" s="24">
        <f t="shared" si="111"/>
        <v>5.7610089051442612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1.1368683772161603E-13</v>
      </c>
      <c r="AJ147" s="14">
        <f>AI147*VLOOKUP('Données projet'!$B$10,Paramètres!$A$1:$I$89,3,0)*VLOOKUP('Données projet'!$B$10,Paramètres!$A$1:$I$89,5,0)</f>
        <v>5.3205440053716299E-14</v>
      </c>
      <c r="AK147" s="14">
        <f t="shared" si="143"/>
        <v>8.602146238565607E-13</v>
      </c>
      <c r="AL147" s="22">
        <f t="shared" si="112"/>
        <v>1.590873277977066E-12</v>
      </c>
      <c r="AM147" s="62">
        <f t="shared" si="113"/>
        <v>293.33333333333491</v>
      </c>
      <c r="AN147" s="62">
        <f ca="1">AVERAGE(OFFSET($AM$3,0,0,'Données projet'!$E$10+1,1))-AVERAGE(OFFSET($H$3,0,0,'Données projet'!$E$10+1,1))</f>
        <v>259.74478933784656</v>
      </c>
      <c r="AO147" s="62">
        <f t="shared" si="144"/>
        <v>223.74038909289646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80.044039344639373</v>
      </c>
      <c r="T148" s="62">
        <f t="shared" si="142"/>
        <v>373.57883793591537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4.9003349866556905</v>
      </c>
      <c r="AA148" s="23">
        <f>EXP(-LN(2)/25)*AA147+(1-EXP(-LN(2)/25))/(LN(2)/25)*Calculateur!V148*Calculateur!X148*VLOOKUP('Données projet'!$B$9,Paramètres!$A$1:$I$89,3,0)*0.475*44/12</f>
        <v>0.74180437251096076</v>
      </c>
      <c r="AB148" s="23">
        <f>EXP(-LN(2)/2)*AB147+(1-EXP(-LN(2)/2))/(LN(2)/2)*V148*Y148*VLOOKUP('Données projet'!$B$9,Paramètres!$A$1:$I$89,3,0)*0.475*44/12</f>
        <v>5.0824614293780341E-18</v>
      </c>
      <c r="AC148" s="24">
        <f t="shared" si="111"/>
        <v>5.6421393591666513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1.1368683772161603E-13</v>
      </c>
      <c r="AJ148" s="14">
        <f>AI148*VLOOKUP('Données projet'!$B$10,Paramètres!$A$1:$I$89,3,0)*VLOOKUP('Données projet'!$B$10,Paramètres!$A$1:$I$89,5,0)</f>
        <v>5.3205440053716299E-14</v>
      </c>
      <c r="AK148" s="14">
        <f t="shared" si="143"/>
        <v>8.602146238565607E-13</v>
      </c>
      <c r="AL148" s="22">
        <f t="shared" si="112"/>
        <v>1.590873277977066E-12</v>
      </c>
      <c r="AM148" s="62">
        <f t="shared" si="113"/>
        <v>293.33333333333491</v>
      </c>
      <c r="AN148" s="62">
        <f ca="1">AVERAGE(OFFSET($AM$3,0,0,'Données projet'!$E$10+1,1))-AVERAGE(OFFSET($H$3,0,0,'Données projet'!$E$10+1,1))</f>
        <v>259.74478933784656</v>
      </c>
      <c r="AO148" s="62">
        <f t="shared" si="144"/>
        <v>223.74038909289646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80.044039344639373</v>
      </c>
      <c r="T149" s="62">
        <f t="shared" si="142"/>
        <v>373.57883793591537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4.8042424064765843</v>
      </c>
      <c r="AA149" s="23">
        <f>EXP(-LN(2)/25)*AA148+(1-EXP(-LN(2)/25))/(LN(2)/25)*Calculateur!V149*Calculateur!X149*VLOOKUP('Données projet'!$B$9,Paramètres!$A$1:$I$89,3,0)*0.475*44/12</f>
        <v>0.72151969293485196</v>
      </c>
      <c r="AB149" s="23">
        <f>EXP(-LN(2)/2)*AB148+(1-EXP(-LN(2)/2))/(LN(2)/2)*V149*Y149*VLOOKUP('Données projet'!$B$9,Paramètres!$A$1:$I$89,3,0)*0.475*44/12</f>
        <v>3.593842941832281E-18</v>
      </c>
      <c r="AC149" s="24">
        <f t="shared" si="111"/>
        <v>5.5257620994114358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1.1368683772161603E-13</v>
      </c>
      <c r="AJ149" s="14">
        <f>AI149*VLOOKUP('Données projet'!$B$10,Paramètres!$A$1:$I$89,3,0)*VLOOKUP('Données projet'!$B$10,Paramètres!$A$1:$I$89,5,0)</f>
        <v>5.3205440053716299E-14</v>
      </c>
      <c r="AK149" s="14">
        <f t="shared" si="143"/>
        <v>8.602146238565607E-13</v>
      </c>
      <c r="AL149" s="22">
        <f t="shared" si="112"/>
        <v>1.590873277977066E-12</v>
      </c>
      <c r="AM149" s="62">
        <f t="shared" si="113"/>
        <v>293.33333333333491</v>
      </c>
      <c r="AN149" s="62">
        <f ca="1">AVERAGE(OFFSET($AM$3,0,0,'Données projet'!$E$10+1,1))-AVERAGE(OFFSET($H$3,0,0,'Données projet'!$E$10+1,1))</f>
        <v>259.74478933784656</v>
      </c>
      <c r="AO149" s="62">
        <f t="shared" si="144"/>
        <v>223.74038909289646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80.044039344639373</v>
      </c>
      <c r="T150" s="62">
        <f t="shared" si="142"/>
        <v>373.57883793591537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4.7100341431841031</v>
      </c>
      <c r="AA150" s="23">
        <f>EXP(-LN(2)/25)*AA149+(1-EXP(-LN(2)/25))/(LN(2)/25)*Calculateur!V150*Calculateur!X150*VLOOKUP('Données projet'!$B$9,Paramètres!$A$1:$I$89,3,0)*0.475*44/12</f>
        <v>0.70178969898847687</v>
      </c>
      <c r="AB150" s="23">
        <f>EXP(-LN(2)/2)*AB149+(1-EXP(-LN(2)/2))/(LN(2)/2)*V150*Y150*VLOOKUP('Données projet'!$B$9,Paramètres!$A$1:$I$89,3,0)*0.475*44/12</f>
        <v>2.541230714689017E-18</v>
      </c>
      <c r="AC150" s="24">
        <f t="shared" si="111"/>
        <v>5.4118238421725797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1.1368683772161603E-13</v>
      </c>
      <c r="AJ150" s="14">
        <f>AI150*VLOOKUP('Données projet'!$B$10,Paramètres!$A$1:$I$89,3,0)*VLOOKUP('Données projet'!$B$10,Paramètres!$A$1:$I$89,5,0)</f>
        <v>5.3205440053716299E-14</v>
      </c>
      <c r="AK150" s="14">
        <f t="shared" si="143"/>
        <v>8.602146238565607E-13</v>
      </c>
      <c r="AL150" s="22">
        <f t="shared" si="112"/>
        <v>1.590873277977066E-12</v>
      </c>
      <c r="AM150" s="62">
        <f t="shared" si="113"/>
        <v>293.33333333333491</v>
      </c>
      <c r="AN150" s="62">
        <f ca="1">AVERAGE(OFFSET($AM$3,0,0,'Données projet'!$E$10+1,1))-AVERAGE(OFFSET($H$3,0,0,'Données projet'!$E$10+1,1))</f>
        <v>259.74478933784656</v>
      </c>
      <c r="AO150" s="62">
        <f t="shared" si="144"/>
        <v>223.74038909289646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80.044039344639373</v>
      </c>
      <c r="T151" s="62">
        <f t="shared" si="142"/>
        <v>373.57883793591537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4.6176732464734211</v>
      </c>
      <c r="AA151" s="23">
        <f>EXP(-LN(2)/25)*AA150+(1-EXP(-LN(2)/25))/(LN(2)/25)*Calculateur!V151*Calculateur!X151*VLOOKUP('Données projet'!$B$9,Paramètres!$A$1:$I$89,3,0)*0.475*44/12</f>
        <v>0.68259922276412066</v>
      </c>
      <c r="AB151" s="23">
        <f>EXP(-LN(2)/2)*AB150+(1-EXP(-LN(2)/2))/(LN(2)/2)*V151*Y151*VLOOKUP('Données projet'!$B$9,Paramètres!$A$1:$I$89,3,0)*0.475*44/12</f>
        <v>1.7969214709161405E-18</v>
      </c>
      <c r="AC151" s="24">
        <f t="shared" si="111"/>
        <v>5.3002724692375418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1.1368683772161603E-13</v>
      </c>
      <c r="AJ151" s="14">
        <f>AI151*VLOOKUP('Données projet'!$B$10,Paramètres!$A$1:$I$89,3,0)*VLOOKUP('Données projet'!$B$10,Paramètres!$A$1:$I$89,5,0)</f>
        <v>5.3205440053716299E-14</v>
      </c>
      <c r="AK151" s="14">
        <f t="shared" si="143"/>
        <v>8.602146238565607E-13</v>
      </c>
      <c r="AL151" s="22">
        <f t="shared" si="112"/>
        <v>1.590873277977066E-12</v>
      </c>
      <c r="AM151" s="62">
        <f t="shared" si="113"/>
        <v>293.33333333333491</v>
      </c>
      <c r="AN151" s="62">
        <f ca="1">AVERAGE(OFFSET($AM$3,0,0,'Données projet'!$E$10+1,1))-AVERAGE(OFFSET($H$3,0,0,'Données projet'!$E$10+1,1))</f>
        <v>259.74478933784656</v>
      </c>
      <c r="AO151" s="62">
        <f t="shared" si="144"/>
        <v>223.74038909289646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80.044039344639373</v>
      </c>
      <c r="T152" s="62">
        <f t="shared" si="142"/>
        <v>373.57883793591537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4.5271234906126514</v>
      </c>
      <c r="AA152" s="23">
        <f>EXP(-LN(2)/25)*AA151+(1-EXP(-LN(2)/25))/(LN(2)/25)*Calculateur!V152*Calculateur!X152*VLOOKUP('Données projet'!$B$9,Paramètres!$A$1:$I$89,3,0)*0.475*44/12</f>
        <v>0.66393351112130272</v>
      </c>
      <c r="AB152" s="23">
        <f>EXP(-LN(2)/2)*AB151+(1-EXP(-LN(2)/2))/(LN(2)/2)*V152*Y152*VLOOKUP('Données projet'!$B$9,Paramètres!$A$1:$I$89,3,0)*0.475*44/12</f>
        <v>1.2706153573445085E-18</v>
      </c>
      <c r="AC152" s="24">
        <f t="shared" si="111"/>
        <v>5.1910570017339541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1.1368683772161603E-13</v>
      </c>
      <c r="AJ152" s="14">
        <f>AI152*VLOOKUP('Données projet'!$B$10,Paramètres!$A$1:$I$89,3,0)*VLOOKUP('Données projet'!$B$10,Paramètres!$A$1:$I$89,5,0)</f>
        <v>5.3205440053716299E-14</v>
      </c>
      <c r="AK152" s="14">
        <f t="shared" si="143"/>
        <v>8.602146238565607E-13</v>
      </c>
      <c r="AL152" s="22">
        <f t="shared" si="112"/>
        <v>1.590873277977066E-12</v>
      </c>
      <c r="AM152" s="62">
        <f t="shared" si="113"/>
        <v>293.33333333333491</v>
      </c>
      <c r="AN152" s="62">
        <f ca="1">AVERAGE(OFFSET($AM$3,0,0,'Données projet'!$E$10+1,1))-AVERAGE(OFFSET($H$3,0,0,'Données projet'!$E$10+1,1))</f>
        <v>259.74478933784656</v>
      </c>
      <c r="AO152" s="62">
        <f t="shared" si="144"/>
        <v>223.74038909289646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80.044039344639373</v>
      </c>
      <c r="T153" s="62">
        <f t="shared" si="142"/>
        <v>373.57883793591537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4.4383493602344135</v>
      </c>
      <c r="AA153" s="23">
        <f>EXP(-LN(2)/25)*AA152+(1-EXP(-LN(2)/25))/(LN(2)/25)*Calculateur!V153*Calculateur!X153*VLOOKUP('Données projet'!$B$9,Paramètres!$A$1:$I$89,3,0)*0.475*44/12</f>
        <v>0.64577821434494476</v>
      </c>
      <c r="AB153" s="23">
        <f>EXP(-LN(2)/2)*AB152+(1-EXP(-LN(2)/2))/(LN(2)/2)*V153*Y153*VLOOKUP('Données projet'!$B$9,Paramètres!$A$1:$I$89,3,0)*0.475*44/12</f>
        <v>8.9846073545807025E-19</v>
      </c>
      <c r="AC153" s="24">
        <f t="shared" si="111"/>
        <v>5.0841275745793579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1.1368683772161603E-13</v>
      </c>
      <c r="AJ153" s="14">
        <f>AI153*VLOOKUP('Données projet'!$B$10,Paramètres!$A$1:$I$89,3,0)*VLOOKUP('Données projet'!$B$10,Paramètres!$A$1:$I$89,5,0)</f>
        <v>5.3205440053716299E-14</v>
      </c>
      <c r="AK153" s="14">
        <f t="shared" si="143"/>
        <v>8.602146238565607E-13</v>
      </c>
      <c r="AL153" s="22">
        <f t="shared" si="112"/>
        <v>1.590873277977066E-12</v>
      </c>
      <c r="AM153" s="62">
        <f t="shared" si="113"/>
        <v>293.33333333333491</v>
      </c>
      <c r="AN153" s="62">
        <f ca="1">AVERAGE(OFFSET($AM$3,0,0,'Données projet'!$E$10+1,1))-AVERAGE(OFFSET($H$3,0,0,'Données projet'!$E$10+1,1))</f>
        <v>259.74478933784656</v>
      </c>
      <c r="AO153" s="62">
        <f t="shared" si="144"/>
        <v>223.74038909289646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80.044039344639373</v>
      </c>
      <c r="T154" s="62">
        <f t="shared" si="142"/>
        <v>373.57883793591537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4.3513160364060202</v>
      </c>
      <c r="AA154" s="23">
        <f>EXP(-LN(2)/25)*AA153+(1-EXP(-LN(2)/25))/(LN(2)/25)*Calculateur!V154*Calculateur!X154*VLOOKUP('Données projet'!$B$9,Paramètres!$A$1:$I$89,3,0)*0.475*44/12</f>
        <v>0.62811937511368188</v>
      </c>
      <c r="AB154" s="23">
        <f>EXP(-LN(2)/2)*AB153+(1-EXP(-LN(2)/2))/(LN(2)/2)*V154*Y154*VLOOKUP('Données projet'!$B$9,Paramètres!$A$1:$I$89,3,0)*0.475*44/12</f>
        <v>6.3530767867225426E-19</v>
      </c>
      <c r="AC154" s="24">
        <f t="shared" ref="AC154:AC203" si="163">SUM(Z154:AB154)</f>
        <v>4.9794354115197024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1.1368683772161603E-13</v>
      </c>
      <c r="AJ154" s="14">
        <f>AI154*VLOOKUP('Données projet'!$B$10,Paramètres!$A$1:$I$89,3,0)*VLOOKUP('Données projet'!$B$10,Paramètres!$A$1:$I$89,5,0)</f>
        <v>5.3205440053716299E-14</v>
      </c>
      <c r="AK154" s="14">
        <f t="shared" ref="AK154:AK203" si="164">EXP(-1.0587+0.8836*LN(AJ154)+0.284)</f>
        <v>8.602146238565607E-13</v>
      </c>
      <c r="AL154" s="22">
        <f t="shared" ref="AL154:AL203" si="165">(AJ154+AK154)*0.475*44/12</f>
        <v>1.590873277977066E-12</v>
      </c>
      <c r="AM154" s="62">
        <f t="shared" si="113"/>
        <v>293.33333333333491</v>
      </c>
      <c r="AN154" s="62">
        <f ca="1">AVERAGE(OFFSET($AM$3,0,0,'Données projet'!$E$10+1,1))-AVERAGE(OFFSET($H$3,0,0,'Données projet'!$E$10+1,1))</f>
        <v>259.74478933784656</v>
      </c>
      <c r="AO154" s="62">
        <f t="shared" si="144"/>
        <v>223.74038909289646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80.044039344639373</v>
      </c>
      <c r="T155" s="62">
        <f t="shared" si="142"/>
        <v>373.57883793591537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4.2659893829728155</v>
      </c>
      <c r="AA155" s="23">
        <f>EXP(-LN(2)/25)*AA154+(1-EXP(-LN(2)/25))/(LN(2)/25)*Calculateur!V155*Calculateur!X155*VLOOKUP('Données projet'!$B$9,Paramètres!$A$1:$I$89,3,0)*0.475*44/12</f>
        <v>0.61094341776983585</v>
      </c>
      <c r="AB155" s="23">
        <f>EXP(-LN(2)/2)*AB154+(1-EXP(-LN(2)/2))/(LN(2)/2)*V155*Y155*VLOOKUP('Données projet'!$B$9,Paramètres!$A$1:$I$89,3,0)*0.475*44/12</f>
        <v>4.4923036772903513E-19</v>
      </c>
      <c r="AC155" s="24">
        <f t="shared" si="163"/>
        <v>4.8769328007426509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1.1368683772161603E-13</v>
      </c>
      <c r="AJ155" s="14">
        <f>AI155*VLOOKUP('Données projet'!$B$10,Paramètres!$A$1:$I$89,3,0)*VLOOKUP('Données projet'!$B$10,Paramètres!$A$1:$I$89,5,0)</f>
        <v>5.3205440053716299E-14</v>
      </c>
      <c r="AK155" s="14">
        <f t="shared" si="164"/>
        <v>8.602146238565607E-13</v>
      </c>
      <c r="AL155" s="22">
        <f t="shared" si="165"/>
        <v>1.590873277977066E-12</v>
      </c>
      <c r="AM155" s="62">
        <f t="shared" si="113"/>
        <v>293.33333333333491</v>
      </c>
      <c r="AN155" s="62">
        <f ca="1">AVERAGE(OFFSET($AM$3,0,0,'Données projet'!$E$10+1,1))-AVERAGE(OFFSET($H$3,0,0,'Données projet'!$E$10+1,1))</f>
        <v>259.74478933784656</v>
      </c>
      <c r="AO155" s="62">
        <f t="shared" si="144"/>
        <v>223.74038909289646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80.044039344639373</v>
      </c>
      <c r="T156" s="62">
        <f t="shared" si="142"/>
        <v>373.57883793591537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4.1823359331693162</v>
      </c>
      <c r="AA156" s="23">
        <f>EXP(-LN(2)/25)*AA155+(1-EXP(-LN(2)/25))/(LN(2)/25)*Calculateur!V156*Calculateur!X156*VLOOKUP('Données projet'!$B$9,Paramètres!$A$1:$I$89,3,0)*0.475*44/12</f>
        <v>0.59423713788280164</v>
      </c>
      <c r="AB156" s="23">
        <f>EXP(-LN(2)/2)*AB155+(1-EXP(-LN(2)/2))/(LN(2)/2)*V156*Y156*VLOOKUP('Données projet'!$B$9,Paramètres!$A$1:$I$89,3,0)*0.475*44/12</f>
        <v>3.1765383933612713E-19</v>
      </c>
      <c r="AC156" s="24">
        <f t="shared" si="163"/>
        <v>4.7765730710521179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1.1368683772161603E-13</v>
      </c>
      <c r="AJ156" s="14">
        <f>AI156*VLOOKUP('Données projet'!$B$10,Paramètres!$A$1:$I$89,3,0)*VLOOKUP('Données projet'!$B$10,Paramètres!$A$1:$I$89,5,0)</f>
        <v>5.3205440053716299E-14</v>
      </c>
      <c r="AK156" s="14">
        <f t="shared" si="164"/>
        <v>8.602146238565607E-13</v>
      </c>
      <c r="AL156" s="22">
        <f t="shared" si="165"/>
        <v>1.590873277977066E-12</v>
      </c>
      <c r="AM156" s="62">
        <f t="shared" si="113"/>
        <v>293.33333333333491</v>
      </c>
      <c r="AN156" s="62">
        <f ca="1">AVERAGE(OFFSET($AM$3,0,0,'Données projet'!$E$10+1,1))-AVERAGE(OFFSET($H$3,0,0,'Données projet'!$E$10+1,1))</f>
        <v>259.74478933784656</v>
      </c>
      <c r="AO156" s="62">
        <f t="shared" si="144"/>
        <v>223.74038909289646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80.044039344639373</v>
      </c>
      <c r="T157" s="62">
        <f t="shared" si="142"/>
        <v>373.57883793591537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4.1003228764928972</v>
      </c>
      <c r="AA157" s="23">
        <f>EXP(-LN(2)/25)*AA156+(1-EXP(-LN(2)/25))/(LN(2)/25)*Calculateur!V157*Calculateur!X157*VLOOKUP('Données projet'!$B$9,Paramètres!$A$1:$I$89,3,0)*0.475*44/12</f>
        <v>0.57798769209782352</v>
      </c>
      <c r="AB157" s="23">
        <f>EXP(-LN(2)/2)*AB156+(1-EXP(-LN(2)/2))/(LN(2)/2)*V157*Y157*VLOOKUP('Données projet'!$B$9,Paramètres!$A$1:$I$89,3,0)*0.475*44/12</f>
        <v>2.2461518386451756E-19</v>
      </c>
      <c r="AC157" s="24">
        <f t="shared" si="163"/>
        <v>4.6783105685907209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1.1368683772161603E-13</v>
      </c>
      <c r="AJ157" s="14">
        <f>AI157*VLOOKUP('Données projet'!$B$10,Paramètres!$A$1:$I$89,3,0)*VLOOKUP('Données projet'!$B$10,Paramètres!$A$1:$I$89,5,0)</f>
        <v>5.3205440053716299E-14</v>
      </c>
      <c r="AK157" s="14">
        <f t="shared" si="164"/>
        <v>8.602146238565607E-13</v>
      </c>
      <c r="AL157" s="22">
        <f t="shared" si="165"/>
        <v>1.590873277977066E-12</v>
      </c>
      <c r="AM157" s="62">
        <f t="shared" si="113"/>
        <v>293.33333333333491</v>
      </c>
      <c r="AN157" s="62">
        <f ca="1">AVERAGE(OFFSET($AM$3,0,0,'Données projet'!$E$10+1,1))-AVERAGE(OFFSET($H$3,0,0,'Données projet'!$E$10+1,1))</f>
        <v>259.74478933784656</v>
      </c>
      <c r="AO157" s="62">
        <f t="shared" si="144"/>
        <v>223.74038909289646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80.044039344639373</v>
      </c>
      <c r="T158" s="62">
        <f t="shared" si="142"/>
        <v>373.57883793591537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4.0199180458348778</v>
      </c>
      <c r="AA158" s="23">
        <f>EXP(-LN(2)/25)*AA157+(1-EXP(-LN(2)/25))/(LN(2)/25)*Calculateur!V158*Calculateur!X158*VLOOKUP('Données projet'!$B$9,Paramètres!$A$1:$I$89,3,0)*0.475*44/12</f>
        <v>0.56218258826235679</v>
      </c>
      <c r="AB158" s="23">
        <f>EXP(-LN(2)/2)*AB157+(1-EXP(-LN(2)/2))/(LN(2)/2)*V158*Y158*VLOOKUP('Données projet'!$B$9,Paramètres!$A$1:$I$89,3,0)*0.475*44/12</f>
        <v>1.5882691966806356E-19</v>
      </c>
      <c r="AC158" s="24">
        <f t="shared" si="163"/>
        <v>4.5821006340972348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1.1368683772161603E-13</v>
      </c>
      <c r="AJ158" s="14">
        <f>AI158*VLOOKUP('Données projet'!$B$10,Paramètres!$A$1:$I$89,3,0)*VLOOKUP('Données projet'!$B$10,Paramètres!$A$1:$I$89,5,0)</f>
        <v>5.3205440053716299E-14</v>
      </c>
      <c r="AK158" s="14">
        <f t="shared" si="164"/>
        <v>8.602146238565607E-13</v>
      </c>
      <c r="AL158" s="22">
        <f t="shared" si="165"/>
        <v>1.590873277977066E-12</v>
      </c>
      <c r="AM158" s="62">
        <f t="shared" si="113"/>
        <v>293.33333333333491</v>
      </c>
      <c r="AN158" s="62">
        <f ca="1">AVERAGE(OFFSET($AM$3,0,0,'Données projet'!$E$10+1,1))-AVERAGE(OFFSET($H$3,0,0,'Données projet'!$E$10+1,1))</f>
        <v>259.74478933784656</v>
      </c>
      <c r="AO158" s="62">
        <f t="shared" si="144"/>
        <v>223.74038909289646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80.044039344639373</v>
      </c>
      <c r="T159" s="62">
        <f t="shared" si="142"/>
        <v>373.57883793591537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3.9410899048639578</v>
      </c>
      <c r="AA159" s="23">
        <f>EXP(-LN(2)/25)*AA158+(1-EXP(-LN(2)/25))/(LN(2)/25)*Calculateur!V159*Calculateur!X159*VLOOKUP('Données projet'!$B$9,Paramètres!$A$1:$I$89,3,0)*0.475*44/12</f>
        <v>0.54680967582242523</v>
      </c>
      <c r="AB159" s="23">
        <f>EXP(-LN(2)/2)*AB158+(1-EXP(-LN(2)/2))/(LN(2)/2)*V159*Y159*VLOOKUP('Données projet'!$B$9,Paramètres!$A$1:$I$89,3,0)*0.475*44/12</f>
        <v>1.1230759193225878E-19</v>
      </c>
      <c r="AC159" s="24">
        <f t="shared" si="163"/>
        <v>4.4878995806863831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1.1368683772161603E-13</v>
      </c>
      <c r="AJ159" s="14">
        <f>AI159*VLOOKUP('Données projet'!$B$10,Paramètres!$A$1:$I$89,3,0)*VLOOKUP('Données projet'!$B$10,Paramètres!$A$1:$I$89,5,0)</f>
        <v>5.3205440053716299E-14</v>
      </c>
      <c r="AK159" s="14">
        <f t="shared" si="164"/>
        <v>8.602146238565607E-13</v>
      </c>
      <c r="AL159" s="22">
        <f t="shared" si="165"/>
        <v>1.590873277977066E-12</v>
      </c>
      <c r="AM159" s="62">
        <f t="shared" si="113"/>
        <v>293.33333333333491</v>
      </c>
      <c r="AN159" s="62">
        <f ca="1">AVERAGE(OFFSET($AM$3,0,0,'Données projet'!$E$10+1,1))-AVERAGE(OFFSET($H$3,0,0,'Données projet'!$E$10+1,1))</f>
        <v>259.74478933784656</v>
      </c>
      <c r="AO159" s="62">
        <f t="shared" si="144"/>
        <v>223.74038909289646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80.044039344639373</v>
      </c>
      <c r="T160" s="62">
        <f t="shared" si="142"/>
        <v>373.57883793591537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3.8638075356570591</v>
      </c>
      <c r="AA160" s="23">
        <f>EXP(-LN(2)/25)*AA159+(1-EXP(-LN(2)/25))/(LN(2)/25)*Calculateur!V160*Calculateur!X160*VLOOKUP('Données projet'!$B$9,Paramètres!$A$1:$I$89,3,0)*0.475*44/12</f>
        <v>0.53185713648158994</v>
      </c>
      <c r="AB160" s="23">
        <f>EXP(-LN(2)/2)*AB159+(1-EXP(-LN(2)/2))/(LN(2)/2)*V160*Y160*VLOOKUP('Données projet'!$B$9,Paramètres!$A$1:$I$89,3,0)*0.475*44/12</f>
        <v>7.9413459834031782E-20</v>
      </c>
      <c r="AC160" s="24">
        <f t="shared" si="163"/>
        <v>4.3956646721386488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1.1368683772161603E-13</v>
      </c>
      <c r="AJ160" s="14">
        <f>AI160*VLOOKUP('Données projet'!$B$10,Paramètres!$A$1:$I$89,3,0)*VLOOKUP('Données projet'!$B$10,Paramètres!$A$1:$I$89,5,0)</f>
        <v>5.3205440053716299E-14</v>
      </c>
      <c r="AK160" s="14">
        <f t="shared" si="164"/>
        <v>8.602146238565607E-13</v>
      </c>
      <c r="AL160" s="22">
        <f t="shared" si="165"/>
        <v>1.590873277977066E-12</v>
      </c>
      <c r="AM160" s="62">
        <f t="shared" si="113"/>
        <v>293.33333333333491</v>
      </c>
      <c r="AN160" s="62">
        <f ca="1">AVERAGE(OFFSET($AM$3,0,0,'Données projet'!$E$10+1,1))-AVERAGE(OFFSET($H$3,0,0,'Données projet'!$E$10+1,1))</f>
        <v>259.74478933784656</v>
      </c>
      <c r="AO160" s="62">
        <f t="shared" si="144"/>
        <v>223.74038909289646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80.044039344639373</v>
      </c>
      <c r="T161" s="62">
        <f t="shared" si="142"/>
        <v>373.57883793591537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3.7880406265727173</v>
      </c>
      <c r="AA161" s="23">
        <f>EXP(-LN(2)/25)*AA160+(1-EXP(-LN(2)/25))/(LN(2)/25)*Calculateur!V161*Calculateur!X161*VLOOKUP('Données projet'!$B$9,Paramètres!$A$1:$I$89,3,0)*0.475*44/12</f>
        <v>0.51731347511534964</v>
      </c>
      <c r="AB161" s="23">
        <f>EXP(-LN(2)/2)*AB160+(1-EXP(-LN(2)/2))/(LN(2)/2)*V161*Y161*VLOOKUP('Données projet'!$B$9,Paramètres!$A$1:$I$89,3,0)*0.475*44/12</f>
        <v>5.6153795966129391E-20</v>
      </c>
      <c r="AC161" s="24">
        <f t="shared" si="163"/>
        <v>4.3053541016880672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1.1368683772161603E-13</v>
      </c>
      <c r="AJ161" s="14">
        <f>AI161*VLOOKUP('Données projet'!$B$10,Paramètres!$A$1:$I$89,3,0)*VLOOKUP('Données projet'!$B$10,Paramètres!$A$1:$I$89,5,0)</f>
        <v>5.3205440053716299E-14</v>
      </c>
      <c r="AK161" s="14">
        <f t="shared" si="164"/>
        <v>8.602146238565607E-13</v>
      </c>
      <c r="AL161" s="22">
        <f t="shared" si="165"/>
        <v>1.590873277977066E-12</v>
      </c>
      <c r="AM161" s="62">
        <f t="shared" si="113"/>
        <v>293.33333333333491</v>
      </c>
      <c r="AN161" s="62">
        <f ca="1">AVERAGE(OFFSET($AM$3,0,0,'Données projet'!$E$10+1,1))-AVERAGE(OFFSET($H$3,0,0,'Données projet'!$E$10+1,1))</f>
        <v>259.74478933784656</v>
      </c>
      <c r="AO161" s="62">
        <f t="shared" si="144"/>
        <v>223.74038909289646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80.044039344639373</v>
      </c>
      <c r="T162" s="62">
        <f t="shared" si="142"/>
        <v>373.57883793591537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3.7137594603622679</v>
      </c>
      <c r="AA162" s="23">
        <f>EXP(-LN(2)/25)*AA161+(1-EXP(-LN(2)/25))/(LN(2)/25)*Calculateur!V162*Calculateur!X162*VLOOKUP('Données projet'!$B$9,Paramètres!$A$1:$I$89,3,0)*0.475*44/12</f>
        <v>0.50316751093398704</v>
      </c>
      <c r="AB162" s="23">
        <f>EXP(-LN(2)/2)*AB161+(1-EXP(-LN(2)/2))/(LN(2)/2)*V162*Y162*VLOOKUP('Données projet'!$B$9,Paramètres!$A$1:$I$89,3,0)*0.475*44/12</f>
        <v>3.9706729917015891E-20</v>
      </c>
      <c r="AC162" s="24">
        <f t="shared" si="163"/>
        <v>4.2169269712962549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1.1368683772161603E-13</v>
      </c>
      <c r="AJ162" s="14">
        <f>AI162*VLOOKUP('Données projet'!$B$10,Paramètres!$A$1:$I$89,3,0)*VLOOKUP('Données projet'!$B$10,Paramètres!$A$1:$I$89,5,0)</f>
        <v>5.3205440053716299E-14</v>
      </c>
      <c r="AK162" s="14">
        <f t="shared" si="164"/>
        <v>8.602146238565607E-13</v>
      </c>
      <c r="AL162" s="22">
        <f t="shared" si="165"/>
        <v>1.590873277977066E-12</v>
      </c>
      <c r="AM162" s="62">
        <f t="shared" si="113"/>
        <v>293.33333333333491</v>
      </c>
      <c r="AN162" s="62">
        <f ca="1">AVERAGE(OFFSET($AM$3,0,0,'Données projet'!$E$10+1,1))-AVERAGE(OFFSET($H$3,0,0,'Données projet'!$E$10+1,1))</f>
        <v>259.74478933784656</v>
      </c>
      <c r="AO162" s="62">
        <f t="shared" si="144"/>
        <v>223.74038909289646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80.044039344639373</v>
      </c>
      <c r="T163" s="62">
        <f t="shared" si="142"/>
        <v>373.57883793591537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3.6409349025141675</v>
      </c>
      <c r="AA163" s="23">
        <f>EXP(-LN(2)/25)*AA162+(1-EXP(-LN(2)/25))/(LN(2)/25)*Calculateur!V163*Calculateur!X163*VLOOKUP('Données projet'!$B$9,Paramètres!$A$1:$I$89,3,0)*0.475*44/12</f>
        <v>0.48940836888706779</v>
      </c>
      <c r="AB163" s="23">
        <f>EXP(-LN(2)/2)*AB162+(1-EXP(-LN(2)/2))/(LN(2)/2)*V163*Y163*VLOOKUP('Données projet'!$B$9,Paramètres!$A$1:$I$89,3,0)*0.475*44/12</f>
        <v>2.8076897983064695E-20</v>
      </c>
      <c r="AC163" s="24">
        <f t="shared" si="163"/>
        <v>4.1303432714012356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1.1368683772161603E-13</v>
      </c>
      <c r="AJ163" s="14">
        <f>AI163*VLOOKUP('Données projet'!$B$10,Paramètres!$A$1:$I$89,3,0)*VLOOKUP('Données projet'!$B$10,Paramètres!$A$1:$I$89,5,0)</f>
        <v>5.3205440053716299E-14</v>
      </c>
      <c r="AK163" s="14">
        <f t="shared" si="164"/>
        <v>8.602146238565607E-13</v>
      </c>
      <c r="AL163" s="22">
        <f t="shared" si="165"/>
        <v>1.590873277977066E-12</v>
      </c>
      <c r="AM163" s="62">
        <f t="shared" si="113"/>
        <v>293.33333333333491</v>
      </c>
      <c r="AN163" s="62">
        <f ca="1">AVERAGE(OFFSET($AM$3,0,0,'Données projet'!$E$10+1,1))-AVERAGE(OFFSET($H$3,0,0,'Données projet'!$E$10+1,1))</f>
        <v>259.74478933784656</v>
      </c>
      <c r="AO163" s="62">
        <f t="shared" si="144"/>
        <v>223.74038909289646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80.044039344639373</v>
      </c>
      <c r="T164" s="62">
        <f t="shared" si="142"/>
        <v>373.57883793591537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3.5695383898268744</v>
      </c>
      <c r="AA164" s="23">
        <f>EXP(-LN(2)/25)*AA163+(1-EXP(-LN(2)/25))/(LN(2)/25)*Calculateur!V164*Calculateur!X164*VLOOKUP('Données projet'!$B$9,Paramètres!$A$1:$I$89,3,0)*0.475*44/12</f>
        <v>0.47602547130298334</v>
      </c>
      <c r="AB164" s="23">
        <f>EXP(-LN(2)/2)*AB163+(1-EXP(-LN(2)/2))/(LN(2)/2)*V164*Y164*VLOOKUP('Données projet'!$B$9,Paramètres!$A$1:$I$89,3,0)*0.475*44/12</f>
        <v>1.9853364958507946E-20</v>
      </c>
      <c r="AC164" s="24">
        <f t="shared" si="163"/>
        <v>4.0455638611298577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1.1368683772161603E-13</v>
      </c>
      <c r="AJ164" s="14">
        <f>AI164*VLOOKUP('Données projet'!$B$10,Paramètres!$A$1:$I$89,3,0)*VLOOKUP('Données projet'!$B$10,Paramètres!$A$1:$I$89,5,0)</f>
        <v>5.3205440053716299E-14</v>
      </c>
      <c r="AK164" s="14">
        <f t="shared" si="164"/>
        <v>8.602146238565607E-13</v>
      </c>
      <c r="AL164" s="22">
        <f t="shared" si="165"/>
        <v>1.590873277977066E-12</v>
      </c>
      <c r="AM164" s="62">
        <f t="shared" si="113"/>
        <v>293.33333333333491</v>
      </c>
      <c r="AN164" s="62">
        <f ca="1">AVERAGE(OFFSET($AM$3,0,0,'Données projet'!$E$10+1,1))-AVERAGE(OFFSET($H$3,0,0,'Données projet'!$E$10+1,1))</f>
        <v>259.74478933784656</v>
      </c>
      <c r="AO164" s="62">
        <f t="shared" si="144"/>
        <v>223.74038909289646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80.044039344639373</v>
      </c>
      <c r="T165" s="62">
        <f t="shared" si="142"/>
        <v>373.57883793591537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3.4995419192058064</v>
      </c>
      <c r="AA165" s="23">
        <f>EXP(-LN(2)/25)*AA164+(1-EXP(-LN(2)/25))/(LN(2)/25)*Calculateur!V165*Calculateur!X165*VLOOKUP('Données projet'!$B$9,Paramètres!$A$1:$I$89,3,0)*0.475*44/12</f>
        <v>0.46300852975711171</v>
      </c>
      <c r="AB165" s="23">
        <f>EXP(-LN(2)/2)*AB164+(1-EXP(-LN(2)/2))/(LN(2)/2)*V165*Y165*VLOOKUP('Données projet'!$B$9,Paramètres!$A$1:$I$89,3,0)*0.475*44/12</f>
        <v>1.4038448991532348E-20</v>
      </c>
      <c r="AC165" s="24">
        <f t="shared" si="163"/>
        <v>3.9625504489629182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1.1368683772161603E-13</v>
      </c>
      <c r="AJ165" s="14">
        <f>AI165*VLOOKUP('Données projet'!$B$10,Paramètres!$A$1:$I$89,3,0)*VLOOKUP('Données projet'!$B$10,Paramètres!$A$1:$I$89,5,0)</f>
        <v>5.3205440053716299E-14</v>
      </c>
      <c r="AK165" s="14">
        <f t="shared" si="164"/>
        <v>8.602146238565607E-13</v>
      </c>
      <c r="AL165" s="22">
        <f t="shared" si="165"/>
        <v>1.590873277977066E-12</v>
      </c>
      <c r="AM165" s="62">
        <f t="shared" si="113"/>
        <v>293.33333333333491</v>
      </c>
      <c r="AN165" s="62">
        <f ca="1">AVERAGE(OFFSET($AM$3,0,0,'Données projet'!$E$10+1,1))-AVERAGE(OFFSET($H$3,0,0,'Données projet'!$E$10+1,1))</f>
        <v>259.74478933784656</v>
      </c>
      <c r="AO165" s="62">
        <f t="shared" si="144"/>
        <v>223.74038909289646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80.044039344639373</v>
      </c>
      <c r="T166" s="62">
        <f t="shared" si="142"/>
        <v>373.57883793591537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3.4309180366799858</v>
      </c>
      <c r="AA166" s="23">
        <f>EXP(-LN(2)/25)*AA165+(1-EXP(-LN(2)/25))/(LN(2)/25)*Calculateur!V166*Calculateur!X166*VLOOKUP('Données projet'!$B$9,Paramètres!$A$1:$I$89,3,0)*0.475*44/12</f>
        <v>0.4503475371623431</v>
      </c>
      <c r="AB166" s="23">
        <f>EXP(-LN(2)/2)*AB165+(1-EXP(-LN(2)/2))/(LN(2)/2)*V166*Y166*VLOOKUP('Données projet'!$B$9,Paramètres!$A$1:$I$89,3,0)*0.475*44/12</f>
        <v>9.9266824792539728E-21</v>
      </c>
      <c r="AC166" s="24">
        <f t="shared" si="163"/>
        <v>3.8812655738423292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1.1368683772161603E-13</v>
      </c>
      <c r="AJ166" s="14">
        <f>AI166*VLOOKUP('Données projet'!$B$10,Paramètres!$A$1:$I$89,3,0)*VLOOKUP('Données projet'!$B$10,Paramètres!$A$1:$I$89,5,0)</f>
        <v>5.3205440053716299E-14</v>
      </c>
      <c r="AK166" s="14">
        <f t="shared" si="164"/>
        <v>8.602146238565607E-13</v>
      </c>
      <c r="AL166" s="22">
        <f t="shared" si="165"/>
        <v>1.590873277977066E-12</v>
      </c>
      <c r="AM166" s="62">
        <f t="shared" si="113"/>
        <v>293.33333333333491</v>
      </c>
      <c r="AN166" s="62">
        <f ca="1">AVERAGE(OFFSET($AM$3,0,0,'Données projet'!$E$10+1,1))-AVERAGE(OFFSET($H$3,0,0,'Données projet'!$E$10+1,1))</f>
        <v>259.74478933784656</v>
      </c>
      <c r="AO166" s="62">
        <f t="shared" si="144"/>
        <v>223.74038909289646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80.044039344639373</v>
      </c>
      <c r="T167" s="62">
        <f t="shared" si="142"/>
        <v>373.57883793591537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3.3636398266340612</v>
      </c>
      <c r="AA167" s="23">
        <f>EXP(-LN(2)/25)*AA166+(1-EXP(-LN(2)/25))/(LN(2)/25)*Calculateur!V167*Calculateur!X167*VLOOKUP('Données projet'!$B$9,Paramètres!$A$1:$I$89,3,0)*0.475*44/12</f>
        <v>0.43803276007589115</v>
      </c>
      <c r="AB167" s="23">
        <f>EXP(-LN(2)/2)*AB166+(1-EXP(-LN(2)/2))/(LN(2)/2)*V167*Y167*VLOOKUP('Données projet'!$B$9,Paramètres!$A$1:$I$89,3,0)*0.475*44/12</f>
        <v>7.0192244957661739E-21</v>
      </c>
      <c r="AC167" s="24">
        <f t="shared" si="163"/>
        <v>3.8016725867099526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1.1368683772161603E-13</v>
      </c>
      <c r="AJ167" s="14">
        <f>AI167*VLOOKUP('Données projet'!$B$10,Paramètres!$A$1:$I$89,3,0)*VLOOKUP('Données projet'!$B$10,Paramètres!$A$1:$I$89,5,0)</f>
        <v>5.3205440053716299E-14</v>
      </c>
      <c r="AK167" s="14">
        <f t="shared" si="164"/>
        <v>8.602146238565607E-13</v>
      </c>
      <c r="AL167" s="22">
        <f t="shared" si="165"/>
        <v>1.590873277977066E-12</v>
      </c>
      <c r="AM167" s="62">
        <f t="shared" si="113"/>
        <v>293.33333333333491</v>
      </c>
      <c r="AN167" s="62">
        <f ca="1">AVERAGE(OFFSET($AM$3,0,0,'Données projet'!$E$10+1,1))-AVERAGE(OFFSET($H$3,0,0,'Données projet'!$E$10+1,1))</f>
        <v>259.74478933784656</v>
      </c>
      <c r="AO167" s="62">
        <f t="shared" si="144"/>
        <v>223.74038909289646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80.044039344639373</v>
      </c>
      <c r="T168" s="62">
        <f t="shared" si="142"/>
        <v>373.57883793591537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3.2976809012514812</v>
      </c>
      <c r="AA168" s="23">
        <f>EXP(-LN(2)/25)*AA167+(1-EXP(-LN(2)/25))/(LN(2)/25)*Calculateur!V168*Calculateur!X168*VLOOKUP('Données projet'!$B$9,Paramètres!$A$1:$I$89,3,0)*0.475*44/12</f>
        <v>0.42605473121647419</v>
      </c>
      <c r="AB168" s="23">
        <f>EXP(-LN(2)/2)*AB167+(1-EXP(-LN(2)/2))/(LN(2)/2)*V168*Y168*VLOOKUP('Données projet'!$B$9,Paramètres!$A$1:$I$89,3,0)*0.475*44/12</f>
        <v>4.9633412396269864E-21</v>
      </c>
      <c r="AC168" s="24">
        <f t="shared" si="163"/>
        <v>3.7237356324679554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1.1368683772161603E-13</v>
      </c>
      <c r="AJ168" s="14">
        <f>AI168*VLOOKUP('Données projet'!$B$10,Paramètres!$A$1:$I$89,3,0)*VLOOKUP('Données projet'!$B$10,Paramètres!$A$1:$I$89,5,0)</f>
        <v>5.3205440053716299E-14</v>
      </c>
      <c r="AK168" s="14">
        <f t="shared" si="164"/>
        <v>8.602146238565607E-13</v>
      </c>
      <c r="AL168" s="22">
        <f t="shared" si="165"/>
        <v>1.590873277977066E-12</v>
      </c>
      <c r="AM168" s="62">
        <f t="shared" si="113"/>
        <v>293.33333333333491</v>
      </c>
      <c r="AN168" s="62">
        <f ca="1">AVERAGE(OFFSET($AM$3,0,0,'Données projet'!$E$10+1,1))-AVERAGE(OFFSET($H$3,0,0,'Données projet'!$E$10+1,1))</f>
        <v>259.74478933784656</v>
      </c>
      <c r="AO168" s="62">
        <f t="shared" si="144"/>
        <v>223.74038909289646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80.044039344639373</v>
      </c>
      <c r="T169" s="62">
        <f t="shared" si="142"/>
        <v>373.57883793591537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3.2330153901646814</v>
      </c>
      <c r="AA169" s="23">
        <f>EXP(-LN(2)/25)*AA168+(1-EXP(-LN(2)/25))/(LN(2)/25)*Calculateur!V169*Calculateur!X169*VLOOKUP('Données projet'!$B$9,Paramètres!$A$1:$I$89,3,0)*0.475*44/12</f>
        <v>0.41440424218611516</v>
      </c>
      <c r="AB169" s="23">
        <f>EXP(-LN(2)/2)*AB168+(1-EXP(-LN(2)/2))/(LN(2)/2)*V169*Y169*VLOOKUP('Données projet'!$B$9,Paramètres!$A$1:$I$89,3,0)*0.475*44/12</f>
        <v>3.5096122478830869E-21</v>
      </c>
      <c r="AC169" s="24">
        <f t="shared" si="163"/>
        <v>3.6474196323507968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1.1368683772161603E-13</v>
      </c>
      <c r="AJ169" s="14">
        <f>AI169*VLOOKUP('Données projet'!$B$10,Paramètres!$A$1:$I$89,3,0)*VLOOKUP('Données projet'!$B$10,Paramètres!$A$1:$I$89,5,0)</f>
        <v>5.3205440053716299E-14</v>
      </c>
      <c r="AK169" s="14">
        <f t="shared" si="164"/>
        <v>8.602146238565607E-13</v>
      </c>
      <c r="AL169" s="22">
        <f t="shared" si="165"/>
        <v>1.590873277977066E-12</v>
      </c>
      <c r="AM169" s="62">
        <f t="shared" si="113"/>
        <v>293.33333333333491</v>
      </c>
      <c r="AN169" s="62">
        <f ca="1">AVERAGE(OFFSET($AM$3,0,0,'Données projet'!$E$10+1,1))-AVERAGE(OFFSET($H$3,0,0,'Données projet'!$E$10+1,1))</f>
        <v>259.74478933784656</v>
      </c>
      <c r="AO169" s="62">
        <f t="shared" si="144"/>
        <v>223.74038909289646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80.044039344639373</v>
      </c>
      <c r="T170" s="62">
        <f t="shared" si="142"/>
        <v>373.57883793591537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3.1696179303082266</v>
      </c>
      <c r="AA170" s="23">
        <f>EXP(-LN(2)/25)*AA169+(1-EXP(-LN(2)/25))/(LN(2)/25)*Calculateur!V170*Calculateur!X170*VLOOKUP('Données projet'!$B$9,Paramètres!$A$1:$I$89,3,0)*0.475*44/12</f>
        <v>0.40307233639096385</v>
      </c>
      <c r="AB170" s="23">
        <f>EXP(-LN(2)/2)*AB169+(1-EXP(-LN(2)/2))/(LN(2)/2)*V170*Y170*VLOOKUP('Données projet'!$B$9,Paramètres!$A$1:$I$89,3,0)*0.475*44/12</f>
        <v>2.4816706198134932E-21</v>
      </c>
      <c r="AC170" s="24">
        <f t="shared" si="163"/>
        <v>3.5726902666991904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1.1368683772161603E-13</v>
      </c>
      <c r="AJ170" s="14">
        <f>AI170*VLOOKUP('Données projet'!$B$10,Paramètres!$A$1:$I$89,3,0)*VLOOKUP('Données projet'!$B$10,Paramètres!$A$1:$I$89,5,0)</f>
        <v>5.3205440053716299E-14</v>
      </c>
      <c r="AK170" s="14">
        <f t="shared" si="164"/>
        <v>8.602146238565607E-13</v>
      </c>
      <c r="AL170" s="22">
        <f t="shared" si="165"/>
        <v>1.590873277977066E-12</v>
      </c>
      <c r="AM170" s="62">
        <f t="shared" si="113"/>
        <v>293.33333333333491</v>
      </c>
      <c r="AN170" s="62">
        <f ca="1">AVERAGE(OFFSET($AM$3,0,0,'Données projet'!$E$10+1,1))-AVERAGE(OFFSET($H$3,0,0,'Données projet'!$E$10+1,1))</f>
        <v>259.74478933784656</v>
      </c>
      <c r="AO170" s="62">
        <f t="shared" si="144"/>
        <v>223.74038909289646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80.044039344639373</v>
      </c>
      <c r="T171" s="62">
        <f t="shared" si="142"/>
        <v>373.57883793591537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3.1074636559709248</v>
      </c>
      <c r="AA171" s="23">
        <f>EXP(-LN(2)/25)*AA170+(1-EXP(-LN(2)/25))/(LN(2)/25)*Calculateur!V171*Calculateur!X171*VLOOKUP('Données projet'!$B$9,Paramètres!$A$1:$I$89,3,0)*0.475*44/12</f>
        <v>0.39205030215570003</v>
      </c>
      <c r="AB171" s="23">
        <f>EXP(-LN(2)/2)*AB170+(1-EXP(-LN(2)/2))/(LN(2)/2)*V171*Y171*VLOOKUP('Données projet'!$B$9,Paramètres!$A$1:$I$89,3,0)*0.475*44/12</f>
        <v>1.7548061239415435E-21</v>
      </c>
      <c r="AC171" s="24">
        <f t="shared" si="163"/>
        <v>3.4995139581266246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1.1368683772161603E-13</v>
      </c>
      <c r="AJ171" s="14">
        <f>AI171*VLOOKUP('Données projet'!$B$10,Paramètres!$A$1:$I$89,3,0)*VLOOKUP('Données projet'!$B$10,Paramètres!$A$1:$I$89,5,0)</f>
        <v>5.3205440053716299E-14</v>
      </c>
      <c r="AK171" s="14">
        <f t="shared" si="164"/>
        <v>8.602146238565607E-13</v>
      </c>
      <c r="AL171" s="22">
        <f t="shared" si="165"/>
        <v>1.590873277977066E-12</v>
      </c>
      <c r="AM171" s="62">
        <f t="shared" si="113"/>
        <v>293.33333333333491</v>
      </c>
      <c r="AN171" s="62">
        <f ca="1">AVERAGE(OFFSET($AM$3,0,0,'Données projet'!$E$10+1,1))-AVERAGE(OFFSET($H$3,0,0,'Données projet'!$E$10+1,1))</f>
        <v>259.74478933784656</v>
      </c>
      <c r="AO171" s="62">
        <f t="shared" si="144"/>
        <v>223.74038909289646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80.044039344639373</v>
      </c>
      <c r="T172" s="62">
        <f t="shared" si="142"/>
        <v>373.57883793591537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3.0465281890430131</v>
      </c>
      <c r="AA172" s="23">
        <f>EXP(-LN(2)/25)*AA171+(1-EXP(-LN(2)/25))/(LN(2)/25)*Calculateur!V172*Calculateur!X172*VLOOKUP('Données projet'!$B$9,Paramètres!$A$1:$I$89,3,0)*0.475*44/12</f>
        <v>0.38132966602622304</v>
      </c>
      <c r="AB172" s="23">
        <f>EXP(-LN(2)/2)*AB171+(1-EXP(-LN(2)/2))/(LN(2)/2)*V172*Y172*VLOOKUP('Données projet'!$B$9,Paramètres!$A$1:$I$89,3,0)*0.475*44/12</f>
        <v>1.2408353099067466E-21</v>
      </c>
      <c r="AC172" s="24">
        <f t="shared" si="163"/>
        <v>3.4278578550692362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1.1368683772161603E-13</v>
      </c>
      <c r="AJ172" s="14">
        <f>AI172*VLOOKUP('Données projet'!$B$10,Paramètres!$A$1:$I$89,3,0)*VLOOKUP('Données projet'!$B$10,Paramètres!$A$1:$I$89,5,0)</f>
        <v>5.3205440053716299E-14</v>
      </c>
      <c r="AK172" s="14">
        <f t="shared" si="164"/>
        <v>8.602146238565607E-13</v>
      </c>
      <c r="AL172" s="22">
        <f t="shared" si="165"/>
        <v>1.590873277977066E-12</v>
      </c>
      <c r="AM172" s="62">
        <f t="shared" si="113"/>
        <v>293.33333333333491</v>
      </c>
      <c r="AN172" s="62">
        <f ca="1">AVERAGE(OFFSET($AM$3,0,0,'Données projet'!$E$10+1,1))-AVERAGE(OFFSET($H$3,0,0,'Données projet'!$E$10+1,1))</f>
        <v>259.74478933784656</v>
      </c>
      <c r="AO172" s="62">
        <f t="shared" si="144"/>
        <v>223.74038909289646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80.044039344639373</v>
      </c>
      <c r="T173" s="62">
        <f t="shared" si="142"/>
        <v>373.57883793591537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2.986787629454593</v>
      </c>
      <c r="AA173" s="23">
        <f>EXP(-LN(2)/25)*AA172+(1-EXP(-LN(2)/25))/(LN(2)/25)*Calculateur!V173*Calculateur!X173*VLOOKUP('Données projet'!$B$9,Paramètres!$A$1:$I$89,3,0)*0.475*44/12</f>
        <v>0.37090218625548038</v>
      </c>
      <c r="AB173" s="23">
        <f>EXP(-LN(2)/2)*AB172+(1-EXP(-LN(2)/2))/(LN(2)/2)*V173*Y173*VLOOKUP('Données projet'!$B$9,Paramètres!$A$1:$I$89,3,0)*0.475*44/12</f>
        <v>8.7740306197077173E-22</v>
      </c>
      <c r="AC173" s="24">
        <f t="shared" si="163"/>
        <v>3.3576898157100734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1.1368683772161603E-13</v>
      </c>
      <c r="AJ173" s="14">
        <f>AI173*VLOOKUP('Données projet'!$B$10,Paramètres!$A$1:$I$89,3,0)*VLOOKUP('Données projet'!$B$10,Paramètres!$A$1:$I$89,5,0)</f>
        <v>5.3205440053716299E-14</v>
      </c>
      <c r="AK173" s="14">
        <f t="shared" si="164"/>
        <v>8.602146238565607E-13</v>
      </c>
      <c r="AL173" s="22">
        <f t="shared" si="165"/>
        <v>1.590873277977066E-12</v>
      </c>
      <c r="AM173" s="62">
        <f t="shared" si="113"/>
        <v>293.33333333333491</v>
      </c>
      <c r="AN173" s="62">
        <f ca="1">AVERAGE(OFFSET($AM$3,0,0,'Données projet'!$E$10+1,1))-AVERAGE(OFFSET($H$3,0,0,'Données projet'!$E$10+1,1))</f>
        <v>259.74478933784656</v>
      </c>
      <c r="AO173" s="62">
        <f t="shared" si="144"/>
        <v>223.74038909289646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80.044039344639373</v>
      </c>
      <c r="T174" s="62">
        <f t="shared" si="142"/>
        <v>373.57883793591537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2.9282185458015584</v>
      </c>
      <c r="AA174" s="23">
        <f>EXP(-LN(2)/25)*AA173+(1-EXP(-LN(2)/25))/(LN(2)/25)*Calculateur!V174*Calculateur!X174*VLOOKUP('Données projet'!$B$9,Paramètres!$A$1:$I$89,3,0)*0.475*44/12</f>
        <v>0.36075984646742598</v>
      </c>
      <c r="AB174" s="23">
        <f>EXP(-LN(2)/2)*AB173+(1-EXP(-LN(2)/2))/(LN(2)/2)*V174*Y174*VLOOKUP('Données projet'!$B$9,Paramètres!$A$1:$I$89,3,0)*0.475*44/12</f>
        <v>6.204176549533733E-22</v>
      </c>
      <c r="AC174" s="24">
        <f t="shared" si="163"/>
        <v>3.2889783922689846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1.1368683772161603E-13</v>
      </c>
      <c r="AJ174" s="14">
        <f>AI174*VLOOKUP('Données projet'!$B$10,Paramètres!$A$1:$I$89,3,0)*VLOOKUP('Données projet'!$B$10,Paramètres!$A$1:$I$89,5,0)</f>
        <v>5.3205440053716299E-14</v>
      </c>
      <c r="AK174" s="14">
        <f t="shared" si="164"/>
        <v>8.602146238565607E-13</v>
      </c>
      <c r="AL174" s="22">
        <f t="shared" si="165"/>
        <v>1.590873277977066E-12</v>
      </c>
      <c r="AM174" s="62">
        <f t="shared" si="113"/>
        <v>293.33333333333491</v>
      </c>
      <c r="AN174" s="62">
        <f ca="1">AVERAGE(OFFSET($AM$3,0,0,'Données projet'!$E$10+1,1))-AVERAGE(OFFSET($H$3,0,0,'Données projet'!$E$10+1,1))</f>
        <v>259.74478933784656</v>
      </c>
      <c r="AO174" s="62">
        <f t="shared" si="144"/>
        <v>223.74038909289646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80.044039344639373</v>
      </c>
      <c r="T175" s="62">
        <f t="shared" si="142"/>
        <v>373.57883793591537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2.8707979661553464</v>
      </c>
      <c r="AA175" s="23">
        <f>EXP(-LN(2)/25)*AA174+(1-EXP(-LN(2)/25))/(LN(2)/25)*Calculateur!V175*Calculateur!X175*VLOOKUP('Données projet'!$B$9,Paramètres!$A$1:$I$89,3,0)*0.475*44/12</f>
        <v>0.35089484949423844</v>
      </c>
      <c r="AB175" s="23">
        <f>EXP(-LN(2)/2)*AB174+(1-EXP(-LN(2)/2))/(LN(2)/2)*V175*Y175*VLOOKUP('Données projet'!$B$9,Paramètres!$A$1:$I$89,3,0)*0.475*44/12</f>
        <v>4.3870153098538587E-22</v>
      </c>
      <c r="AC175" s="24">
        <f t="shared" si="163"/>
        <v>3.2216928156495848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1.1368683772161603E-13</v>
      </c>
      <c r="AJ175" s="14">
        <f>AI175*VLOOKUP('Données projet'!$B$10,Paramètres!$A$1:$I$89,3,0)*VLOOKUP('Données projet'!$B$10,Paramètres!$A$1:$I$89,5,0)</f>
        <v>5.3205440053716299E-14</v>
      </c>
      <c r="AK175" s="14">
        <f t="shared" si="164"/>
        <v>8.602146238565607E-13</v>
      </c>
      <c r="AL175" s="22">
        <f t="shared" si="165"/>
        <v>1.590873277977066E-12</v>
      </c>
      <c r="AM175" s="62">
        <f t="shared" si="113"/>
        <v>293.33333333333491</v>
      </c>
      <c r="AN175" s="62">
        <f ca="1">AVERAGE(OFFSET($AM$3,0,0,'Données projet'!$E$10+1,1))-AVERAGE(OFFSET($H$3,0,0,'Données projet'!$E$10+1,1))</f>
        <v>259.74478933784656</v>
      </c>
      <c r="AO175" s="62">
        <f t="shared" si="144"/>
        <v>223.74038909289646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80.044039344639373</v>
      </c>
      <c r="T176" s="62">
        <f t="shared" si="142"/>
        <v>373.57883793591537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2.8145033690529013</v>
      </c>
      <c r="AA176" s="23">
        <f>EXP(-LN(2)/25)*AA175+(1-EXP(-LN(2)/25))/(LN(2)/25)*Calculateur!V176*Calculateur!X176*VLOOKUP('Données projet'!$B$9,Paramètres!$A$1:$I$89,3,0)*0.475*44/12</f>
        <v>0.34129961138206033</v>
      </c>
      <c r="AB176" s="23">
        <f>EXP(-LN(2)/2)*AB175+(1-EXP(-LN(2)/2))/(LN(2)/2)*V176*Y176*VLOOKUP('Données projet'!$B$9,Paramètres!$A$1:$I$89,3,0)*0.475*44/12</f>
        <v>3.1020882747668665E-22</v>
      </c>
      <c r="AC176" s="24">
        <f t="shared" si="163"/>
        <v>3.1558029804349617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1.1368683772161603E-13</v>
      </c>
      <c r="AJ176" s="14">
        <f>AI176*VLOOKUP('Données projet'!$B$10,Paramètres!$A$1:$I$89,3,0)*VLOOKUP('Données projet'!$B$10,Paramètres!$A$1:$I$89,5,0)</f>
        <v>5.3205440053716299E-14</v>
      </c>
      <c r="AK176" s="14">
        <f t="shared" si="164"/>
        <v>8.602146238565607E-13</v>
      </c>
      <c r="AL176" s="22">
        <f t="shared" si="165"/>
        <v>1.590873277977066E-12</v>
      </c>
      <c r="AM176" s="62">
        <f t="shared" si="113"/>
        <v>293.33333333333491</v>
      </c>
      <c r="AN176" s="62">
        <f ca="1">AVERAGE(OFFSET($AM$3,0,0,'Données projet'!$E$10+1,1))-AVERAGE(OFFSET($H$3,0,0,'Données projet'!$E$10+1,1))</f>
        <v>259.74478933784656</v>
      </c>
      <c r="AO176" s="62">
        <f t="shared" si="144"/>
        <v>223.74038909289646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80.044039344639373</v>
      </c>
      <c r="T177" s="62">
        <f t="shared" si="142"/>
        <v>373.57883793591537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2.7593126746633212</v>
      </c>
      <c r="AA177" s="23">
        <f>EXP(-LN(2)/25)*AA176+(1-EXP(-LN(2)/25))/(LN(2)/25)*Calculateur!V177*Calculateur!X177*VLOOKUP('Données projet'!$B$9,Paramètres!$A$1:$I$89,3,0)*0.475*44/12</f>
        <v>0.33196675556065136</v>
      </c>
      <c r="AB177" s="23">
        <f>EXP(-LN(2)/2)*AB176+(1-EXP(-LN(2)/2))/(LN(2)/2)*V177*Y177*VLOOKUP('Données projet'!$B$9,Paramètres!$A$1:$I$89,3,0)*0.475*44/12</f>
        <v>2.1935076549269293E-22</v>
      </c>
      <c r="AC177" s="24">
        <f t="shared" si="163"/>
        <v>3.0912794302239726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1.1368683772161603E-13</v>
      </c>
      <c r="AJ177" s="14">
        <f>AI177*VLOOKUP('Données projet'!$B$10,Paramètres!$A$1:$I$89,3,0)*VLOOKUP('Données projet'!$B$10,Paramètres!$A$1:$I$89,5,0)</f>
        <v>5.3205440053716299E-14</v>
      </c>
      <c r="AK177" s="14">
        <f t="shared" si="164"/>
        <v>8.602146238565607E-13</v>
      </c>
      <c r="AL177" s="22">
        <f t="shared" si="165"/>
        <v>1.590873277977066E-12</v>
      </c>
      <c r="AM177" s="62">
        <f t="shared" si="113"/>
        <v>293.33333333333491</v>
      </c>
      <c r="AN177" s="62">
        <f ca="1">AVERAGE(OFFSET($AM$3,0,0,'Données projet'!$E$10+1,1))-AVERAGE(OFFSET($H$3,0,0,'Données projet'!$E$10+1,1))</f>
        <v>259.74478933784656</v>
      </c>
      <c r="AO177" s="62">
        <f t="shared" si="144"/>
        <v>223.74038909289646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80.044039344639373</v>
      </c>
      <c r="T178" s="62">
        <f t="shared" si="142"/>
        <v>373.57883793591537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2.7052042361277211</v>
      </c>
      <c r="AA178" s="23">
        <f>EXP(-LN(2)/25)*AA177+(1-EXP(-LN(2)/25))/(LN(2)/25)*Calculateur!V178*Calculateur!X178*VLOOKUP('Données projet'!$B$9,Paramètres!$A$1:$I$89,3,0)*0.475*44/12</f>
        <v>0.32288910717247238</v>
      </c>
      <c r="AB178" s="23">
        <f>EXP(-LN(2)/2)*AB177+(1-EXP(-LN(2)/2))/(LN(2)/2)*V178*Y178*VLOOKUP('Données projet'!$B$9,Paramètres!$A$1:$I$89,3,0)*0.475*44/12</f>
        <v>1.5510441373834332E-22</v>
      </c>
      <c r="AC178" s="24">
        <f t="shared" si="163"/>
        <v>3.0280933433001933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1.1368683772161603E-13</v>
      </c>
      <c r="AJ178" s="14">
        <f>AI178*VLOOKUP('Données projet'!$B$10,Paramètres!$A$1:$I$89,3,0)*VLOOKUP('Données projet'!$B$10,Paramètres!$A$1:$I$89,5,0)</f>
        <v>5.3205440053716299E-14</v>
      </c>
      <c r="AK178" s="14">
        <f t="shared" si="164"/>
        <v>8.602146238565607E-13</v>
      </c>
      <c r="AL178" s="22">
        <f t="shared" si="165"/>
        <v>1.590873277977066E-12</v>
      </c>
      <c r="AM178" s="62">
        <f t="shared" si="113"/>
        <v>293.33333333333491</v>
      </c>
      <c r="AN178" s="62">
        <f ca="1">AVERAGE(OFFSET($AM$3,0,0,'Données projet'!$E$10+1,1))-AVERAGE(OFFSET($H$3,0,0,'Données projet'!$E$10+1,1))</f>
        <v>259.74478933784656</v>
      </c>
      <c r="AO178" s="62">
        <f t="shared" si="144"/>
        <v>223.74038909289646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80.044039344639373</v>
      </c>
      <c r="T179" s="62">
        <f t="shared" si="142"/>
        <v>373.57883793591537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2.6521568310689152</v>
      </c>
      <c r="AA179" s="23">
        <f>EXP(-LN(2)/25)*AA178+(1-EXP(-LN(2)/25))/(LN(2)/25)*Calculateur!V179*Calculateur!X179*VLOOKUP('Données projet'!$B$9,Paramètres!$A$1:$I$89,3,0)*0.475*44/12</f>
        <v>0.31405968755684094</v>
      </c>
      <c r="AB179" s="23">
        <f>EXP(-LN(2)/2)*AB178+(1-EXP(-LN(2)/2))/(LN(2)/2)*V179*Y179*VLOOKUP('Données projet'!$B$9,Paramètres!$A$1:$I$89,3,0)*0.475*44/12</f>
        <v>1.0967538274634647E-22</v>
      </c>
      <c r="AC179" s="24">
        <f t="shared" si="163"/>
        <v>2.9662165186257563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1.1368683772161603E-13</v>
      </c>
      <c r="AJ179" s="14">
        <f>AI179*VLOOKUP('Données projet'!$B$10,Paramètres!$A$1:$I$89,3,0)*VLOOKUP('Données projet'!$B$10,Paramètres!$A$1:$I$89,5,0)</f>
        <v>5.3205440053716299E-14</v>
      </c>
      <c r="AK179" s="14">
        <f t="shared" si="164"/>
        <v>8.602146238565607E-13</v>
      </c>
      <c r="AL179" s="22">
        <f t="shared" si="165"/>
        <v>1.590873277977066E-12</v>
      </c>
      <c r="AM179" s="62">
        <f t="shared" si="113"/>
        <v>293.33333333333491</v>
      </c>
      <c r="AN179" s="62">
        <f ca="1">AVERAGE(OFFSET($AM$3,0,0,'Données projet'!$E$10+1,1))-AVERAGE(OFFSET($H$3,0,0,'Données projet'!$E$10+1,1))</f>
        <v>259.74478933784656</v>
      </c>
      <c r="AO179" s="62">
        <f t="shared" si="144"/>
        <v>223.74038909289646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80.044039344639373</v>
      </c>
      <c r="T180" s="62">
        <f t="shared" si="142"/>
        <v>373.57883793591537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2.6001496532675903</v>
      </c>
      <c r="AA180" s="23">
        <f>EXP(-LN(2)/25)*AA179+(1-EXP(-LN(2)/25))/(LN(2)/25)*Calculateur!V180*Calculateur!X180*VLOOKUP('Données projet'!$B$9,Paramètres!$A$1:$I$89,3,0)*0.475*44/12</f>
        <v>0.30547170888491793</v>
      </c>
      <c r="AB180" s="23">
        <f>EXP(-LN(2)/2)*AB179+(1-EXP(-LN(2)/2))/(LN(2)/2)*V180*Y180*VLOOKUP('Données projet'!$B$9,Paramètres!$A$1:$I$89,3,0)*0.475*44/12</f>
        <v>7.7552206869171662E-23</v>
      </c>
      <c r="AC180" s="24">
        <f t="shared" si="163"/>
        <v>2.905621362152508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1.1368683772161603E-13</v>
      </c>
      <c r="AJ180" s="14">
        <f>AI180*VLOOKUP('Données projet'!$B$10,Paramètres!$A$1:$I$89,3,0)*VLOOKUP('Données projet'!$B$10,Paramètres!$A$1:$I$89,5,0)</f>
        <v>5.3205440053716299E-14</v>
      </c>
      <c r="AK180" s="14">
        <f t="shared" si="164"/>
        <v>8.602146238565607E-13</v>
      </c>
      <c r="AL180" s="22">
        <f t="shared" si="165"/>
        <v>1.590873277977066E-12</v>
      </c>
      <c r="AM180" s="62">
        <f t="shared" si="113"/>
        <v>293.33333333333491</v>
      </c>
      <c r="AN180" s="62">
        <f ca="1">AVERAGE(OFFSET($AM$3,0,0,'Données projet'!$E$10+1,1))-AVERAGE(OFFSET($H$3,0,0,'Données projet'!$E$10+1,1))</f>
        <v>259.74478933784656</v>
      </c>
      <c r="AO180" s="62">
        <f t="shared" si="144"/>
        <v>223.74038909289646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80.044039344639373</v>
      </c>
      <c r="T181" s="62">
        <f t="shared" si="142"/>
        <v>373.57883793591537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2.5491623045017033</v>
      </c>
      <c r="AA181" s="23">
        <f>EXP(-LN(2)/25)*AA180+(1-EXP(-LN(2)/25))/(LN(2)/25)*Calculateur!V181*Calculateur!X181*VLOOKUP('Données projet'!$B$9,Paramètres!$A$1:$I$89,3,0)*0.475*44/12</f>
        <v>0.29711856894140082</v>
      </c>
      <c r="AB181" s="23">
        <f>EXP(-LN(2)/2)*AB180+(1-EXP(-LN(2)/2))/(LN(2)/2)*V181*Y181*VLOOKUP('Données projet'!$B$9,Paramètres!$A$1:$I$89,3,0)*0.475*44/12</f>
        <v>5.4837691373173233E-23</v>
      </c>
      <c r="AC181" s="24">
        <f t="shared" si="163"/>
        <v>2.8462808734431042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1.1368683772161603E-13</v>
      </c>
      <c r="AJ181" s="14">
        <f>AI181*VLOOKUP('Données projet'!$B$10,Paramètres!$A$1:$I$89,3,0)*VLOOKUP('Données projet'!$B$10,Paramètres!$A$1:$I$89,5,0)</f>
        <v>5.3205440053716299E-14</v>
      </c>
      <c r="AK181" s="14">
        <f t="shared" si="164"/>
        <v>8.602146238565607E-13</v>
      </c>
      <c r="AL181" s="22">
        <f t="shared" si="165"/>
        <v>1.590873277977066E-12</v>
      </c>
      <c r="AM181" s="62">
        <f t="shared" si="113"/>
        <v>293.33333333333491</v>
      </c>
      <c r="AN181" s="62">
        <f ca="1">AVERAGE(OFFSET($AM$3,0,0,'Données projet'!$E$10+1,1))-AVERAGE(OFFSET($H$3,0,0,'Données projet'!$E$10+1,1))</f>
        <v>259.74478933784656</v>
      </c>
      <c r="AO181" s="62">
        <f t="shared" si="144"/>
        <v>223.74038909289646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80.044039344639373</v>
      </c>
      <c r="T182" s="62">
        <f t="shared" si="142"/>
        <v>373.57883793591537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2.4991747865459035</v>
      </c>
      <c r="AA182" s="23">
        <f>EXP(-LN(2)/25)*AA181+(1-EXP(-LN(2)/25))/(LN(2)/25)*Calculateur!V182*Calculateur!X182*VLOOKUP('Données projet'!$B$9,Paramètres!$A$1:$I$89,3,0)*0.475*44/12</f>
        <v>0.28899384604891176</v>
      </c>
      <c r="AB182" s="23">
        <f>EXP(-LN(2)/2)*AB181+(1-EXP(-LN(2)/2))/(LN(2)/2)*V182*Y182*VLOOKUP('Données projet'!$B$9,Paramètres!$A$1:$I$89,3,0)*0.475*44/12</f>
        <v>3.8776103434585831E-23</v>
      </c>
      <c r="AC182" s="24">
        <f t="shared" si="163"/>
        <v>2.7881686325948154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1.1368683772161603E-13</v>
      </c>
      <c r="AJ182" s="14">
        <f>AI182*VLOOKUP('Données projet'!$B$10,Paramètres!$A$1:$I$89,3,0)*VLOOKUP('Données projet'!$B$10,Paramètres!$A$1:$I$89,5,0)</f>
        <v>5.3205440053716299E-14</v>
      </c>
      <c r="AK182" s="14">
        <f t="shared" si="164"/>
        <v>8.602146238565607E-13</v>
      </c>
      <c r="AL182" s="22">
        <f t="shared" si="165"/>
        <v>1.590873277977066E-12</v>
      </c>
      <c r="AM182" s="62">
        <f t="shared" si="113"/>
        <v>293.33333333333491</v>
      </c>
      <c r="AN182" s="62">
        <f ca="1">AVERAGE(OFFSET($AM$3,0,0,'Données projet'!$E$10+1,1))-AVERAGE(OFFSET($H$3,0,0,'Données projet'!$E$10+1,1))</f>
        <v>259.74478933784656</v>
      </c>
      <c r="AO182" s="62">
        <f t="shared" si="144"/>
        <v>223.74038909289646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80.044039344639373</v>
      </c>
      <c r="T183" s="62">
        <f t="shared" si="142"/>
        <v>373.57883793591537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2.4501674933278417</v>
      </c>
      <c r="AA183" s="23">
        <f>EXP(-LN(2)/25)*AA182+(1-EXP(-LN(2)/25))/(LN(2)/25)*Calculateur!V183*Calculateur!X183*VLOOKUP('Données projet'!$B$9,Paramètres!$A$1:$I$89,3,0)*0.475*44/12</f>
        <v>0.28109129413117839</v>
      </c>
      <c r="AB183" s="23">
        <f>EXP(-LN(2)/2)*AB182+(1-EXP(-LN(2)/2))/(LN(2)/2)*V183*Y183*VLOOKUP('Données projet'!$B$9,Paramètres!$A$1:$I$89,3,0)*0.475*44/12</f>
        <v>2.7418845686586617E-23</v>
      </c>
      <c r="AC183" s="24">
        <f t="shared" si="163"/>
        <v>2.7312587874590202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1.1368683772161603E-13</v>
      </c>
      <c r="AJ183" s="14">
        <f>AI183*VLOOKUP('Données projet'!$B$10,Paramètres!$A$1:$I$89,3,0)*VLOOKUP('Données projet'!$B$10,Paramètres!$A$1:$I$89,5,0)</f>
        <v>5.3205440053716299E-14</v>
      </c>
      <c r="AK183" s="14">
        <f t="shared" si="164"/>
        <v>8.602146238565607E-13</v>
      </c>
      <c r="AL183" s="22">
        <f t="shared" si="165"/>
        <v>1.590873277977066E-12</v>
      </c>
      <c r="AM183" s="62">
        <f t="shared" si="113"/>
        <v>293.33333333333491</v>
      </c>
      <c r="AN183" s="62">
        <f ca="1">AVERAGE(OFFSET($AM$3,0,0,'Données projet'!$E$10+1,1))-AVERAGE(OFFSET($H$3,0,0,'Données projet'!$E$10+1,1))</f>
        <v>259.74478933784656</v>
      </c>
      <c r="AO183" s="62">
        <f t="shared" si="144"/>
        <v>223.74038909289646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80.044039344639373</v>
      </c>
      <c r="T184" s="62">
        <f t="shared" si="142"/>
        <v>373.57883793591537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2.4021212032382886</v>
      </c>
      <c r="AA184" s="23">
        <f>EXP(-LN(2)/25)*AA183+(1-EXP(-LN(2)/25))/(LN(2)/25)*Calculateur!V184*Calculateur!X184*VLOOKUP('Données projet'!$B$9,Paramètres!$A$1:$I$89,3,0)*0.475*44/12</f>
        <v>0.27340483791121262</v>
      </c>
      <c r="AB184" s="23">
        <f>EXP(-LN(2)/2)*AB183+(1-EXP(-LN(2)/2))/(LN(2)/2)*V184*Y184*VLOOKUP('Données projet'!$B$9,Paramètres!$A$1:$I$89,3,0)*0.475*44/12</f>
        <v>1.9388051717292916E-23</v>
      </c>
      <c r="AC184" s="24">
        <f t="shared" si="163"/>
        <v>2.6755260411495012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1.1368683772161603E-13</v>
      </c>
      <c r="AJ184" s="14">
        <f>AI184*VLOOKUP('Données projet'!$B$10,Paramètres!$A$1:$I$89,3,0)*VLOOKUP('Données projet'!$B$10,Paramètres!$A$1:$I$89,5,0)</f>
        <v>5.3205440053716299E-14</v>
      </c>
      <c r="AK184" s="14">
        <f t="shared" si="164"/>
        <v>8.602146238565607E-13</v>
      </c>
      <c r="AL184" s="22">
        <f t="shared" si="165"/>
        <v>1.590873277977066E-12</v>
      </c>
      <c r="AM184" s="62">
        <f t="shared" si="113"/>
        <v>293.33333333333491</v>
      </c>
      <c r="AN184" s="62">
        <f ca="1">AVERAGE(OFFSET($AM$3,0,0,'Données projet'!$E$10+1,1))-AVERAGE(OFFSET($H$3,0,0,'Données projet'!$E$10+1,1))</f>
        <v>259.74478933784656</v>
      </c>
      <c r="AO184" s="62">
        <f t="shared" si="144"/>
        <v>223.74038909289646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80.044039344639373</v>
      </c>
      <c r="T185" s="62">
        <f t="shared" si="142"/>
        <v>373.57883793591537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2.3550170715920484</v>
      </c>
      <c r="AA185" s="23">
        <f>EXP(-LN(2)/25)*AA184+(1-EXP(-LN(2)/25))/(LN(2)/25)*Calculateur!V185*Calculateur!X185*VLOOKUP('Données projet'!$B$9,Paramètres!$A$1:$I$89,3,0)*0.475*44/12</f>
        <v>0.26592856824079497</v>
      </c>
      <c r="AB185" s="23">
        <f>EXP(-LN(2)/2)*AB184+(1-EXP(-LN(2)/2))/(LN(2)/2)*V185*Y185*VLOOKUP('Données projet'!$B$9,Paramètres!$A$1:$I$89,3,0)*0.475*44/12</f>
        <v>1.3709422843293308E-23</v>
      </c>
      <c r="AC185" s="24">
        <f t="shared" si="163"/>
        <v>2.6209456398328435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1.1368683772161603E-13</v>
      </c>
      <c r="AJ185" s="14">
        <f>AI185*VLOOKUP('Données projet'!$B$10,Paramètres!$A$1:$I$89,3,0)*VLOOKUP('Données projet'!$B$10,Paramètres!$A$1:$I$89,5,0)</f>
        <v>5.3205440053716299E-14</v>
      </c>
      <c r="AK185" s="14">
        <f t="shared" si="164"/>
        <v>8.602146238565607E-13</v>
      </c>
      <c r="AL185" s="22">
        <f t="shared" si="165"/>
        <v>1.590873277977066E-12</v>
      </c>
      <c r="AM185" s="62">
        <f t="shared" si="113"/>
        <v>293.33333333333491</v>
      </c>
      <c r="AN185" s="62">
        <f ca="1">AVERAGE(OFFSET($AM$3,0,0,'Données projet'!$E$10+1,1))-AVERAGE(OFFSET($H$3,0,0,'Données projet'!$E$10+1,1))</f>
        <v>259.74478933784656</v>
      </c>
      <c r="AO185" s="62">
        <f t="shared" si="144"/>
        <v>223.74038909289646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80.044039344639373</v>
      </c>
      <c r="T186" s="62">
        <f t="shared" si="142"/>
        <v>373.57883793591537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2.3088366232367075</v>
      </c>
      <c r="AA186" s="23">
        <f>EXP(-LN(2)/25)*AA185+(1-EXP(-LN(2)/25))/(LN(2)/25)*Calculateur!V186*Calculateur!X186*VLOOKUP('Données projet'!$B$9,Paramètres!$A$1:$I$89,3,0)*0.475*44/12</f>
        <v>0.25865673755767482</v>
      </c>
      <c r="AB186" s="23">
        <f>EXP(-LN(2)/2)*AB185+(1-EXP(-LN(2)/2))/(LN(2)/2)*V186*Y186*VLOOKUP('Données projet'!$B$9,Paramètres!$A$1:$I$89,3,0)*0.475*44/12</f>
        <v>9.6940258586464578E-24</v>
      </c>
      <c r="AC186" s="24">
        <f t="shared" si="163"/>
        <v>2.5674933607943822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1.1368683772161603E-13</v>
      </c>
      <c r="AJ186" s="14">
        <f>AI186*VLOOKUP('Données projet'!$B$10,Paramètres!$A$1:$I$89,3,0)*VLOOKUP('Données projet'!$B$10,Paramètres!$A$1:$I$89,5,0)</f>
        <v>5.3205440053716299E-14</v>
      </c>
      <c r="AK186" s="14">
        <f t="shared" si="164"/>
        <v>8.602146238565607E-13</v>
      </c>
      <c r="AL186" s="22">
        <f t="shared" si="165"/>
        <v>1.590873277977066E-12</v>
      </c>
      <c r="AM186" s="62">
        <f t="shared" si="113"/>
        <v>293.33333333333491</v>
      </c>
      <c r="AN186" s="62">
        <f ca="1">AVERAGE(OFFSET($AM$3,0,0,'Données projet'!$E$10+1,1))-AVERAGE(OFFSET($H$3,0,0,'Données projet'!$E$10+1,1))</f>
        <v>259.74478933784656</v>
      </c>
      <c r="AO186" s="62">
        <f t="shared" si="144"/>
        <v>223.74038909289646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80.044039344639373</v>
      </c>
      <c r="T187" s="62">
        <f t="shared" si="142"/>
        <v>373.57883793591537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2.2635617453063226</v>
      </c>
      <c r="AA187" s="23">
        <f>EXP(-LN(2)/25)*AA186+(1-EXP(-LN(2)/25))/(LN(2)/25)*Calculateur!V187*Calculateur!X187*VLOOKUP('Données projet'!$B$9,Paramètres!$A$1:$I$89,3,0)*0.475*44/12</f>
        <v>0.25158375546699352</v>
      </c>
      <c r="AB187" s="23">
        <f>EXP(-LN(2)/2)*AB186+(1-EXP(-LN(2)/2))/(LN(2)/2)*V187*Y187*VLOOKUP('Données projet'!$B$9,Paramètres!$A$1:$I$89,3,0)*0.475*44/12</f>
        <v>6.8547114216466542E-24</v>
      </c>
      <c r="AC187" s="24">
        <f t="shared" si="163"/>
        <v>2.5151455007733161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1.1368683772161603E-13</v>
      </c>
      <c r="AJ187" s="14">
        <f>AI187*VLOOKUP('Données projet'!$B$10,Paramètres!$A$1:$I$89,3,0)*VLOOKUP('Données projet'!$B$10,Paramètres!$A$1:$I$89,5,0)</f>
        <v>5.3205440053716299E-14</v>
      </c>
      <c r="AK187" s="14">
        <f t="shared" si="164"/>
        <v>8.602146238565607E-13</v>
      </c>
      <c r="AL187" s="22">
        <f t="shared" si="165"/>
        <v>1.590873277977066E-12</v>
      </c>
      <c r="AM187" s="62">
        <f t="shared" si="113"/>
        <v>293.33333333333491</v>
      </c>
      <c r="AN187" s="62">
        <f ca="1">AVERAGE(OFFSET($AM$3,0,0,'Données projet'!$E$10+1,1))-AVERAGE(OFFSET($H$3,0,0,'Données projet'!$E$10+1,1))</f>
        <v>259.74478933784656</v>
      </c>
      <c r="AO187" s="62">
        <f t="shared" si="144"/>
        <v>223.74038909289646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80.044039344639373</v>
      </c>
      <c r="T188" s="62">
        <f t="shared" si="142"/>
        <v>373.57883793591537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2.2191746801172036</v>
      </c>
      <c r="AA188" s="23">
        <f>EXP(-LN(2)/25)*AA187+(1-EXP(-LN(2)/25))/(LN(2)/25)*Calculateur!V188*Calculateur!X188*VLOOKUP('Données projet'!$B$9,Paramètres!$A$1:$I$89,3,0)*0.475*44/12</f>
        <v>0.2447041844435339</v>
      </c>
      <c r="AB188" s="23">
        <f>EXP(-LN(2)/2)*AB187+(1-EXP(-LN(2)/2))/(LN(2)/2)*V188*Y188*VLOOKUP('Données projet'!$B$9,Paramètres!$A$1:$I$89,3,0)*0.475*44/12</f>
        <v>4.8470129293232289E-24</v>
      </c>
      <c r="AC188" s="24">
        <f t="shared" si="163"/>
        <v>2.4638788645607375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1.1368683772161603E-13</v>
      </c>
      <c r="AJ188" s="14">
        <f>AI188*VLOOKUP('Données projet'!$B$10,Paramètres!$A$1:$I$89,3,0)*VLOOKUP('Données projet'!$B$10,Paramètres!$A$1:$I$89,5,0)</f>
        <v>5.3205440053716299E-14</v>
      </c>
      <c r="AK188" s="14">
        <f t="shared" si="164"/>
        <v>8.602146238565607E-13</v>
      </c>
      <c r="AL188" s="22">
        <f t="shared" si="165"/>
        <v>1.590873277977066E-12</v>
      </c>
      <c r="AM188" s="62">
        <f t="shared" si="113"/>
        <v>293.33333333333491</v>
      </c>
      <c r="AN188" s="62">
        <f ca="1">AVERAGE(OFFSET($AM$3,0,0,'Données projet'!$E$10+1,1))-AVERAGE(OFFSET($H$3,0,0,'Données projet'!$E$10+1,1))</f>
        <v>259.74478933784656</v>
      </c>
      <c r="AO188" s="62">
        <f t="shared" si="144"/>
        <v>223.74038909289646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80.044039344639373</v>
      </c>
      <c r="T189" s="62">
        <f t="shared" si="142"/>
        <v>373.57883793591537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2.175658018203007</v>
      </c>
      <c r="AA189" s="23">
        <f>EXP(-LN(2)/25)*AA188+(1-EXP(-LN(2)/25))/(LN(2)/25)*Calculateur!V189*Calculateur!X189*VLOOKUP('Données projet'!$B$9,Paramètres!$A$1:$I$89,3,0)*0.475*44/12</f>
        <v>0.23801273565149167</v>
      </c>
      <c r="AB189" s="23">
        <f>EXP(-LN(2)/2)*AB188+(1-EXP(-LN(2)/2))/(LN(2)/2)*V189*Y189*VLOOKUP('Données projet'!$B$9,Paramètres!$A$1:$I$89,3,0)*0.475*44/12</f>
        <v>3.4273557108233271E-24</v>
      </c>
      <c r="AC189" s="24">
        <f t="shared" si="163"/>
        <v>2.4136707538544986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1.1368683772161603E-13</v>
      </c>
      <c r="AJ189" s="14">
        <f>AI189*VLOOKUP('Données projet'!$B$10,Paramètres!$A$1:$I$89,3,0)*VLOOKUP('Données projet'!$B$10,Paramètres!$A$1:$I$89,5,0)</f>
        <v>5.3205440053716299E-14</v>
      </c>
      <c r="AK189" s="14">
        <f t="shared" si="164"/>
        <v>8.602146238565607E-13</v>
      </c>
      <c r="AL189" s="22">
        <f t="shared" si="165"/>
        <v>1.590873277977066E-12</v>
      </c>
      <c r="AM189" s="62">
        <f t="shared" si="113"/>
        <v>293.33333333333491</v>
      </c>
      <c r="AN189" s="62">
        <f ca="1">AVERAGE(OFFSET($AM$3,0,0,'Données projet'!$E$10+1,1))-AVERAGE(OFFSET($H$3,0,0,'Données projet'!$E$10+1,1))</f>
        <v>259.74478933784656</v>
      </c>
      <c r="AO189" s="62">
        <f t="shared" si="144"/>
        <v>223.74038909289646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80.044039344639373</v>
      </c>
      <c r="T190" s="62">
        <f t="shared" si="142"/>
        <v>373.57883793591537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2.1329946914864046</v>
      </c>
      <c r="AA190" s="23">
        <f>EXP(-LN(2)/25)*AA189+(1-EXP(-LN(2)/25))/(LN(2)/25)*Calculateur!V190*Calculateur!X190*VLOOKUP('Données projet'!$B$9,Paramètres!$A$1:$I$89,3,0)*0.475*44/12</f>
        <v>0.23150426487855585</v>
      </c>
      <c r="AB190" s="23">
        <f>EXP(-LN(2)/2)*AB189+(1-EXP(-LN(2)/2))/(LN(2)/2)*V190*Y190*VLOOKUP('Données projet'!$B$9,Paramètres!$A$1:$I$89,3,0)*0.475*44/12</f>
        <v>2.4235064646616145E-24</v>
      </c>
      <c r="AC190" s="24">
        <f t="shared" si="163"/>
        <v>2.3644989563649603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1.1368683772161603E-13</v>
      </c>
      <c r="AJ190" s="14">
        <f>AI190*VLOOKUP('Données projet'!$B$10,Paramètres!$A$1:$I$89,3,0)*VLOOKUP('Données projet'!$B$10,Paramètres!$A$1:$I$89,5,0)</f>
        <v>5.3205440053716299E-14</v>
      </c>
      <c r="AK190" s="14">
        <f t="shared" si="164"/>
        <v>8.602146238565607E-13</v>
      </c>
      <c r="AL190" s="22">
        <f t="shared" si="165"/>
        <v>1.590873277977066E-12</v>
      </c>
      <c r="AM190" s="62">
        <f t="shared" si="113"/>
        <v>293.33333333333491</v>
      </c>
      <c r="AN190" s="62">
        <f ca="1">AVERAGE(OFFSET($AM$3,0,0,'Données projet'!$E$10+1,1))-AVERAGE(OFFSET($H$3,0,0,'Données projet'!$E$10+1,1))</f>
        <v>259.74478933784656</v>
      </c>
      <c r="AO190" s="62">
        <f t="shared" si="144"/>
        <v>223.74038909289646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80.044039344639373</v>
      </c>
      <c r="T191" s="62">
        <f t="shared" si="142"/>
        <v>373.57883793591537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2.091167966584655</v>
      </c>
      <c r="AA191" s="23">
        <f>EXP(-LN(2)/25)*AA190+(1-EXP(-LN(2)/25))/(LN(2)/25)*Calculateur!V191*Calculateur!X191*VLOOKUP('Données projet'!$B$9,Paramètres!$A$1:$I$89,3,0)*0.475*44/12</f>
        <v>0.22517376858117155</v>
      </c>
      <c r="AB191" s="23">
        <f>EXP(-LN(2)/2)*AB190+(1-EXP(-LN(2)/2))/(LN(2)/2)*V191*Y191*VLOOKUP('Données projet'!$B$9,Paramètres!$A$1:$I$89,3,0)*0.475*44/12</f>
        <v>1.7136778554116635E-24</v>
      </c>
      <c r="AC191" s="24">
        <f t="shared" si="163"/>
        <v>2.3163417351658264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1.1368683772161603E-13</v>
      </c>
      <c r="AJ191" s="14">
        <f>AI191*VLOOKUP('Données projet'!$B$10,Paramètres!$A$1:$I$89,3,0)*VLOOKUP('Données projet'!$B$10,Paramètres!$A$1:$I$89,5,0)</f>
        <v>5.3205440053716299E-14</v>
      </c>
      <c r="AK191" s="14">
        <f t="shared" si="164"/>
        <v>8.602146238565607E-13</v>
      </c>
      <c r="AL191" s="22">
        <f t="shared" si="165"/>
        <v>1.590873277977066E-12</v>
      </c>
      <c r="AM191" s="62">
        <f t="shared" si="113"/>
        <v>293.33333333333491</v>
      </c>
      <c r="AN191" s="62">
        <f ca="1">AVERAGE(OFFSET($AM$3,0,0,'Données projet'!$E$10+1,1))-AVERAGE(OFFSET($H$3,0,0,'Données projet'!$E$10+1,1))</f>
        <v>259.74478933784656</v>
      </c>
      <c r="AO191" s="62">
        <f t="shared" si="144"/>
        <v>223.74038909289646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80.044039344639373</v>
      </c>
      <c r="T192" s="62">
        <f t="shared" si="142"/>
        <v>373.57883793591537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2.0501614382464455</v>
      </c>
      <c r="AA192" s="23">
        <f>EXP(-LN(2)/25)*AA191+(1-EXP(-LN(2)/25))/(LN(2)/25)*Calculateur!V192*Calculateur!X192*VLOOKUP('Données projet'!$B$9,Paramètres!$A$1:$I$89,3,0)*0.475*44/12</f>
        <v>0.21901638003794557</v>
      </c>
      <c r="AB192" s="23">
        <f>EXP(-LN(2)/2)*AB191+(1-EXP(-LN(2)/2))/(LN(2)/2)*V192*Y192*VLOOKUP('Données projet'!$B$9,Paramètres!$A$1:$I$89,3,0)*0.475*44/12</f>
        <v>1.2117532323308072E-24</v>
      </c>
      <c r="AC192" s="24">
        <f t="shared" si="163"/>
        <v>2.2691778182843909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1.1368683772161603E-13</v>
      </c>
      <c r="AJ192" s="14">
        <f>AI192*VLOOKUP('Données projet'!$B$10,Paramètres!$A$1:$I$89,3,0)*VLOOKUP('Données projet'!$B$10,Paramètres!$A$1:$I$89,5,0)</f>
        <v>5.3205440053716299E-14</v>
      </c>
      <c r="AK192" s="14">
        <f t="shared" si="164"/>
        <v>8.602146238565607E-13</v>
      </c>
      <c r="AL192" s="22">
        <f t="shared" si="165"/>
        <v>1.590873277977066E-12</v>
      </c>
      <c r="AM192" s="62">
        <f t="shared" si="113"/>
        <v>293.33333333333491</v>
      </c>
      <c r="AN192" s="62">
        <f ca="1">AVERAGE(OFFSET($AM$3,0,0,'Données projet'!$E$10+1,1))-AVERAGE(OFFSET($H$3,0,0,'Données projet'!$E$10+1,1))</f>
        <v>259.74478933784656</v>
      </c>
      <c r="AO192" s="62">
        <f t="shared" si="144"/>
        <v>223.74038909289646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80.044039344639373</v>
      </c>
      <c r="T193" s="62">
        <f t="shared" si="142"/>
        <v>373.57883793591537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2.0099590229174358</v>
      </c>
      <c r="AA193" s="23">
        <f>EXP(-LN(2)/25)*AA192+(1-EXP(-LN(2)/25))/(LN(2)/25)*Calculateur!V193*Calculateur!X193*VLOOKUP('Données projet'!$B$9,Paramètres!$A$1:$I$89,3,0)*0.475*44/12</f>
        <v>0.2130273656082371</v>
      </c>
      <c r="AB193" s="23">
        <f>EXP(-LN(2)/2)*AB192+(1-EXP(-LN(2)/2))/(LN(2)/2)*V193*Y193*VLOOKUP('Données projet'!$B$9,Paramètres!$A$1:$I$89,3,0)*0.475*44/12</f>
        <v>8.5683892770583177E-25</v>
      </c>
      <c r="AC193" s="24">
        <f t="shared" si="163"/>
        <v>2.2229863885256727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1.1368683772161603E-13</v>
      </c>
      <c r="AJ193" s="14">
        <f>AI193*VLOOKUP('Données projet'!$B$10,Paramètres!$A$1:$I$89,3,0)*VLOOKUP('Données projet'!$B$10,Paramètres!$A$1:$I$89,5,0)</f>
        <v>5.3205440053716299E-14</v>
      </c>
      <c r="AK193" s="14">
        <f t="shared" si="164"/>
        <v>8.602146238565607E-13</v>
      </c>
      <c r="AL193" s="22">
        <f t="shared" si="165"/>
        <v>1.590873277977066E-12</v>
      </c>
      <c r="AM193" s="62">
        <f t="shared" si="113"/>
        <v>293.33333333333491</v>
      </c>
      <c r="AN193" s="62">
        <f ca="1">AVERAGE(OFFSET($AM$3,0,0,'Données projet'!$E$10+1,1))-AVERAGE(OFFSET($H$3,0,0,'Données projet'!$E$10+1,1))</f>
        <v>259.74478933784656</v>
      </c>
      <c r="AO193" s="62">
        <f t="shared" si="144"/>
        <v>223.74038909289646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80.044039344639373</v>
      </c>
      <c r="T194" s="62">
        <f t="shared" si="142"/>
        <v>373.57883793591537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1.970544952431976</v>
      </c>
      <c r="AA194" s="23">
        <f>EXP(-LN(2)/25)*AA193+(1-EXP(-LN(2)/25))/(LN(2)/25)*Calculateur!V194*Calculateur!X194*VLOOKUP('Données projet'!$B$9,Paramètres!$A$1:$I$89,3,0)*0.475*44/12</f>
        <v>0.20720212109305758</v>
      </c>
      <c r="AB194" s="23">
        <f>EXP(-LN(2)/2)*AB193+(1-EXP(-LN(2)/2))/(LN(2)/2)*V194*Y194*VLOOKUP('Données projet'!$B$9,Paramètres!$A$1:$I$89,3,0)*0.475*44/12</f>
        <v>6.0587661616540361E-25</v>
      </c>
      <c r="AC194" s="24">
        <f t="shared" si="163"/>
        <v>2.1777470735250337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1.1368683772161603E-13</v>
      </c>
      <c r="AJ194" s="14">
        <f>AI194*VLOOKUP('Données projet'!$B$10,Paramètres!$A$1:$I$89,3,0)*VLOOKUP('Données projet'!$B$10,Paramètres!$A$1:$I$89,5,0)</f>
        <v>5.3205440053716299E-14</v>
      </c>
      <c r="AK194" s="14">
        <f t="shared" si="164"/>
        <v>8.602146238565607E-13</v>
      </c>
      <c r="AL194" s="22">
        <f t="shared" si="165"/>
        <v>1.590873277977066E-12</v>
      </c>
      <c r="AM194" s="62">
        <f t="shared" si="113"/>
        <v>293.33333333333491</v>
      </c>
      <c r="AN194" s="62">
        <f ca="1">AVERAGE(OFFSET($AM$3,0,0,'Données projet'!$E$10+1,1))-AVERAGE(OFFSET($H$3,0,0,'Données projet'!$E$10+1,1))</f>
        <v>259.74478933784656</v>
      </c>
      <c r="AO194" s="62">
        <f t="shared" si="144"/>
        <v>223.74038909289646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80.044039344639373</v>
      </c>
      <c r="T195" s="62">
        <f t="shared" si="142"/>
        <v>373.57883793591537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1.9319037678285269</v>
      </c>
      <c r="AA195" s="23">
        <f>EXP(-LN(2)/25)*AA194+(1-EXP(-LN(2)/25))/(LN(2)/25)*Calculateur!V195*Calculateur!X195*VLOOKUP('Données projet'!$B$9,Paramètres!$A$1:$I$89,3,0)*0.475*44/12</f>
        <v>0.20153616819548192</v>
      </c>
      <c r="AB195" s="23">
        <f>EXP(-LN(2)/2)*AB194+(1-EXP(-LN(2)/2))/(LN(2)/2)*V195*Y195*VLOOKUP('Données projet'!$B$9,Paramètres!$A$1:$I$89,3,0)*0.475*44/12</f>
        <v>4.2841946385291589E-25</v>
      </c>
      <c r="AC195" s="24">
        <f t="shared" si="163"/>
        <v>2.1334399360240086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1.1368683772161603E-13</v>
      </c>
      <c r="AJ195" s="14">
        <f>AI195*VLOOKUP('Données projet'!$B$10,Paramètres!$A$1:$I$89,3,0)*VLOOKUP('Données projet'!$B$10,Paramètres!$A$1:$I$89,5,0)</f>
        <v>5.3205440053716299E-14</v>
      </c>
      <c r="AK195" s="14">
        <f t="shared" si="164"/>
        <v>8.602146238565607E-13</v>
      </c>
      <c r="AL195" s="22">
        <f t="shared" si="165"/>
        <v>1.590873277977066E-12</v>
      </c>
      <c r="AM195" s="62">
        <f t="shared" si="113"/>
        <v>293.33333333333491</v>
      </c>
      <c r="AN195" s="62">
        <f ca="1">AVERAGE(OFFSET($AM$3,0,0,'Données projet'!$E$10+1,1))-AVERAGE(OFFSET($H$3,0,0,'Données projet'!$E$10+1,1))</f>
        <v>259.74478933784656</v>
      </c>
      <c r="AO195" s="62">
        <f t="shared" si="144"/>
        <v>223.74038909289646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80.044039344639373</v>
      </c>
      <c r="T196" s="62">
        <f t="shared" si="142"/>
        <v>373.57883793591537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1.894020313286356</v>
      </c>
      <c r="AA196" s="23">
        <f>EXP(-LN(2)/25)*AA195+(1-EXP(-LN(2)/25))/(LN(2)/25)*Calculateur!V196*Calculateur!X196*VLOOKUP('Données projet'!$B$9,Paramètres!$A$1:$I$89,3,0)*0.475*44/12</f>
        <v>0.19602515107785001</v>
      </c>
      <c r="AB196" s="23">
        <f>EXP(-LN(2)/2)*AB195+(1-EXP(-LN(2)/2))/(LN(2)/2)*V196*Y196*VLOOKUP('Données projet'!$B$9,Paramètres!$A$1:$I$89,3,0)*0.475*44/12</f>
        <v>3.0293830808270181E-25</v>
      </c>
      <c r="AC196" s="24">
        <f t="shared" si="163"/>
        <v>2.0900454643642061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1.1368683772161603E-13</v>
      </c>
      <c r="AJ196" s="14">
        <f>AI196*VLOOKUP('Données projet'!$B$10,Paramètres!$A$1:$I$89,3,0)*VLOOKUP('Données projet'!$B$10,Paramètres!$A$1:$I$89,5,0)</f>
        <v>5.3205440053716299E-14</v>
      </c>
      <c r="AK196" s="14">
        <f t="shared" si="164"/>
        <v>8.602146238565607E-13</v>
      </c>
      <c r="AL196" s="22">
        <f t="shared" si="165"/>
        <v>1.590873277977066E-12</v>
      </c>
      <c r="AM196" s="62">
        <f t="shared" ref="AM196:AM203" si="193">AL196+(AD196+AE196)*44/12</f>
        <v>293.33333333333491</v>
      </c>
      <c r="AN196" s="62">
        <f ca="1">AVERAGE(OFFSET($AM$3,0,0,'Données projet'!$E$10+1,1))-AVERAGE(OFFSET($H$3,0,0,'Données projet'!$E$10+1,1))</f>
        <v>259.74478933784656</v>
      </c>
      <c r="AO196" s="62">
        <f t="shared" si="144"/>
        <v>223.74038909289646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80.044039344639373</v>
      </c>
      <c r="T197" s="62">
        <f t="shared" ref="T197:T203" si="204">$T$3</f>
        <v>373.57883793591537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1.8568797301811313</v>
      </c>
      <c r="AA197" s="23">
        <f>EXP(-LN(2)/25)*AA196+(1-EXP(-LN(2)/25))/(LN(2)/25)*Calculateur!V197*Calculateur!X197*VLOOKUP('Données projet'!$B$9,Paramètres!$A$1:$I$89,3,0)*0.475*44/12</f>
        <v>0.19066483301311152</v>
      </c>
      <c r="AB197" s="23">
        <f>EXP(-LN(2)/2)*AB196+(1-EXP(-LN(2)/2))/(LN(2)/2)*V197*Y197*VLOOKUP('Données projet'!$B$9,Paramètres!$A$1:$I$89,3,0)*0.475*44/12</f>
        <v>2.1420973192645794E-25</v>
      </c>
      <c r="AC197" s="24">
        <f t="shared" si="163"/>
        <v>2.0475445631942426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1.1368683772161603E-13</v>
      </c>
      <c r="AJ197" s="14">
        <f>AI197*VLOOKUP('Données projet'!$B$10,Paramètres!$A$1:$I$89,3,0)*VLOOKUP('Données projet'!$B$10,Paramètres!$A$1:$I$89,5,0)</f>
        <v>5.3205440053716299E-14</v>
      </c>
      <c r="AK197" s="14">
        <f t="shared" si="164"/>
        <v>8.602146238565607E-13</v>
      </c>
      <c r="AL197" s="22">
        <f t="shared" si="165"/>
        <v>1.590873277977066E-12</v>
      </c>
      <c r="AM197" s="62">
        <f t="shared" si="193"/>
        <v>293.33333333333491</v>
      </c>
      <c r="AN197" s="62">
        <f ca="1">AVERAGE(OFFSET($AM$3,0,0,'Données projet'!$E$10+1,1))-AVERAGE(OFFSET($H$3,0,0,'Données projet'!$E$10+1,1))</f>
        <v>259.74478933784656</v>
      </c>
      <c r="AO197" s="62">
        <f t="shared" ref="AO197:AO203" si="205">$AO$3</f>
        <v>223.74038909289646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80.044039344639373</v>
      </c>
      <c r="T198" s="62">
        <f t="shared" si="204"/>
        <v>373.57883793591537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1.8204674512570813</v>
      </c>
      <c r="AA198" s="23">
        <f>EXP(-LN(2)/25)*AA197+(1-EXP(-LN(2)/25))/(LN(2)/25)*Calculateur!V198*Calculateur!X198*VLOOKUP('Données projet'!$B$9,Paramètres!$A$1:$I$89,3,0)*0.475*44/12</f>
        <v>0.18545109312774019</v>
      </c>
      <c r="AB198" s="23">
        <f>EXP(-LN(2)/2)*AB197+(1-EXP(-LN(2)/2))/(LN(2)/2)*V198*Y198*VLOOKUP('Données projet'!$B$9,Paramètres!$A$1:$I$89,3,0)*0.475*44/12</f>
        <v>1.514691540413509E-25</v>
      </c>
      <c r="AC198" s="24">
        <f t="shared" si="163"/>
        <v>2.0059185443848215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1.1368683772161603E-13</v>
      </c>
      <c r="AJ198" s="14">
        <f>AI198*VLOOKUP('Données projet'!$B$10,Paramètres!$A$1:$I$89,3,0)*VLOOKUP('Données projet'!$B$10,Paramètres!$A$1:$I$89,5,0)</f>
        <v>5.3205440053716299E-14</v>
      </c>
      <c r="AK198" s="14">
        <f t="shared" si="164"/>
        <v>8.602146238565607E-13</v>
      </c>
      <c r="AL198" s="22">
        <f t="shared" si="165"/>
        <v>1.590873277977066E-12</v>
      </c>
      <c r="AM198" s="62">
        <f t="shared" si="193"/>
        <v>293.33333333333491</v>
      </c>
      <c r="AN198" s="62">
        <f ca="1">AVERAGE(OFFSET($AM$3,0,0,'Données projet'!$E$10+1,1))-AVERAGE(OFFSET($H$3,0,0,'Données projet'!$E$10+1,1))</f>
        <v>259.74478933784656</v>
      </c>
      <c r="AO198" s="62">
        <f t="shared" si="205"/>
        <v>223.74038909289646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80.044039344639373</v>
      </c>
      <c r="T199" s="62">
        <f t="shared" si="204"/>
        <v>373.57883793591537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1.7847691949134348</v>
      </c>
      <c r="AA199" s="23">
        <f>EXP(-LN(2)/25)*AA198+(1-EXP(-LN(2)/25))/(LN(2)/25)*Calculateur!V199*Calculateur!X199*VLOOKUP('Données projet'!$B$9,Paramètres!$A$1:$I$89,3,0)*0.475*44/12</f>
        <v>0.18037992323371299</v>
      </c>
      <c r="AB199" s="23">
        <f>EXP(-LN(2)/2)*AB198+(1-EXP(-LN(2)/2))/(LN(2)/2)*V199*Y199*VLOOKUP('Données projet'!$B$9,Paramètres!$A$1:$I$89,3,0)*0.475*44/12</f>
        <v>1.0710486596322897E-25</v>
      </c>
      <c r="AC199" s="24">
        <f t="shared" si="163"/>
        <v>1.9651491181471479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1.1368683772161603E-13</v>
      </c>
      <c r="AJ199" s="14">
        <f>AI199*VLOOKUP('Données projet'!$B$10,Paramètres!$A$1:$I$89,3,0)*VLOOKUP('Données projet'!$B$10,Paramètres!$A$1:$I$89,5,0)</f>
        <v>5.3205440053716299E-14</v>
      </c>
      <c r="AK199" s="14">
        <f t="shared" si="164"/>
        <v>8.602146238565607E-13</v>
      </c>
      <c r="AL199" s="22">
        <f t="shared" si="165"/>
        <v>1.590873277977066E-12</v>
      </c>
      <c r="AM199" s="62">
        <f t="shared" si="193"/>
        <v>293.33333333333491</v>
      </c>
      <c r="AN199" s="62">
        <f ca="1">AVERAGE(OFFSET($AM$3,0,0,'Données projet'!$E$10+1,1))-AVERAGE(OFFSET($H$3,0,0,'Données projet'!$E$10+1,1))</f>
        <v>259.74478933784656</v>
      </c>
      <c r="AO199" s="62">
        <f t="shared" si="205"/>
        <v>223.74038909289646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80.044039344639373</v>
      </c>
      <c r="T200" s="62">
        <f t="shared" si="204"/>
        <v>373.57883793591537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1.7497709596029007</v>
      </c>
      <c r="AA200" s="23">
        <f>EXP(-LN(2)/25)*AA199+(1-EXP(-LN(2)/25))/(LN(2)/25)*Calculateur!V200*Calculateur!X200*VLOOKUP('Données projet'!$B$9,Paramètres!$A$1:$I$89,3,0)*0.475*44/12</f>
        <v>0.17544742474711922</v>
      </c>
      <c r="AB200" s="23">
        <f>EXP(-LN(2)/2)*AB199+(1-EXP(-LN(2)/2))/(LN(2)/2)*V200*Y200*VLOOKUP('Données projet'!$B$9,Paramètres!$A$1:$I$89,3,0)*0.475*44/12</f>
        <v>7.5734577020675452E-26</v>
      </c>
      <c r="AC200" s="24">
        <f t="shared" si="163"/>
        <v>1.9252183843500199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1.1368683772161603E-13</v>
      </c>
      <c r="AJ200" s="14">
        <f>AI200*VLOOKUP('Données projet'!$B$10,Paramètres!$A$1:$I$89,3,0)*VLOOKUP('Données projet'!$B$10,Paramètres!$A$1:$I$89,5,0)</f>
        <v>5.3205440053716299E-14</v>
      </c>
      <c r="AK200" s="14">
        <f t="shared" si="164"/>
        <v>8.602146238565607E-13</v>
      </c>
      <c r="AL200" s="22">
        <f t="shared" si="165"/>
        <v>1.590873277977066E-12</v>
      </c>
      <c r="AM200" s="62">
        <f t="shared" si="193"/>
        <v>293.33333333333491</v>
      </c>
      <c r="AN200" s="62">
        <f ca="1">AVERAGE(OFFSET($AM$3,0,0,'Données projet'!$E$10+1,1))-AVERAGE(OFFSET($H$3,0,0,'Données projet'!$E$10+1,1))</f>
        <v>259.74478933784656</v>
      </c>
      <c r="AO200" s="62">
        <f t="shared" si="205"/>
        <v>223.74038909289646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80.044039344639373</v>
      </c>
      <c r="T201" s="62">
        <f t="shared" si="204"/>
        <v>373.57883793591537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1.7154590183399905</v>
      </c>
      <c r="AA201" s="23">
        <f>EXP(-LN(2)/25)*AA200+(1-EXP(-LN(2)/25))/(LN(2)/25)*Calculateur!V201*Calculateur!X201*VLOOKUP('Données projet'!$B$9,Paramètres!$A$1:$I$89,3,0)*0.475*44/12</f>
        <v>0.17064980569103017</v>
      </c>
      <c r="AB201" s="23">
        <f>EXP(-LN(2)/2)*AB200+(1-EXP(-LN(2)/2))/(LN(2)/2)*V201*Y201*VLOOKUP('Données projet'!$B$9,Paramètres!$A$1:$I$89,3,0)*0.475*44/12</f>
        <v>5.3552432981614486E-26</v>
      </c>
      <c r="AC201" s="24">
        <f t="shared" si="163"/>
        <v>1.8861088240310206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1.1368683772161603E-13</v>
      </c>
      <c r="AJ201" s="14">
        <f>AI201*VLOOKUP('Données projet'!$B$10,Paramètres!$A$1:$I$89,3,0)*VLOOKUP('Données projet'!$B$10,Paramètres!$A$1:$I$89,5,0)</f>
        <v>5.3205440053716299E-14</v>
      </c>
      <c r="AK201" s="14">
        <f t="shared" si="164"/>
        <v>8.602146238565607E-13</v>
      </c>
      <c r="AL201" s="22">
        <f t="shared" si="165"/>
        <v>1.590873277977066E-12</v>
      </c>
      <c r="AM201" s="62">
        <f t="shared" si="193"/>
        <v>293.33333333333491</v>
      </c>
      <c r="AN201" s="62">
        <f ca="1">AVERAGE(OFFSET($AM$3,0,0,'Données projet'!$E$10+1,1))-AVERAGE(OFFSET($H$3,0,0,'Données projet'!$E$10+1,1))</f>
        <v>259.74478933784656</v>
      </c>
      <c r="AO201" s="62">
        <f t="shared" si="205"/>
        <v>223.74038909289646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80.044039344639373</v>
      </c>
      <c r="T202" s="62">
        <f t="shared" si="204"/>
        <v>373.57883793591537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1.6818199133170282</v>
      </c>
      <c r="AA202" s="23">
        <f>EXP(-LN(2)/25)*AA201+(1-EXP(-LN(2)/25))/(LN(2)/25)*Calculateur!V202*Calculateur!X202*VLOOKUP('Données projet'!$B$9,Paramètres!$A$1:$I$89,3,0)*0.475*44/12</f>
        <v>0.16598337778032568</v>
      </c>
      <c r="AB202" s="23">
        <f>EXP(-LN(2)/2)*AB201+(1-EXP(-LN(2)/2))/(LN(2)/2)*V202*Y202*VLOOKUP('Données projet'!$B$9,Paramètres!$A$1:$I$89,3,0)*0.475*44/12</f>
        <v>3.7867288510337726E-26</v>
      </c>
      <c r="AC202" s="24">
        <f t="shared" si="163"/>
        <v>1.8478032910973539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1.1368683772161603E-13</v>
      </c>
      <c r="AJ202" s="14">
        <f>AI202*VLOOKUP('Données projet'!$B$10,Paramètres!$A$1:$I$89,3,0)*VLOOKUP('Données projet'!$B$10,Paramètres!$A$1:$I$89,5,0)</f>
        <v>5.3205440053716299E-14</v>
      </c>
      <c r="AK202" s="14">
        <f t="shared" si="164"/>
        <v>8.602146238565607E-13</v>
      </c>
      <c r="AL202" s="22">
        <f t="shared" si="165"/>
        <v>1.590873277977066E-12</v>
      </c>
      <c r="AM202" s="62">
        <f t="shared" si="193"/>
        <v>293.33333333333491</v>
      </c>
      <c r="AN202" s="62">
        <f ca="1">AVERAGE(OFFSET($AM$3,0,0,'Données projet'!$E$10+1,1))-AVERAGE(OFFSET($H$3,0,0,'Données projet'!$E$10+1,1))</f>
        <v>259.74478933784656</v>
      </c>
      <c r="AO202" s="62">
        <f t="shared" si="205"/>
        <v>223.74038909289646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80.044039344639373</v>
      </c>
      <c r="T203" s="62">
        <f t="shared" si="204"/>
        <v>373.57883793591537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1.6488404506257381</v>
      </c>
      <c r="AA203" s="23">
        <f>EXP(-LN(2)/25)*AA202+(1-EXP(-LN(2)/25))/(LN(2)/25)*Calculateur!V203*Calculateur!X203*VLOOKUP('Données projet'!$B$9,Paramètres!$A$1:$I$89,3,0)*0.475*44/12</f>
        <v>0.16144455358623619</v>
      </c>
      <c r="AB203" s="23">
        <f>EXP(-LN(2)/2)*AB202+(1-EXP(-LN(2)/2))/(LN(2)/2)*V203*Y203*VLOOKUP('Données projet'!$B$9,Paramètres!$A$1:$I$89,3,0)*0.475*44/12</f>
        <v>2.6776216490807243E-26</v>
      </c>
      <c r="AC203" s="24">
        <f t="shared" si="163"/>
        <v>1.8102850042119742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1.1368683772161603E-13</v>
      </c>
      <c r="AJ203" s="14">
        <f>AI203*VLOOKUP('Données projet'!$B$10,Paramètres!$A$1:$I$89,3,0)*VLOOKUP('Données projet'!$B$10,Paramètres!$A$1:$I$89,5,0)</f>
        <v>5.3205440053716299E-14</v>
      </c>
      <c r="AK203" s="14">
        <f t="shared" si="164"/>
        <v>8.602146238565607E-13</v>
      </c>
      <c r="AL203" s="22">
        <f t="shared" si="165"/>
        <v>1.590873277977066E-12</v>
      </c>
      <c r="AM203" s="62">
        <f t="shared" si="193"/>
        <v>293.33333333333491</v>
      </c>
      <c r="AN203" s="62">
        <f ca="1">AVERAGE(OFFSET($AM$3,0,0,'Données projet'!$E$10+1,1))-AVERAGE(OFFSET($H$3,0,0,'Données projet'!$E$10+1,1))</f>
        <v>259.74478933784656</v>
      </c>
      <c r="AO203" s="62">
        <f t="shared" si="205"/>
        <v>223.74038909289646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1.3330501325384438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1.2677537154322802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workbookViewId="0">
      <selection activeCell="O19" sqref="O19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Peuplier Koster</v>
      </c>
      <c r="B6" s="155">
        <f>'Données projet'!D9</f>
        <v>0.50400000000000011</v>
      </c>
      <c r="C6" s="156">
        <f ca="1">IF(OR('Données projet'!B9="",'Données projet'!C9="",'Données projet'!C9=0%),0,Calculateur!S3)</f>
        <v>80.044039344639373</v>
      </c>
      <c r="D6" s="156">
        <f>IF(OR('Données projet'!B9="",'Données projet'!C9="",'Données projet'!C9=0%),0,Calculateur!T3)</f>
        <v>373.57883793591537</v>
      </c>
      <c r="E6" s="156">
        <f ca="1">MIN(C6,D6)</f>
        <v>80.044039344639373</v>
      </c>
      <c r="F6" s="156">
        <f ca="1">E6*B6</f>
        <v>40.342195829698255</v>
      </c>
      <c r="G6" s="156">
        <f ca="1">F6*(100%-'Données projet'!$C$24)*(100%-'Données projet'!$C$25)*(100%-'Données projet'!$C$26)*(100%-'Données projet'!$C$27)</f>
        <v>34.492577434392004</v>
      </c>
      <c r="H6" s="157">
        <f>IF(OR('Données projet'!B9="",'Données projet'!C9="",'Données projet'!C9=0%),0,AVERAGE(Calculateur!$AC$3:$AC$33)*B6)</f>
        <v>14.963770812277316</v>
      </c>
      <c r="I6" s="158">
        <f>H6*(100%-'Données projet'!$C$24)*(100%-'Données projet'!$C$25)*(100%-'Données projet'!$C$26)*(100%-'Données projet'!$C$27)</f>
        <v>12.794024044497105</v>
      </c>
      <c r="J6" s="159">
        <f>IF(OR('Données projet'!B9="",'Données projet'!C9="",'Données projet'!C9=0%),0,SUM(Calculateur!$V$3:$V$33)*VLOOKUP('Données projet'!$B$9,Paramètres!$A$1:$I$89,9,0)*B6)</f>
        <v>163.00368000000003</v>
      </c>
      <c r="K6" s="160">
        <f>J6*(100%-'Données projet'!$C$24)*(100%-'Données projet'!$C$25)*(100%-'Données projet'!$C$26)*(100%-'Données projet'!$C$27)</f>
        <v>139.36814640000003</v>
      </c>
      <c r="L6" s="161">
        <f ca="1">G6+I6+K6</f>
        <v>186.65474787888914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Cèdre de l'Atlas</v>
      </c>
      <c r="B7" s="163">
        <f>'Données projet'!D10</f>
        <v>1.296</v>
      </c>
      <c r="C7" s="156">
        <f ca="1">IF(OR('Données projet'!B10="",'Données projet'!C10="",'Données projet'!C10=0%),0,Calculateur!AN3)</f>
        <v>259.74478933784656</v>
      </c>
      <c r="D7" s="156">
        <f>IF(OR('Données projet'!B10="",'Données projet'!C10="",'Données projet'!C10=0%),0,Calculateur!AO3)</f>
        <v>223.74038909289646</v>
      </c>
      <c r="E7" s="156">
        <f t="shared" ref="E7:E15" ca="1" si="0">MIN(C7,D7)</f>
        <v>223.74038909289646</v>
      </c>
      <c r="F7" s="156">
        <f t="shared" ref="F7:F15" ca="1" si="1">E7*B7</f>
        <v>289.96754426439384</v>
      </c>
      <c r="G7" s="156">
        <f ca="1">F7*(100%-'Données projet'!$C$24)*(100%-'Données projet'!$C$25)*(100%-'Données projet'!$C$26)*(100%-'Données projet'!$C$27)</f>
        <v>247.9222503460567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ca="1" si="2">G7+I7+K7</f>
        <v>247.9222503460567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330.30974009409209</v>
      </c>
      <c r="G16" s="175">
        <f t="shared" ca="1" si="3"/>
        <v>282.41482778044872</v>
      </c>
      <c r="H16" s="176">
        <f t="shared" si="3"/>
        <v>14.963770812277316</v>
      </c>
      <c r="I16" s="176">
        <f t="shared" si="3"/>
        <v>12.794024044497105</v>
      </c>
      <c r="J16" s="177">
        <f t="shared" si="3"/>
        <v>163.00368000000003</v>
      </c>
      <c r="K16" s="177">
        <f t="shared" si="3"/>
        <v>139.36814640000003</v>
      </c>
      <c r="L16" s="178">
        <f t="shared" ca="1" si="3"/>
        <v>434.57699822494584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Peuplier Koster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Cèdre de l'Atlas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E7" zoomScale="90" zoomScaleNormal="90" workbookViewId="0">
      <selection activeCell="S31" sqref="S31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Peuplier Koster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1455.9357382287862</v>
      </c>
      <c r="U10" s="190">
        <f>'Données projet'!D9</f>
        <v>0.50400000000000011</v>
      </c>
      <c r="V10" s="189">
        <f>U10*T10</f>
        <v>733.79161206730839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Cèdre de l'Atlas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-3483.7244896839261</v>
      </c>
      <c r="U11" s="190">
        <f>'Données projet'!D10</f>
        <v>1.296</v>
      </c>
      <c r="V11" s="189">
        <f t="shared" ref="V11" si="0">U11*T11</f>
        <v>-4514.9069386303681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Peuplier Koster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>
        <v>2450</v>
      </c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>
        <v>0</v>
      </c>
      <c r="I20" s="204">
        <v>3745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615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2</v>
      </c>
      <c r="I22" s="204">
        <v>615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20</v>
      </c>
      <c r="B23" s="193">
        <f>'Données projet'!D36</f>
        <v>314</v>
      </c>
      <c r="C23" s="206">
        <v>30</v>
      </c>
      <c r="D23" s="194">
        <f>B23*C23</f>
        <v>9420</v>
      </c>
      <c r="E23" s="206"/>
      <c r="F23" s="261"/>
      <c r="H23" s="203">
        <v>3</v>
      </c>
      <c r="I23" s="204">
        <v>140</v>
      </c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-13027.302728930837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0</v>
      </c>
      <c r="B24" s="193">
        <f>'Données projet'!D37</f>
        <v>0</v>
      </c>
      <c r="C24" s="206"/>
      <c r="D24" s="194">
        <f t="shared" ref="D24:D42" si="2">B24*C24</f>
        <v>0</v>
      </c>
      <c r="E24" s="206"/>
      <c r="F24" s="264"/>
      <c r="H24" s="203">
        <v>4</v>
      </c>
      <c r="I24" s="204">
        <v>140</v>
      </c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0</v>
      </c>
      <c r="B25" s="193">
        <f>'Données projet'!D38</f>
        <v>0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36">
        <f ca="1">T23-T24</f>
        <v>-13027.302728930837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0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est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Cèdre de l'Atlas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>
        <v>4030</v>
      </c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20</v>
      </c>
      <c r="B54" s="193">
        <f>'Données projet'!D62</f>
        <v>0</v>
      </c>
      <c r="C54" s="204">
        <v>15</v>
      </c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 t="str">
        <f>IF(O53+1&lt;=MIN('Données projet'!$E$9:$E$18),O53+1,"STOP")</f>
        <v>STOP</v>
      </c>
      <c r="P54" s="197" t="e">
        <f t="shared" si="3"/>
        <v>#VALUE!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30</v>
      </c>
      <c r="B55" s="193">
        <f>'Données projet'!D63</f>
        <v>0</v>
      </c>
      <c r="C55" s="204">
        <v>35</v>
      </c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 t="e">
        <f>IF(O54+1&lt;=MIN('Données projet'!$E$9:$E$18),O54+1,"STOP")</f>
        <v>#VALUE!</v>
      </c>
      <c r="P55" s="197" t="e">
        <f t="shared" si="3"/>
        <v>#VALUE!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40</v>
      </c>
      <c r="B56" s="193">
        <f>'Données projet'!D64</f>
        <v>63</v>
      </c>
      <c r="C56" s="204">
        <v>35</v>
      </c>
      <c r="D56" s="191">
        <f t="shared" si="4"/>
        <v>2205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 t="e">
        <f>IF(O55+1&lt;=MIN('Données projet'!$E$9:$E$18),O55+1,"STOP")</f>
        <v>#VALUE!</v>
      </c>
      <c r="P56" s="197" t="e">
        <f t="shared" si="3"/>
        <v>#VALUE!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50</v>
      </c>
      <c r="B57" s="193">
        <f>'Données projet'!D65</f>
        <v>0</v>
      </c>
      <c r="C57" s="204">
        <v>35</v>
      </c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 t="e">
        <f>IF(O56+1&lt;=MIN('Données projet'!$E$9:$E$18),O56+1,"STOP")</f>
        <v>#VALUE!</v>
      </c>
      <c r="P57" s="197" t="e">
        <f t="shared" si="3"/>
        <v>#VALUE!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60</v>
      </c>
      <c r="B58" s="193">
        <f>'Données projet'!D66</f>
        <v>67</v>
      </c>
      <c r="C58" s="204">
        <v>35</v>
      </c>
      <c r="D58" s="191">
        <f t="shared" si="4"/>
        <v>2345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 t="e">
        <f>IF(O57+1&lt;=MIN('Données projet'!$E$9:$E$18),O57+1,"STOP")</f>
        <v>#VALUE!</v>
      </c>
      <c r="P58" s="197" t="e">
        <f t="shared" si="3"/>
        <v>#VALUE!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70</v>
      </c>
      <c r="B59" s="193">
        <f>'Données projet'!D67</f>
        <v>69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 t="e">
        <f>IF(O58+1&lt;=MIN('Données projet'!$E$9:$E$18),O58+1,"STOP")</f>
        <v>#VALUE!</v>
      </c>
      <c r="P59" s="197" t="e">
        <f t="shared" si="3"/>
        <v>#VALUE!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80</v>
      </c>
      <c r="B60" s="193">
        <f>'Données projet'!D68</f>
        <v>71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 t="e">
        <f>IF(O59+1&lt;=MIN('Données projet'!$E$9:$E$18),O59+1,"STOP")</f>
        <v>#VALUE!</v>
      </c>
      <c r="P60" s="197" t="e">
        <f t="shared" si="3"/>
        <v>#VALUE!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90</v>
      </c>
      <c r="B61" s="193">
        <f>'Données projet'!D69</f>
        <v>73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 t="e">
        <f>IF(O60+1&lt;=MIN('Données projet'!$E$9:$E$18),O60+1,"STOP")</f>
        <v>#VALUE!</v>
      </c>
      <c r="P61" s="197" t="e">
        <f t="shared" si="3"/>
        <v>#VALUE!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100</v>
      </c>
      <c r="B62" s="193">
        <f>'Données projet'!D70</f>
        <v>375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 t="e">
        <f>IF(O61+1&lt;=MIN('Données projet'!$E$9:$E$18),O61+1,"STOP")</f>
        <v>#VALUE!</v>
      </c>
      <c r="P62" s="197" t="e">
        <f t="shared" si="3"/>
        <v>#VALUE!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 t="e">
        <f>IF(O62+1&lt;=MIN('Données projet'!$E$9:$E$18),O62+1,"STOP")</f>
        <v>#VALUE!</v>
      </c>
      <c r="P63" s="197" t="e">
        <f t="shared" si="3"/>
        <v>#VALUE!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e">
        <f>IF(O63+1&lt;=MIN('Données projet'!$E$9:$E$18),O63+1,"STOP")</f>
        <v>#VALUE!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TABORSKI Paul</cp:lastModifiedBy>
  <dcterms:created xsi:type="dcterms:W3CDTF">2021-02-01T08:22:39Z</dcterms:created>
  <dcterms:modified xsi:type="dcterms:W3CDTF">2023-01-02T08:19:30Z</dcterms:modified>
</cp:coreProperties>
</file>