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Albret-Garonne\AILLAS (33) - SARRAZIN H\Doc fin\"/>
    </mc:Choice>
  </mc:AlternateContent>
  <xr:revisionPtr revIDLastSave="0" documentId="13_ncr:1_{1DFFD3FD-B764-40D2-B9D3-5E118DCB9E39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66" i="2" a="1"/>
  <c r="AH166" i="2" s="1"/>
  <c r="AH90" i="2" a="1"/>
  <c r="AH90" i="2" s="1"/>
  <c r="AH151" i="2" a="1"/>
  <c r="AH151" i="2" s="1"/>
  <c r="AH62" i="2" a="1"/>
  <c r="AH62" i="2" s="1"/>
  <c r="AH163" i="2" a="1"/>
  <c r="AH163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<sst xmlns="http://schemas.openxmlformats.org/spreadsheetml/2006/main" count="1171" uniqueCount="324">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</sst>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2.7937677090506927</c:v>
                </c:pt>
                <c:pt idx="2">
                  <c:v>3.494630676602434</c:v>
                </c:pt>
                <c:pt idx="3">
                  <c:v>4.3719965840625639</c:v>
                </c:pt>
                <c:pt idx="4">
                  <c:v>5.4704766677833838</c:v>
                </c:pt>
                <c:pt idx="5">
                  <c:v>6.8459958247924684</c:v>
                </c:pt>
                <c:pt idx="6">
                  <c:v>8.5686708048285141</c:v>
                </c:pt>
                <c:pt idx="7">
                  <c:v>10.726422722638716</c:v>
                </c:pt>
                <c:pt idx="8">
                  <c:v>13.429511733043208</c:v>
                </c:pt>
                <c:pt idx="9">
                  <c:v>16.81622987742189</c:v>
                </c:pt>
                <c:pt idx="10">
                  <c:v>21.060048653888444</c:v>
                </c:pt>
                <c:pt idx="11">
                  <c:v>26.378593971397137</c:v>
                </c:pt>
                <c:pt idx="12">
                  <c:v>33.044916829290678</c:v>
                </c:pt>
                <c:pt idx="13">
                  <c:v>41.401648361600742</c:v>
                </c:pt>
                <c:pt idx="14">
                  <c:v>51.87877914465313</c:v>
                </c:pt>
                <c:pt idx="15">
                  <c:v>65.015992870184718</c:v>
                </c:pt>
                <c:pt idx="16">
                  <c:v>81.490723678847203</c:v>
                </c:pt>
                <c:pt idx="17">
                  <c:v>102.15340727004774</c:v>
                </c:pt>
                <c:pt idx="18">
                  <c:v>128.07177425900235</c:v>
                </c:pt>
                <c:pt idx="19">
                  <c:v>160.58651015726517</c:v>
                </c:pt>
                <c:pt idx="20">
                  <c:v>201.38120500067484</c:v>
                </c:pt>
                <c:pt idx="21">
                  <c:v>160.8744598001081</c:v>
                </c:pt>
                <c:pt idx="22">
                  <c:v>180.96513721023075</c:v>
                </c:pt>
                <c:pt idx="23">
                  <c:v>201.00358266422018</c:v>
                </c:pt>
                <c:pt idx="24">
                  <c:v>220.99573745004466</c:v>
                </c:pt>
                <c:pt idx="25">
                  <c:v>240.94637860003544</c:v>
                </c:pt>
                <c:pt idx="26">
                  <c:v>201.38120500067475</c:v>
                </c:pt>
                <c:pt idx="27">
                  <c:v>220.24209728386404</c:v>
                </c:pt>
                <c:pt idx="28">
                  <c:v>239.06590436046736</c:v>
                </c:pt>
                <c:pt idx="29">
                  <c:v>257.85595699105767</c:v>
                </c:pt>
                <c:pt idx="30">
                  <c:v>276.61506059958816</c:v>
                </c:pt>
                <c:pt idx="31">
                  <c:v>235.6801991417741</c:v>
                </c:pt>
                <c:pt idx="32">
                  <c:v>252.97362594481319</c:v>
                </c:pt>
                <c:pt idx="33">
                  <c:v>270.24028170556272</c:v>
                </c:pt>
                <c:pt idx="34">
                  <c:v>287.48211750444796</c:v>
                </c:pt>
                <c:pt idx="35">
                  <c:v>304.70083122716056</c:v>
                </c:pt>
                <c:pt idx="36">
                  <c:v>263.86211541012477</c:v>
                </c:pt>
                <c:pt idx="37">
                  <c:v>279.23900597474034</c:v>
                </c:pt>
                <c:pt idx="38">
                  <c:v>294.59690838804539</c:v>
                </c:pt>
                <c:pt idx="39">
                  <c:v>309.93695192564923</c:v>
                </c:pt>
                <c:pt idx="40">
                  <c:v>325.26014493454295</c:v>
                </c:pt>
                <c:pt idx="41">
                  <c:v>287.107546598586</c:v>
                </c:pt>
                <c:pt idx="42">
                  <c:v>301.33369868276117</c:v>
                </c:pt>
                <c:pt idx="43">
                  <c:v>315.5449029690518</c:v>
                </c:pt>
                <c:pt idx="44">
                  <c:v>329.74192753151533</c:v>
                </c:pt>
                <c:pt idx="45">
                  <c:v>343.92546889640693</c:v>
                </c:pt>
                <c:pt idx="46">
                  <c:v>307.6931428899108</c:v>
                </c:pt>
                <c:pt idx="47">
                  <c:v>320.02967142824974</c:v>
                </c:pt>
                <c:pt idx="48">
                  <c:v>332.35567865620197</c:v>
                </c:pt>
                <c:pt idx="49">
                  <c:v>344.67160985755453</c:v>
                </c:pt>
                <c:pt idx="50">
                  <c:v>356.97787588797092</c:v>
                </c:pt>
                <c:pt idx="51">
                  <c:v>323.76591506204585</c:v>
                </c:pt>
                <c:pt idx="52">
                  <c:v>335.34226803283201</c:v>
                </c:pt>
                <c:pt idx="53">
                  <c:v>346.90982014061501</c:v>
                </c:pt>
                <c:pt idx="54">
                  <c:v>358.46890629665069</c:v>
                </c:pt>
                <c:pt idx="55">
                  <c:v>370.01983804377818</c:v>
                </c:pt>
                <c:pt idx="56">
                  <c:v>340.56739298972877</c:v>
                </c:pt>
                <c:pt idx="57">
                  <c:v>350.266541780946</c:v>
                </c:pt>
                <c:pt idx="58">
                  <c:v>359.95980096859495</c:v>
                </c:pt>
                <c:pt idx="59">
                  <c:v>369.64735159591118</c:v>
                </c:pt>
                <c:pt idx="60">
                  <c:v>379.32936443758189</c:v>
                </c:pt>
                <c:pt idx="61">
                  <c:v>352.50396372745234</c:v>
                </c:pt>
                <c:pt idx="62">
                  <c:v>361.07788328211944</c:v>
                </c:pt>
                <c:pt idx="63">
                  <c:v>369.64735159591118</c:v>
                </c:pt>
                <c:pt idx="64">
                  <c:v>378.21248648031298</c:v>
                </c:pt>
                <c:pt idx="65">
                  <c:v>386.77339997206644</c:v>
                </c:pt>
                <c:pt idx="66">
                  <c:v>362.56854195764731</c:v>
                </c:pt>
                <c:pt idx="67">
                  <c:v>370.01983804377795</c:v>
                </c:pt>
                <c:pt idx="68">
                  <c:v>377.46786129485963</c:v>
                </c:pt>
                <c:pt idx="69">
                  <c:v>384.91268544829768</c:v>
                </c:pt>
                <c:pt idx="70">
                  <c:v>392.35438115419657</c:v>
                </c:pt>
                <c:pt idx="71">
                  <c:v>371.13724833655573</c:v>
                </c:pt>
                <c:pt idx="72">
                  <c:v>377.84017788163356</c:v>
                </c:pt>
                <c:pt idx="73">
                  <c:v>384.54051911648162</c:v>
                </c:pt>
                <c:pt idx="74">
                  <c:v>391.23832354179768</c:v>
                </c:pt>
                <c:pt idx="75">
                  <c:v>397.9336407495843</c:v>
                </c:pt>
                <c:pt idx="76">
                  <c:v>379.32936443758177</c:v>
                </c:pt>
                <c:pt idx="77">
                  <c:v>384.91268544829762</c:v>
                </c:pt>
                <c:pt idx="78">
                  <c:v>390.49424676672407</c:v>
                </c:pt>
                <c:pt idx="79">
                  <c:v>396.07407711953414</c:v>
                </c:pt>
                <c:pt idx="80">
                  <c:v>401.65220435716293</c:v>
                </c:pt>
                <c:pt idx="81">
                  <c:v>386.02913755516988</c:v>
                </c:pt>
                <c:pt idx="82">
                  <c:v>390.86628899650458</c:v>
                </c:pt>
                <c:pt idx="83">
                  <c:v>395.7021417186657</c:v>
                </c:pt>
                <c:pt idx="84">
                  <c:v>400.53671385046977</c:v>
                </c:pt>
                <c:pt idx="85">
                  <c:v>405.37002304691168</c:v>
                </c:pt>
                <c:pt idx="86">
                  <c:v>391.23832354179763</c:v>
                </c:pt>
                <c:pt idx="87">
                  <c:v>395.7021417186657</c:v>
                </c:pt>
                <c:pt idx="88">
                  <c:v>400.16486874659608</c:v>
                </c:pt>
                <c:pt idx="89">
                  <c:v>404.62651852552455</c:v>
                </c:pt>
                <c:pt idx="90">
                  <c:v>409.08710462349262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9" zoomScale="90" zoomScaleNormal="90" workbookViewId="0">
      <selection activeCell="E79" sqref="E7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9.27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0.96</v>
      </c>
      <c r="D9" s="36">
        <f t="shared" ref="D9:D18" si="0">C9*$C$5</f>
        <v>8.8991999999999987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</v>
      </c>
      <c r="C10" s="35">
        <v>0.04</v>
      </c>
      <c r="D10" s="36">
        <f t="shared" si="0"/>
        <v>0.37079999999999996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9.2699999999999978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>
        <v>0</v>
      </c>
      <c r="F36" s="54">
        <v>0</v>
      </c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0.5</v>
      </c>
      <c r="F37" s="54"/>
      <c r="G37" s="54">
        <v>0.5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0.75</v>
      </c>
      <c r="F38" s="54"/>
      <c r="G38" s="54">
        <v>0.25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0.75</v>
      </c>
      <c r="F39" s="54"/>
      <c r="G39" s="54">
        <v>0.25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104</v>
      </c>
      <c r="C62" s="63">
        <v>1</v>
      </c>
      <c r="D62" s="63">
        <v>32</v>
      </c>
      <c r="E62" s="54"/>
      <c r="F62" s="54"/>
      <c r="G62" s="54">
        <v>1</v>
      </c>
      <c r="H62" s="54"/>
      <c r="I62" s="56">
        <f>IFERROR(B62/A62,"")</f>
        <v>5.2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125</v>
      </c>
      <c r="C63" s="63">
        <v>2</v>
      </c>
      <c r="D63" s="63">
        <v>31</v>
      </c>
      <c r="E63" s="54"/>
      <c r="F63" s="54">
        <v>0.5</v>
      </c>
      <c r="G63" s="54">
        <v>0.5</v>
      </c>
      <c r="H63" s="54"/>
      <c r="I63" s="52">
        <f>IF(A63&lt;&gt;0,(B63-(B62-D62))/(A63-A62),"")</f>
        <v>10.6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144</v>
      </c>
      <c r="C64" s="63">
        <v>3</v>
      </c>
      <c r="D64" s="63">
        <v>31</v>
      </c>
      <c r="E64" s="54"/>
      <c r="F64" s="54">
        <v>0.5</v>
      </c>
      <c r="G64" s="54">
        <v>0.5</v>
      </c>
      <c r="H64" s="5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159</v>
      </c>
      <c r="C65" s="63">
        <v>4</v>
      </c>
      <c r="D65" s="63">
        <v>30</v>
      </c>
      <c r="E65" s="54"/>
      <c r="F65" s="54">
        <v>0.5</v>
      </c>
      <c r="G65" s="54">
        <v>0.5</v>
      </c>
      <c r="H65" s="54"/>
      <c r="I65" s="52">
        <f>IF(A65&lt;&gt;0,(B65-(B64-D64))/(A65-A64),"")</f>
        <v>9.1999999999999993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170</v>
      </c>
      <c r="C66" s="63">
        <v>5</v>
      </c>
      <c r="D66" s="63">
        <v>28</v>
      </c>
      <c r="E66" s="54"/>
      <c r="F66" s="54">
        <v>0.5</v>
      </c>
      <c r="G66" s="54">
        <v>0.5</v>
      </c>
      <c r="H66" s="54"/>
      <c r="I66" s="52">
        <f t="shared" ref="I66:I81" si="2">IF(A66&lt;&gt;0,(B66-(B65-D65))/(A66-A65),"")</f>
        <v>8.1999999999999993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180</v>
      </c>
      <c r="C67" s="63">
        <v>6</v>
      </c>
      <c r="D67" s="63">
        <v>26</v>
      </c>
      <c r="E67" s="54"/>
      <c r="F67" s="54">
        <v>0.5</v>
      </c>
      <c r="G67" s="54">
        <v>0.5</v>
      </c>
      <c r="H67" s="54"/>
      <c r="I67" s="52">
        <f t="shared" si="2"/>
        <v>7.6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187</v>
      </c>
      <c r="C68" s="63">
        <v>7</v>
      </c>
      <c r="D68" s="63">
        <v>24</v>
      </c>
      <c r="E68" s="54"/>
      <c r="F68" s="54">
        <v>0.5</v>
      </c>
      <c r="G68" s="54">
        <v>0.5</v>
      </c>
      <c r="H68" s="54"/>
      <c r="I68" s="52">
        <f t="shared" si="2"/>
        <v>6.6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194</v>
      </c>
      <c r="C69" s="53">
        <v>8</v>
      </c>
      <c r="D69" s="53">
        <v>21</v>
      </c>
      <c r="E69" s="54"/>
      <c r="F69" s="54">
        <v>0.5</v>
      </c>
      <c r="G69" s="54">
        <v>0.5</v>
      </c>
      <c r="H69" s="54"/>
      <c r="I69" s="52">
        <f t="shared" si="2"/>
        <v>6.2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199</v>
      </c>
      <c r="C70" s="53">
        <v>9</v>
      </c>
      <c r="D70" s="53">
        <v>19</v>
      </c>
      <c r="E70" s="54"/>
      <c r="F70" s="54">
        <v>0.5</v>
      </c>
      <c r="G70" s="54">
        <v>0.5</v>
      </c>
      <c r="H70" s="54"/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203</v>
      </c>
      <c r="C71" s="53">
        <v>10</v>
      </c>
      <c r="D71" s="53">
        <v>17</v>
      </c>
      <c r="E71" s="54"/>
      <c r="F71" s="54">
        <v>0.5</v>
      </c>
      <c r="G71" s="54">
        <v>0.5</v>
      </c>
      <c r="H71" s="54"/>
      <c r="I71" s="52">
        <f t="shared" si="2"/>
        <v>4.5999999999999996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206</v>
      </c>
      <c r="C72" s="53">
        <v>11</v>
      </c>
      <c r="D72" s="53">
        <v>15</v>
      </c>
      <c r="E72" s="54"/>
      <c r="F72" s="54">
        <v>0.5</v>
      </c>
      <c r="G72" s="54">
        <v>0.5</v>
      </c>
      <c r="H72" s="54"/>
      <c r="I72" s="52">
        <f t="shared" si="2"/>
        <v>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209</v>
      </c>
      <c r="C73" s="53">
        <v>12</v>
      </c>
      <c r="D73" s="53">
        <v>13</v>
      </c>
      <c r="E73" s="54"/>
      <c r="F73" s="54">
        <v>0.5</v>
      </c>
      <c r="G73" s="54">
        <v>0.5</v>
      </c>
      <c r="H73" s="54"/>
      <c r="I73" s="52">
        <f t="shared" si="2"/>
        <v>3.6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211</v>
      </c>
      <c r="C74" s="53">
        <v>13</v>
      </c>
      <c r="D74" s="53">
        <v>11</v>
      </c>
      <c r="E74" s="54"/>
      <c r="F74" s="54">
        <v>0.5</v>
      </c>
      <c r="G74" s="54">
        <v>0.5</v>
      </c>
      <c r="H74" s="54"/>
      <c r="I74" s="52">
        <f t="shared" si="2"/>
        <v>3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213</v>
      </c>
      <c r="C75" s="53">
        <v>14</v>
      </c>
      <c r="D75" s="53">
        <v>10</v>
      </c>
      <c r="E75" s="54"/>
      <c r="F75" s="54">
        <v>0.5</v>
      </c>
      <c r="G75" s="54">
        <v>0.5</v>
      </c>
      <c r="H75" s="54"/>
      <c r="I75" s="52">
        <f t="shared" si="2"/>
        <v>2.6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215</v>
      </c>
      <c r="C76" s="53">
        <v>15</v>
      </c>
      <c r="D76" s="53">
        <v>215</v>
      </c>
      <c r="E76" s="54"/>
      <c r="F76" s="54">
        <v>0.5</v>
      </c>
      <c r="G76" s="54">
        <v>0.5</v>
      </c>
      <c r="H76" s="54"/>
      <c r="I76" s="52">
        <f t="shared" si="2"/>
        <v>2.4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4" sqref="C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rouge d'Amérique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298.251705538794</v>
      </c>
      <c r="AO3" s="62">
        <f>IF('Données projet'!E10&gt;30,$AM$33-$H$33,LOOKUP('Données projet'!$E$10,$A$3:$A$203,AM3:AM203)-LOOKUP('Données projet'!$E$10,$A$3:$A$203,$H$3:$H$203))</f>
        <v>313.28172726625479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5.2</v>
      </c>
      <c r="AI4" s="14">
        <f>IF('Données projet'!$A$62&gt;35,AI3+AH4-AQ3,IF(A4&lt;'Données projet'!$A$62,$AF$205^A4,IF(A4='Données projet'!$A$62,'Données projet'!$B$62,AI3+AH4-AQ3)))</f>
        <v>1.2613966317002558</v>
      </c>
      <c r="AJ4" s="14">
        <f>AI4*VLOOKUP('Données projet'!$B$10,Paramètres!$A$1:$I$89,3,0)*VLOOKUP('Données projet'!$B$10,Paramètres!$A$1:$I$89,5,0)</f>
        <v>1.1019560974533436</v>
      </c>
      <c r="AK4" s="14">
        <f>EXP(-1.0587+0.8836*LN(AJ4)+0.284)</f>
        <v>0.5021210560685857</v>
      </c>
      <c r="AL4" s="22">
        <f t="shared" ref="AL4:AL67" si="4">(AJ4+AK4)*0.475*44/12</f>
        <v>2.7937677090506927</v>
      </c>
      <c r="AM4" s="62">
        <f t="shared" ref="AM4:AM67" si="5">AL4+(AD4+AE4)*44/12</f>
        <v>260.68265659793957</v>
      </c>
      <c r="AN4" s="62">
        <f ca="1">AVERAGE(OFFSET($AM$3,0,0,'Données projet'!$E$10+1,1))-AVERAGE(OFFSET($H$3,0,0,'Données projet'!$E$10+1,1))</f>
        <v>298.251705538794</v>
      </c>
      <c r="AO4" s="62">
        <f>$AO$3</f>
        <v>313.28172726625479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5.2</v>
      </c>
      <c r="AI5" s="14">
        <f>IF('Données projet'!$A$62&gt;35,AI4+AH5-AQ4,IF(A5&lt;'Données projet'!$A$62,$AF$205^A5,IF(A5='Données projet'!$A$62,'Données projet'!$B$62,AI4+AH5-AQ4)))</f>
        <v>1.5911214624647509</v>
      </c>
      <c r="AJ5" s="14">
        <f>AI5*VLOOKUP('Données projet'!$B$10,Paramètres!$A$1:$I$89,3,0)*VLOOKUP('Données projet'!$B$10,Paramètres!$A$1:$I$89,5,0)</f>
        <v>1.3900037096092066</v>
      </c>
      <c r="AK5" s="14">
        <f t="shared" ref="AK5:AK68" si="35">EXP(-1.0587+0.8836*LN(AJ5)+0.284)</f>
        <v>0.61648280327257376</v>
      </c>
      <c r="AL5" s="22">
        <f t="shared" si="4"/>
        <v>3.494630676602434</v>
      </c>
      <c r="AM5" s="62">
        <f t="shared" si="5"/>
        <v>262.60574178771355</v>
      </c>
      <c r="AN5" s="62">
        <f ca="1">AVERAGE(OFFSET($AM$3,0,0,'Données projet'!$E$10+1,1))-AVERAGE(OFFSET($H$3,0,0,'Données projet'!$E$10+1,1))</f>
        <v>298.251705538794</v>
      </c>
      <c r="AO5" s="62">
        <f t="shared" ref="AO5:AO68" si="36">$AO$3</f>
        <v>313.28172726625479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5.2</v>
      </c>
      <c r="AI6" s="14">
        <f>IF('Données projet'!$A$62&gt;35,AI5+AH6-AQ5,IF(A6&lt;'Données projet'!$A$62,$AF$205^A6,IF(A6='Données projet'!$A$62,'Données projet'!$B$62,AI5+AH6-AQ5)))</f>
        <v>2.0070352533790219</v>
      </c>
      <c r="AJ6" s="14">
        <f>AI6*VLOOKUP('Données projet'!$B$10,Paramètres!$A$1:$I$89,3,0)*VLOOKUP('Données projet'!$B$10,Paramètres!$A$1:$I$89,5,0)</f>
        <v>1.7533459973519137</v>
      </c>
      <c r="AK6" s="14">
        <f t="shared" si="35"/>
        <v>0.75689127579405635</v>
      </c>
      <c r="AL6" s="22">
        <f t="shared" si="4"/>
        <v>4.3719965840625639</v>
      </c>
      <c r="AM6" s="62">
        <f t="shared" si="5"/>
        <v>264.70532991739589</v>
      </c>
      <c r="AN6" s="62">
        <f ca="1">AVERAGE(OFFSET($AM$3,0,0,'Données projet'!$E$10+1,1))-AVERAGE(OFFSET($H$3,0,0,'Données projet'!$E$10+1,1))</f>
        <v>298.251705538794</v>
      </c>
      <c r="AO6" s="62">
        <f t="shared" si="36"/>
        <v>313.28172726625479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5.2</v>
      </c>
      <c r="AI7" s="14">
        <f>IF('Données projet'!$A$62&gt;35,AI6+AH7-AQ6,IF(A7&lt;'Données projet'!$A$62,$AF$205^A7,IF(A7='Données projet'!$A$62,'Données projet'!$B$62,AI6+AH7-AQ6)))</f>
        <v>2.5316675083159677</v>
      </c>
      <c r="AJ7" s="14">
        <f>AI7*VLOOKUP('Données projet'!$B$10,Paramètres!$A$1:$I$89,3,0)*VLOOKUP('Données projet'!$B$10,Paramètres!$A$1:$I$89,5,0)</f>
        <v>2.2116647352648298</v>
      </c>
      <c r="AK7" s="14">
        <f t="shared" si="35"/>
        <v>0.92927880604620439</v>
      </c>
      <c r="AL7" s="22">
        <f t="shared" si="4"/>
        <v>5.4704766677833838</v>
      </c>
      <c r="AM7" s="62">
        <f t="shared" si="5"/>
        <v>267.02603222333892</v>
      </c>
      <c r="AN7" s="62">
        <f ca="1">AVERAGE(OFFSET($AM$3,0,0,'Données projet'!$E$10+1,1))-AVERAGE(OFFSET($H$3,0,0,'Données projet'!$E$10+1,1))</f>
        <v>298.251705538794</v>
      </c>
      <c r="AO7" s="62">
        <f t="shared" si="36"/>
        <v>313.28172726625479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5.2</v>
      </c>
      <c r="AI8" s="14">
        <f>IF('Données projet'!$A$62&gt;35,AI7+AH8-AQ7,IF(A8&lt;'Données projet'!$A$62,$AF$205^A8,IF(A8='Données projet'!$A$62,'Données projet'!$B$62,AI7+AH8-AQ7)))</f>
        <v>3.1934368675747411</v>
      </c>
      <c r="AJ8" s="14">
        <f>AI8*VLOOKUP('Données projet'!$B$10,Paramètres!$A$1:$I$89,3,0)*VLOOKUP('Données projet'!$B$10,Paramètres!$A$1:$I$89,5,0)</f>
        <v>2.7897864475132943</v>
      </c>
      <c r="AK8" s="14">
        <f t="shared" si="35"/>
        <v>1.1409288585876447</v>
      </c>
      <c r="AL8" s="22">
        <f t="shared" si="4"/>
        <v>6.8459958247924684</v>
      </c>
      <c r="AM8" s="62">
        <f t="shared" si="5"/>
        <v>269.62377360257022</v>
      </c>
      <c r="AN8" s="62">
        <f ca="1">AVERAGE(OFFSET($AM$3,0,0,'Données projet'!$E$10+1,1))-AVERAGE(OFFSET($H$3,0,0,'Données projet'!$E$10+1,1))</f>
        <v>298.251705538794</v>
      </c>
      <c r="AO8" s="62">
        <f t="shared" si="36"/>
        <v>313.28172726625479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5.2</v>
      </c>
      <c r="AI9" s="14">
        <f>IF('Données projet'!$A$62&gt;35,AI8+AH9-AQ8,IF(A9&lt;'Données projet'!$A$62,$AF$205^A9,IF(A9='Données projet'!$A$62,'Données projet'!$B$62,AI8+AH9-AQ8)))</f>
        <v>4.0281905083061949</v>
      </c>
      <c r="AJ9" s="14">
        <f>AI9*VLOOKUP('Données projet'!$B$10,Paramètres!$A$1:$I$89,3,0)*VLOOKUP('Données projet'!$B$10,Paramètres!$A$1:$I$89,5,0)</f>
        <v>3.5190272280562924</v>
      </c>
      <c r="AK9" s="14">
        <f t="shared" si="35"/>
        <v>1.4007837603619935</v>
      </c>
      <c r="AL9" s="22">
        <f t="shared" si="4"/>
        <v>8.5686708048285141</v>
      </c>
      <c r="AM9" s="62">
        <f t="shared" si="5"/>
        <v>272.56867080482851</v>
      </c>
      <c r="AN9" s="62">
        <f ca="1">AVERAGE(OFFSET($AM$3,0,0,'Données projet'!$E$10+1,1))-AVERAGE(OFFSET($H$3,0,0,'Données projet'!$E$10+1,1))</f>
        <v>298.251705538794</v>
      </c>
      <c r="AO9" s="62">
        <f t="shared" si="36"/>
        <v>313.28172726625479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5.2</v>
      </c>
      <c r="AI10" s="14">
        <f>IF('Données projet'!$A$62&gt;35,AI9+AH10-AQ9,IF(A10&lt;'Données projet'!$A$62,$AF$205^A10,IF(A10='Données projet'!$A$62,'Données projet'!$B$62,AI9+AH10-AQ9)))</f>
        <v>5.0811459390243749</v>
      </c>
      <c r="AJ10" s="14">
        <f>AI10*VLOOKUP('Données projet'!$B$10,Paramètres!$A$1:$I$89,3,0)*VLOOKUP('Données projet'!$B$10,Paramètres!$A$1:$I$89,5,0)</f>
        <v>4.4388890923316948</v>
      </c>
      <c r="AK10" s="14">
        <f t="shared" si="35"/>
        <v>1.7198225187527358</v>
      </c>
      <c r="AL10" s="22">
        <f t="shared" si="4"/>
        <v>10.726422722638716</v>
      </c>
      <c r="AM10" s="62">
        <f t="shared" si="5"/>
        <v>275.94864494486092</v>
      </c>
      <c r="AN10" s="62">
        <f ca="1">AVERAGE(OFFSET($AM$3,0,0,'Données projet'!$E$10+1,1))-AVERAGE(OFFSET($H$3,0,0,'Données projet'!$E$10+1,1))</f>
        <v>298.251705538794</v>
      </c>
      <c r="AO10" s="62">
        <f t="shared" si="36"/>
        <v>313.28172726625479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5.2</v>
      </c>
      <c r="AI11" s="14">
        <f>IF('Données projet'!$A$62&gt;35,AI10+AH11-AQ10,IF(A11&lt;'Données projet'!$A$62,$AF$205^A11,IF(A11='Données projet'!$A$62,'Données projet'!$B$62,AI10+AH11-AQ10)))</f>
        <v>6.40934037266278</v>
      </c>
      <c r="AJ11" s="14">
        <f>AI11*VLOOKUP('Données projet'!$B$10,Paramètres!$A$1:$I$89,3,0)*VLOOKUP('Données projet'!$B$10,Paramètres!$A$1:$I$89,5,0)</f>
        <v>5.5991997495582053</v>
      </c>
      <c r="AK11" s="14">
        <f t="shared" si="35"/>
        <v>2.1115246904666036</v>
      </c>
      <c r="AL11" s="22">
        <f t="shared" si="4"/>
        <v>13.429511733043208</v>
      </c>
      <c r="AM11" s="62">
        <f t="shared" si="5"/>
        <v>279.87395617748768</v>
      </c>
      <c r="AN11" s="62">
        <f ca="1">AVERAGE(OFFSET($AM$3,0,0,'Données projet'!$E$10+1,1))-AVERAGE(OFFSET($H$3,0,0,'Données projet'!$E$10+1,1))</f>
        <v>298.251705538794</v>
      </c>
      <c r="AO11" s="62">
        <f t="shared" si="36"/>
        <v>313.28172726625479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5.2</v>
      </c>
      <c r="AI12" s="14">
        <f>IF('Données projet'!$A$62&gt;35,AI11+AH12-AQ11,IF(A12&lt;'Données projet'!$A$62,$AF$205^A12,IF(A12='Données projet'!$A$62,'Données projet'!$B$62,AI11+AH12-AQ11)))</f>
        <v>8.084720357497293</v>
      </c>
      <c r="AJ12" s="14">
        <f>AI12*VLOOKUP('Données projet'!$B$10,Paramètres!$A$1:$I$89,3,0)*VLOOKUP('Données projet'!$B$10,Paramètres!$A$1:$I$89,5,0)</f>
        <v>7.0628117043096363</v>
      </c>
      <c r="AK12" s="14">
        <f t="shared" si="35"/>
        <v>2.5924398999517377</v>
      </c>
      <c r="AL12" s="22">
        <f t="shared" si="4"/>
        <v>16.81622987742189</v>
      </c>
      <c r="AM12" s="62">
        <f t="shared" si="5"/>
        <v>284.48289654408859</v>
      </c>
      <c r="AN12" s="62">
        <f ca="1">AVERAGE(OFFSET($AM$3,0,0,'Données projet'!$E$10+1,1))-AVERAGE(OFFSET($H$3,0,0,'Données projet'!$E$10+1,1))</f>
        <v>298.251705538794</v>
      </c>
      <c r="AO12" s="62">
        <f t="shared" si="36"/>
        <v>313.28172726625479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5.2</v>
      </c>
      <c r="AI13" s="14">
        <f>IF('Données projet'!$A$62&gt;35,AI12+AH13-AQ12,IF(A13&lt;'Données projet'!$A$62,$AF$205^A13,IF(A13='Données projet'!$A$62,'Données projet'!$B$62,AI12+AH13-AQ12)))</f>
        <v>10.198039027185574</v>
      </c>
      <c r="AJ13" s="14">
        <f>AI13*VLOOKUP('Données projet'!$B$10,Paramètres!$A$1:$I$89,3,0)*VLOOKUP('Données projet'!$B$10,Paramètres!$A$1:$I$89,5,0)</f>
        <v>8.9090068941493197</v>
      </c>
      <c r="AK13" s="14">
        <f t="shared" si="35"/>
        <v>3.1828870698057665</v>
      </c>
      <c r="AL13" s="22">
        <f t="shared" si="4"/>
        <v>21.060048653888444</v>
      </c>
      <c r="AM13" s="62">
        <f t="shared" si="5"/>
        <v>289.94893754277729</v>
      </c>
      <c r="AN13" s="62">
        <f ca="1">AVERAGE(OFFSET($AM$3,0,0,'Données projet'!$E$10+1,1))-AVERAGE(OFFSET($H$3,0,0,'Données projet'!$E$10+1,1))</f>
        <v>298.251705538794</v>
      </c>
      <c r="AO13" s="62">
        <f t="shared" si="36"/>
        <v>313.28172726625479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5.2</v>
      </c>
      <c r="AI14" s="14">
        <f>IF('Données projet'!$A$62&gt;35,AI13+AH14-AQ13,IF(A14&lt;'Données projet'!$A$62,$AF$205^A14,IF(A14='Données projet'!$A$62,'Données projet'!$B$62,AI13+AH14-AQ13)))</f>
        <v>12.863772078839638</v>
      </c>
      <c r="AJ14" s="14">
        <f>AI14*VLOOKUP('Données projet'!$B$10,Paramètres!$A$1:$I$89,3,0)*VLOOKUP('Données projet'!$B$10,Paramètres!$A$1:$I$89,5,0)</f>
        <v>11.237791288074309</v>
      </c>
      <c r="AK14" s="14">
        <f t="shared" si="35"/>
        <v>3.907812906029311</v>
      </c>
      <c r="AL14" s="22">
        <f t="shared" si="4"/>
        <v>26.378593971397137</v>
      </c>
      <c r="AM14" s="62">
        <f t="shared" si="5"/>
        <v>296.48970508250829</v>
      </c>
      <c r="AN14" s="62">
        <f ca="1">AVERAGE(OFFSET($AM$3,0,0,'Données projet'!$E$10+1,1))-AVERAGE(OFFSET($H$3,0,0,'Données projet'!$E$10+1,1))</f>
        <v>298.251705538794</v>
      </c>
      <c r="AO14" s="62">
        <f t="shared" si="36"/>
        <v>313.28172726625479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5.2</v>
      </c>
      <c r="AI15" s="14">
        <f>IF('Données projet'!$A$62&gt;35,AI14+AH15-AQ14,IF(A15&lt;'Données projet'!$A$62,$AF$205^A15,IF(A15='Données projet'!$A$62,'Données projet'!$B$62,AI14+AH15-AQ14)))</f>
        <v>16.226318771208117</v>
      </c>
      <c r="AJ15" s="14">
        <f>AI15*VLOOKUP('Données projet'!$B$10,Paramètres!$A$1:$I$89,3,0)*VLOOKUP('Données projet'!$B$10,Paramètres!$A$1:$I$89,5,0)</f>
        <v>14.175312078527414</v>
      </c>
      <c r="AK15" s="14">
        <f t="shared" si="35"/>
        <v>4.7978459095820662</v>
      </c>
      <c r="AL15" s="22">
        <f t="shared" si="4"/>
        <v>33.044916829290678</v>
      </c>
      <c r="AM15" s="62">
        <f t="shared" si="5"/>
        <v>304.378250162624</v>
      </c>
      <c r="AN15" s="62">
        <f ca="1">AVERAGE(OFFSET($AM$3,0,0,'Données projet'!$E$10+1,1))-AVERAGE(OFFSET($H$3,0,0,'Données projet'!$E$10+1,1))</f>
        <v>298.251705538794</v>
      </c>
      <c r="AO15" s="62">
        <f t="shared" si="36"/>
        <v>313.28172726625479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5.2</v>
      </c>
      <c r="AI16" s="14">
        <f>IF('Données projet'!$A$62&gt;35,AI15+AH16-AQ15,IF(A16&lt;'Données projet'!$A$62,$AF$205^A16,IF(A16='Données projet'!$A$62,'Données projet'!$B$62,AI15+AH16-AQ15)))</f>
        <v>20.467823842896554</v>
      </c>
      <c r="AJ16" s="14">
        <f>AI16*VLOOKUP('Données projet'!$B$10,Paramètres!$A$1:$I$89,3,0)*VLOOKUP('Données projet'!$B$10,Paramètres!$A$1:$I$89,5,0)</f>
        <v>17.880690909154431</v>
      </c>
      <c r="AK16" s="14">
        <f t="shared" si="35"/>
        <v>5.890590446788579</v>
      </c>
      <c r="AL16" s="22">
        <f t="shared" si="4"/>
        <v>41.401648361600742</v>
      </c>
      <c r="AM16" s="62">
        <f t="shared" si="5"/>
        <v>313.95720391715628</v>
      </c>
      <c r="AN16" s="62">
        <f ca="1">AVERAGE(OFFSET($AM$3,0,0,'Données projet'!$E$10+1,1))-AVERAGE(OFFSET($H$3,0,0,'Données projet'!$E$10+1,1))</f>
        <v>298.251705538794</v>
      </c>
      <c r="AO16" s="62">
        <f t="shared" si="36"/>
        <v>313.28172726625479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5.2</v>
      </c>
      <c r="AI17" s="14">
        <f>IF('Données projet'!$A$62&gt;35,AI16+AH17-AQ16,IF(A17&lt;'Données projet'!$A$62,$AF$205^A17,IF(A17='Données projet'!$A$62,'Données projet'!$B$62,AI16+AH17-AQ16)))</f>
        <v>25.8180440536639</v>
      </c>
      <c r="AJ17" s="14">
        <f>AI17*VLOOKUP('Données projet'!$B$10,Paramètres!$A$1:$I$89,3,0)*VLOOKUP('Données projet'!$B$10,Paramètres!$A$1:$I$89,5,0)</f>
        <v>22.554643285280786</v>
      </c>
      <c r="AK17" s="14">
        <f t="shared" si="35"/>
        <v>7.2322155537545054</v>
      </c>
      <c r="AL17" s="22">
        <f t="shared" si="4"/>
        <v>51.87877914465313</v>
      </c>
      <c r="AM17" s="62">
        <f t="shared" si="5"/>
        <v>325.65655692243092</v>
      </c>
      <c r="AN17" s="62">
        <f ca="1">AVERAGE(OFFSET($AM$3,0,0,'Données projet'!$E$10+1,1))-AVERAGE(OFFSET($H$3,0,0,'Données projet'!$E$10+1,1))</f>
        <v>298.251705538794</v>
      </c>
      <c r="AO17" s="62">
        <f t="shared" si="36"/>
        <v>313.28172726625479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5.2</v>
      </c>
      <c r="AI18" s="14">
        <f>IF('Données projet'!$A$62&gt;35,AI17+AH18-AQ17,IF(A18&lt;'Données projet'!$A$62,$AF$205^A18,IF(A18='Données projet'!$A$62,'Données projet'!$B$62,AI17+AH18-AQ17)))</f>
        <v>32.56679380638046</v>
      </c>
      <c r="AJ18" s="14">
        <f>AI18*VLOOKUP('Données projet'!$B$10,Paramètres!$A$1:$I$89,3,0)*VLOOKUP('Données projet'!$B$10,Paramètres!$A$1:$I$89,5,0)</f>
        <v>28.450351069253973</v>
      </c>
      <c r="AK18" s="14">
        <f t="shared" si="35"/>
        <v>8.8794056026224197</v>
      </c>
      <c r="AL18" s="22">
        <f t="shared" si="4"/>
        <v>65.015992870184718</v>
      </c>
      <c r="AM18" s="62">
        <f t="shared" si="5"/>
        <v>340.01599287018473</v>
      </c>
      <c r="AN18" s="62">
        <f ca="1">AVERAGE(OFFSET($AM$3,0,0,'Données projet'!$E$10+1,1))-AVERAGE(OFFSET($H$3,0,0,'Données projet'!$E$10+1,1))</f>
        <v>298.251705538794</v>
      </c>
      <c r="AO18" s="62">
        <f t="shared" si="36"/>
        <v>313.28172726625479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5.2</v>
      </c>
      <c r="AI19" s="14">
        <f>IF('Données projet'!$A$62&gt;35,AI18+AH19-AQ18,IF(A19&lt;'Données projet'!$A$62,$AF$205^A19,IF(A19='Données projet'!$A$62,'Données projet'!$B$62,AI18+AH19-AQ18)))</f>
        <v>41.079644012645062</v>
      </c>
      <c r="AJ19" s="14">
        <f>AI19*VLOOKUP('Données projet'!$B$10,Paramètres!$A$1:$I$89,3,0)*VLOOKUP('Données projet'!$B$10,Paramètres!$A$1:$I$89,5,0)</f>
        <v>35.887177009446731</v>
      </c>
      <c r="AK19" s="14">
        <f t="shared" si="35"/>
        <v>10.90175524635071</v>
      </c>
      <c r="AL19" s="22">
        <f t="shared" si="4"/>
        <v>81.490723678847203</v>
      </c>
      <c r="AM19" s="62">
        <f t="shared" si="5"/>
        <v>357.71294590106942</v>
      </c>
      <c r="AN19" s="62">
        <f ca="1">AVERAGE(OFFSET($AM$3,0,0,'Données projet'!$E$10+1,1))-AVERAGE(OFFSET($H$3,0,0,'Données projet'!$E$10+1,1))</f>
        <v>298.251705538794</v>
      </c>
      <c r="AO19" s="62">
        <f t="shared" si="36"/>
        <v>313.28172726625479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0.22500000000000001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0.5</v>
      </c>
      <c r="Z20" s="23">
        <f>EXP(-LN(2)/35)*Z19+(1-EXP(-LN(2)/35))/(LN(2)/35)*V20*W20*VLOOKUP('Données projet'!$B$9,Paramètres!$A$1:$I$89,3,0)*0.475*44/12</f>
        <v>7.675037641613776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18.626606884837845</v>
      </c>
      <c r="AC20" s="24">
        <f t="shared" si="3"/>
        <v>26.301644526451621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5.2</v>
      </c>
      <c r="AI20" s="14">
        <f>IF('Données projet'!$A$62&gt;35,AI19+AH20-AQ19,IF(A20&lt;'Données projet'!$A$62,$AF$205^A20,IF(A20='Données projet'!$A$62,'Données projet'!$B$62,AI19+AH20-AQ19)))</f>
        <v>51.817724588996064</v>
      </c>
      <c r="AJ20" s="14">
        <f>AI20*VLOOKUP('Données projet'!$B$10,Paramètres!$A$1:$I$89,3,0)*VLOOKUP('Données projet'!$B$10,Paramètres!$A$1:$I$89,5,0)</f>
        <v>45.26796420094697</v>
      </c>
      <c r="AK20" s="14">
        <f t="shared" si="35"/>
        <v>13.384709829702446</v>
      </c>
      <c r="AL20" s="22">
        <f t="shared" si="4"/>
        <v>102.15340727004774</v>
      </c>
      <c r="AM20" s="62">
        <f t="shared" si="5"/>
        <v>379.59785171449221</v>
      </c>
      <c r="AN20" s="62">
        <f ca="1">AVERAGE(OFFSET($AM$3,0,0,'Données projet'!$E$10+1,1))-AVERAGE(OFFSET($H$3,0,0,'Données projet'!$E$10+1,1))</f>
        <v>298.251705538794</v>
      </c>
      <c r="AO20" s="62">
        <f t="shared" si="36"/>
        <v>313.28172726625479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7.5245348347724503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13.171000038764875</v>
      </c>
      <c r="AC21" s="24">
        <f t="shared" si="3"/>
        <v>20.695534873537326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5.2</v>
      </c>
      <c r="AI21" s="14">
        <f>IF('Données projet'!$A$62&gt;35,AI20+AH21-AQ20,IF(A21&lt;'Données projet'!$A$62,$AF$205^A21,IF(A21='Données projet'!$A$62,'Données projet'!$B$62,AI20+AH21-AQ20)))</f>
        <v>65.362703258931163</v>
      </c>
      <c r="AJ21" s="14">
        <f>AI21*VLOOKUP('Données projet'!$B$10,Paramètres!$A$1:$I$89,3,0)*VLOOKUP('Données projet'!$B$10,Paramètres!$A$1:$I$89,5,0)</f>
        <v>57.100857567002279</v>
      </c>
      <c r="AK21" s="14">
        <f t="shared" si="35"/>
        <v>16.433175500367497</v>
      </c>
      <c r="AL21" s="22">
        <f t="shared" si="4"/>
        <v>128.07177425900235</v>
      </c>
      <c r="AM21" s="62">
        <f t="shared" si="5"/>
        <v>406.73844092566901</v>
      </c>
      <c r="AN21" s="62">
        <f ca="1">AVERAGE(OFFSET($AM$3,0,0,'Données projet'!$E$10+1,1))-AVERAGE(OFFSET($H$3,0,0,'Données projet'!$E$10+1,1))</f>
        <v>298.251705538794</v>
      </c>
      <c r="AO21" s="62">
        <f t="shared" si="36"/>
        <v>313.28172726625479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7.3769832961756352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9.313303442418924</v>
      </c>
      <c r="AC22" s="24">
        <f t="shared" si="3"/>
        <v>16.690286738594558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5.2</v>
      </c>
      <c r="AI22" s="14">
        <f>IF('Données projet'!$A$62&gt;35,AI21+AH22-AQ21,IF(A22&lt;'Données projet'!$A$62,$AF$205^A22,IF(A22='Données projet'!$A$62,'Données projet'!$B$62,AI21+AH22-AQ21)))</f>
        <v>82.448293729639104</v>
      </c>
      <c r="AJ22" s="14">
        <f>AI22*VLOOKUP('Données projet'!$B$10,Paramètres!$A$1:$I$89,3,0)*VLOOKUP('Données projet'!$B$10,Paramètres!$A$1:$I$89,5,0)</f>
        <v>72.026829402212726</v>
      </c>
      <c r="AK22" s="14">
        <f t="shared" si="35"/>
        <v>20.175951549327085</v>
      </c>
      <c r="AL22" s="22">
        <f t="shared" si="4"/>
        <v>160.58651015726517</v>
      </c>
      <c r="AM22" s="62">
        <f t="shared" si="5"/>
        <v>440.47539904615405</v>
      </c>
      <c r="AN22" s="62">
        <f ca="1">AVERAGE(OFFSET($AM$3,0,0,'Données projet'!$E$10+1,1))-AVERAGE(OFFSET($H$3,0,0,'Données projet'!$E$10+1,1))</f>
        <v>298.251705538794</v>
      </c>
      <c r="AO22" s="62">
        <f t="shared" si="36"/>
        <v>313.28172726625479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7.2323251532531518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6.5855000193824385</v>
      </c>
      <c r="AC23" s="24">
        <f t="shared" si="3"/>
        <v>13.81782517263559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104</v>
      </c>
      <c r="AG23" s="13">
        <f>VLOOKUP(A23,'Données projet'!$A$61:$I$81,9,0)</f>
        <v>5.2</v>
      </c>
      <c r="AH23" s="13">
        <f t="array" ref="AH23">INDEX(AG:AG,MIN(IF(ISNUMBER(AG23:AG219),ROW(AG23:AG219),"")))</f>
        <v>5.2</v>
      </c>
      <c r="AI23" s="14">
        <f>IF('Données projet'!$A$62&gt;35,AI22+AH23-AQ22,IF(A23&lt;'Données projet'!$A$62,$AF$205^A23,IF(A23='Données projet'!$A$62,'Données projet'!$B$62,AI22+AH23-AQ22)))</f>
        <v>104</v>
      </c>
      <c r="AJ23" s="14">
        <f>AI23*VLOOKUP('Données projet'!$B$10,Paramètres!$A$1:$I$89,3,0)*VLOOKUP('Données projet'!$B$10,Paramètres!$A$1:$I$89,5,0)</f>
        <v>90.854400000000012</v>
      </c>
      <c r="AK23" s="14">
        <f t="shared" si="35"/>
        <v>24.771172249191284</v>
      </c>
      <c r="AL23" s="22">
        <f t="shared" si="4"/>
        <v>201.38120500067484</v>
      </c>
      <c r="AM23" s="62">
        <f t="shared" si="5"/>
        <v>482.49231611178595</v>
      </c>
      <c r="AN23" s="62">
        <f ca="1">AVERAGE(OFFSET($AM$3,0,0,'Données projet'!$E$10+1,1))-AVERAGE(OFFSET($H$3,0,0,'Données projet'!$E$10+1,1))</f>
        <v>298.251705538794</v>
      </c>
      <c r="AO23" s="62">
        <f t="shared" si="36"/>
        <v>313.28172726625479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32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26.376483603176553</v>
      </c>
      <c r="AX23" s="23">
        <f t="shared" si="6"/>
        <v>26.376483603176553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7.0905036682806228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4.6566517212094629</v>
      </c>
      <c r="AC24" s="24">
        <f t="shared" si="3"/>
        <v>11.747155389490086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10.6</v>
      </c>
      <c r="AI24" s="14">
        <f>IF('Données projet'!$A$62&gt;35,AI23+AH24-AQ23,IF(A24&lt;'Données projet'!$A$62,$AF$205^A24,IF(A24='Données projet'!$A$62,'Données projet'!$B$62,AI23+AH24-AQ23)))</f>
        <v>82.6</v>
      </c>
      <c r="AJ24" s="14">
        <f>AI24*VLOOKUP('Données projet'!$B$10,Paramètres!$A$1:$I$89,3,0)*VLOOKUP('Données projet'!$B$10,Paramètres!$A$1:$I$89,5,0)</f>
        <v>72.159360000000007</v>
      </c>
      <c r="AK24" s="14">
        <f t="shared" si="35"/>
        <v>20.208750890014226</v>
      </c>
      <c r="AL24" s="22">
        <f t="shared" si="4"/>
        <v>160.8744598001081</v>
      </c>
      <c r="AM24" s="62">
        <f t="shared" si="5"/>
        <v>443.20779313344144</v>
      </c>
      <c r="AN24" s="62">
        <f ca="1">AVERAGE(OFFSET($AM$3,0,0,'Données projet'!$E$10+1,1))-AVERAGE(OFFSET($H$3,0,0,'Données projet'!$E$10+1,1))</f>
        <v>298.251705538794</v>
      </c>
      <c r="AO24" s="62">
        <f t="shared" si="36"/>
        <v>313.28172726625479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18.650990419661923</v>
      </c>
      <c r="AX24" s="23">
        <f t="shared" si="6"/>
        <v>18.650990419661923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0.33750000000000002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0.25</v>
      </c>
      <c r="Z25" s="23">
        <f>EXP(-LN(2)/35)*Z24+(1-EXP(-LN(2)/35))/(LN(2)/35)*V25*W25*VLOOKUP('Données projet'!$B$9,Paramètres!$A$1:$I$89,3,0)*0.475*44/12</f>
        <v>21.944560004394614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12.771798804582794</v>
      </c>
      <c r="AC25" s="24">
        <f t="shared" si="3"/>
        <v>34.716358808977404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10.6</v>
      </c>
      <c r="AI25" s="14">
        <f>IF('Données projet'!$A$62&gt;35,AI24+AH25-AQ24,IF(A25&lt;'Données projet'!$A$62,$AF$205^A25,IF(A25='Données projet'!$A$62,'Données projet'!$B$62,AI24+AH25-AQ24)))</f>
        <v>93.199999999999989</v>
      </c>
      <c r="AJ25" s="14">
        <f>AI25*VLOOKUP('Données projet'!$B$10,Paramètres!$A$1:$I$89,3,0)*VLOOKUP('Données projet'!$B$10,Paramètres!$A$1:$I$89,5,0)</f>
        <v>81.419520000000006</v>
      </c>
      <c r="AK25" s="14">
        <f t="shared" si="35"/>
        <v>22.483908063290368</v>
      </c>
      <c r="AL25" s="22">
        <f t="shared" si="4"/>
        <v>180.96513721023075</v>
      </c>
      <c r="AM25" s="62">
        <f t="shared" si="5"/>
        <v>464.52069276578629</v>
      </c>
      <c r="AN25" s="62">
        <f ca="1">AVERAGE(OFFSET($AM$3,0,0,'Données projet'!$E$10+1,1))-AVERAGE(OFFSET($H$3,0,0,'Données projet'!$E$10+1,1))</f>
        <v>298.251705538794</v>
      </c>
      <c r="AO25" s="62">
        <f t="shared" si="36"/>
        <v>313.28172726625479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13.188241801588278</v>
      </c>
      <c r="AX25" s="23">
        <f t="shared" si="6"/>
        <v>13.188241801588278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21.514240567568393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9.0310255426707347</v>
      </c>
      <c r="AC26" s="24">
        <f t="shared" si="3"/>
        <v>30.545266110239126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10.6</v>
      </c>
      <c r="AI26" s="14">
        <f>IF('Données projet'!$A$62&gt;35,AI25+AH26-AQ25,IF(A26&lt;'Données projet'!$A$62,$AF$205^A26,IF(A26='Données projet'!$A$62,'Données projet'!$B$62,AI25+AH26-AQ25)))</f>
        <v>103.79999999999998</v>
      </c>
      <c r="AJ26" s="14">
        <f>AI26*VLOOKUP('Données projet'!$B$10,Paramètres!$A$1:$I$89,3,0)*VLOOKUP('Données projet'!$B$10,Paramètres!$A$1:$I$89,5,0)</f>
        <v>90.679679999999991</v>
      </c>
      <c r="AK26" s="14">
        <f t="shared" si="35"/>
        <v>24.729075596681458</v>
      </c>
      <c r="AL26" s="22">
        <f t="shared" si="4"/>
        <v>201.00358266422018</v>
      </c>
      <c r="AM26" s="62">
        <f t="shared" si="5"/>
        <v>485.78136044199795</v>
      </c>
      <c r="AN26" s="62">
        <f ca="1">AVERAGE(OFFSET($AM$3,0,0,'Données projet'!$E$10+1,1))-AVERAGE(OFFSET($H$3,0,0,'Données projet'!$E$10+1,1))</f>
        <v>298.251705538794</v>
      </c>
      <c r="AO26" s="62">
        <f t="shared" si="36"/>
        <v>313.28172726625479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9.3254952098309634</v>
      </c>
      <c r="AX26" s="23">
        <f t="shared" si="6"/>
        <v>9.3254952098309634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21.092359432429394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6.3858994022913969</v>
      </c>
      <c r="AC27" s="24">
        <f t="shared" si="3"/>
        <v>27.478258834720791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10.6</v>
      </c>
      <c r="AI27" s="14">
        <f>IF('Données projet'!$A$62&gt;35,AI26+AH27-AQ26,IF(A27&lt;'Données projet'!$A$62,$AF$205^A27,IF(A27='Données projet'!$A$62,'Données projet'!$B$62,AI26+AH27-AQ26)))</f>
        <v>114.39999999999998</v>
      </c>
      <c r="AJ27" s="14">
        <f>AI27*VLOOKUP('Données projet'!$B$10,Paramètres!$A$1:$I$89,3,0)*VLOOKUP('Données projet'!$B$10,Paramètres!$A$1:$I$89,5,0)</f>
        <v>99.93983999999999</v>
      </c>
      <c r="AK27" s="14">
        <f t="shared" si="35"/>
        <v>26.947664756006528</v>
      </c>
      <c r="AL27" s="22">
        <f t="shared" si="4"/>
        <v>220.99573745004466</v>
      </c>
      <c r="AM27" s="62">
        <f t="shared" si="5"/>
        <v>506.99573745004466</v>
      </c>
      <c r="AN27" s="62">
        <f ca="1">AVERAGE(OFFSET($AM$3,0,0,'Données projet'!$E$10+1,1))-AVERAGE(OFFSET($H$3,0,0,'Données projet'!$E$10+1,1))</f>
        <v>298.251705538794</v>
      </c>
      <c r="AO27" s="62">
        <f t="shared" si="36"/>
        <v>313.28172726625479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6.5941209007941408</v>
      </c>
      <c r="AX27" s="23">
        <f t="shared" si="6"/>
        <v>6.5941209007941408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20.678751129028388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4.5155127713353673</v>
      </c>
      <c r="AC28" s="24">
        <f t="shared" si="3"/>
        <v>25.194263900363755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125</v>
      </c>
      <c r="AG28" s="13">
        <f>VLOOKUP(A28,'Données projet'!$A$61:$I$81,9,0)</f>
        <v>10.6</v>
      </c>
      <c r="AH28" s="13">
        <f t="array" ref="AH28">INDEX(AG:AG,MIN(IF(ISNUMBER(AG28:AG224),ROW(AG28:AG224),"")))</f>
        <v>10.6</v>
      </c>
      <c r="AI28" s="14">
        <f>IF('Données projet'!$A$62&gt;35,AI27+AH28-AQ27,IF(A28&lt;'Données projet'!$A$62,$AF$205^A28,IF(A28='Données projet'!$A$62,'Données projet'!$B$62,AI27+AH28-AQ27)))</f>
        <v>124.99999999999997</v>
      </c>
      <c r="AJ28" s="14">
        <f>AI28*VLOOKUP('Données projet'!$B$10,Paramètres!$A$1:$I$89,3,0)*VLOOKUP('Données projet'!$B$10,Paramètres!$A$1:$I$89,5,0)</f>
        <v>109.19999999999999</v>
      </c>
      <c r="AK28" s="14">
        <f t="shared" si="35"/>
        <v>29.142418334948612</v>
      </c>
      <c r="AL28" s="22">
        <f t="shared" si="4"/>
        <v>240.94637860003544</v>
      </c>
      <c r="AM28" s="62">
        <f t="shared" si="5"/>
        <v>528.16860082225764</v>
      </c>
      <c r="AN28" s="62">
        <f ca="1">AVERAGE(OFFSET($AM$3,0,0,'Données projet'!$E$10+1,1))-AVERAGE(OFFSET($H$3,0,0,'Données projet'!$E$10+1,1))</f>
        <v>298.251705538794</v>
      </c>
      <c r="AO28" s="62">
        <f t="shared" si="36"/>
        <v>313.28172726625479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31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0.215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6.4113063822146019</v>
      </c>
      <c r="AW28" s="23">
        <f>EXP(-LN(2)/2)*AW27+(1-EXP(-LN(2)/2))/(LN(2)/2)*AQ28*AT28*VLOOKUP('Données projet'!$B$10,Paramètres!$A$1:$I$89,3,0)*0.475*44/12</f>
        <v>17.438856850204125</v>
      </c>
      <c r="AX28" s="23">
        <f t="shared" si="6"/>
        <v>23.850163232418726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20.273253432180919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3.1929497011456984</v>
      </c>
      <c r="AC29" s="24">
        <f t="shared" si="3"/>
        <v>23.466203133326616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10</v>
      </c>
      <c r="AI29" s="14">
        <f>IF('Données projet'!$A$62&gt;35,AI28+AH29-AQ28,IF(A29&lt;'Données projet'!$A$62,$AF$205^A29,IF(A29='Données projet'!$A$62,'Données projet'!$B$62,AI28+AH29-AQ28)))</f>
        <v>103.99999999999997</v>
      </c>
      <c r="AJ29" s="14">
        <f>AI29*VLOOKUP('Données projet'!$B$10,Paramètres!$A$1:$I$89,3,0)*VLOOKUP('Données projet'!$B$10,Paramètres!$A$1:$I$89,5,0)</f>
        <v>90.854399999999984</v>
      </c>
      <c r="AK29" s="14">
        <f t="shared" si="35"/>
        <v>24.771172249191263</v>
      </c>
      <c r="AL29" s="22">
        <f t="shared" si="4"/>
        <v>201.38120500067475</v>
      </c>
      <c r="AM29" s="62">
        <f t="shared" si="5"/>
        <v>489.82564944511921</v>
      </c>
      <c r="AN29" s="62">
        <f ca="1">AVERAGE(OFFSET($AM$3,0,0,'Données projet'!$E$10+1,1))-AVERAGE(OFFSET($H$3,0,0,'Données projet'!$E$10+1,1))</f>
        <v>298.251705538794</v>
      </c>
      <c r="AO29" s="62">
        <f t="shared" si="36"/>
        <v>313.28172726625479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6.2359888720369945</v>
      </c>
      <c r="AW29" s="23">
        <f>EXP(-LN(2)/2)*AW28+(1-EXP(-LN(2)/2))/(LN(2)/2)*AQ29*AT29*VLOOKUP('Données projet'!$B$10,Paramètres!$A$1:$I$89,3,0)*0.475*44/12</f>
        <v>12.331133934920814</v>
      </c>
      <c r="AX29" s="23">
        <f t="shared" si="6"/>
        <v>18.567122806957808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19.875707297839458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2.2577563856676837</v>
      </c>
      <c r="AC30" s="24">
        <f t="shared" si="3"/>
        <v>22.133463683507141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10</v>
      </c>
      <c r="AI30" s="14">
        <f>IF('Données projet'!$A$62&gt;35,AI29+AH30-AQ29,IF(A30&lt;'Données projet'!$A$62,$AF$205^A30,IF(A30='Données projet'!$A$62,'Données projet'!$B$62,AI29+AH30-AQ29)))</f>
        <v>113.99999999999997</v>
      </c>
      <c r="AJ30" s="14">
        <f>AI30*VLOOKUP('Données projet'!$B$10,Paramètres!$A$1:$I$89,3,0)*VLOOKUP('Données projet'!$B$10,Paramètres!$A$1:$I$89,5,0)</f>
        <v>99.590399999999988</v>
      </c>
      <c r="AK30" s="14">
        <f t="shared" si="35"/>
        <v>26.864392698869324</v>
      </c>
      <c r="AL30" s="22">
        <f t="shared" si="4"/>
        <v>220.24209728386404</v>
      </c>
      <c r="AM30" s="62">
        <f t="shared" si="5"/>
        <v>509.90876395053073</v>
      </c>
      <c r="AN30" s="62">
        <f ca="1">AVERAGE(OFFSET($AM$3,0,0,'Données projet'!$E$10+1,1))-AVERAGE(OFFSET($H$3,0,0,'Données projet'!$E$10+1,1))</f>
        <v>298.251705538794</v>
      </c>
      <c r="AO30" s="62">
        <f t="shared" si="36"/>
        <v>313.28172726625479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6.0654654283947407</v>
      </c>
      <c r="AW30" s="23">
        <f>EXP(-LN(2)/2)*AW29+(1-EXP(-LN(2)/2))/(LN(2)/2)*AQ30*AT30*VLOOKUP('Données projet'!$B$10,Paramètres!$A$1:$I$89,3,0)*0.475*44/12</f>
        <v>8.7194284251020626</v>
      </c>
      <c r="AX30" s="23">
        <f t="shared" si="6"/>
        <v>14.784893853496804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19.485956800713232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1.5964748505728492</v>
      </c>
      <c r="AC31" s="24">
        <f t="shared" si="3"/>
        <v>21.082431651286083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10</v>
      </c>
      <c r="AI31" s="14">
        <f>IF('Données projet'!$A$62&gt;35,AI30+AH31-AQ30,IF(A31&lt;'Données projet'!$A$62,$AF$205^A31,IF(A31='Données projet'!$A$62,'Données projet'!$B$62,AI30+AH31-AQ30)))</f>
        <v>123.99999999999997</v>
      </c>
      <c r="AJ31" s="14">
        <f>AI31*VLOOKUP('Données projet'!$B$10,Paramètres!$A$1:$I$89,3,0)*VLOOKUP('Données projet'!$B$10,Paramètres!$A$1:$I$89,5,0)</f>
        <v>108.32640000000001</v>
      </c>
      <c r="AK31" s="14">
        <f t="shared" si="35"/>
        <v>28.936320206966883</v>
      </c>
      <c r="AL31" s="22">
        <f t="shared" si="4"/>
        <v>239.06590436046736</v>
      </c>
      <c r="AM31" s="62">
        <f t="shared" si="5"/>
        <v>529.95479324935627</v>
      </c>
      <c r="AN31" s="62">
        <f ca="1">AVERAGE(OFFSET($AM$3,0,0,'Données projet'!$E$10+1,1))-AVERAGE(OFFSET($H$3,0,0,'Données projet'!$E$10+1,1))</f>
        <v>298.251705538794</v>
      </c>
      <c r="AO31" s="62">
        <f t="shared" si="36"/>
        <v>313.28172726625479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5.8996049572863223</v>
      </c>
      <c r="AW31" s="23">
        <f>EXP(-LN(2)/2)*AW30+(1-EXP(-LN(2)/2))/(LN(2)/2)*AQ31*AT31*VLOOKUP('Données projet'!$B$10,Paramètres!$A$1:$I$89,3,0)*0.475*44/12</f>
        <v>6.165566967460407</v>
      </c>
      <c r="AX31" s="23">
        <f t="shared" si="6"/>
        <v>12.065171924746728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19.103849073111324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1.1288781928338418</v>
      </c>
      <c r="AC32" s="24">
        <f t="shared" si="3"/>
        <v>20.232727265945165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10</v>
      </c>
      <c r="AI32" s="14">
        <f>IF('Données projet'!$A$62&gt;35,AI31+AH32-AQ31,IF(A32&lt;'Données projet'!$A$62,$AF$205^A32,IF(A32='Données projet'!$A$62,'Données projet'!$B$62,AI31+AH32-AQ31)))</f>
        <v>133.99999999999997</v>
      </c>
      <c r="AJ32" s="14">
        <f>AI32*VLOOKUP('Données projet'!$B$10,Paramètres!$A$1:$I$89,3,0)*VLOOKUP('Données projet'!$B$10,Paramètres!$A$1:$I$89,5,0)</f>
        <v>117.0624</v>
      </c>
      <c r="AK32" s="14">
        <f t="shared" si="35"/>
        <v>30.988867171899152</v>
      </c>
      <c r="AL32" s="22">
        <f t="shared" si="4"/>
        <v>257.85595699105767</v>
      </c>
      <c r="AM32" s="62">
        <f t="shared" si="5"/>
        <v>549.96706810216881</v>
      </c>
      <c r="AN32" s="62">
        <f ca="1">AVERAGE(OFFSET($AM$3,0,0,'Données projet'!$E$10+1,1))-AVERAGE(OFFSET($H$3,0,0,'Données projet'!$E$10+1,1))</f>
        <v>298.251705538794</v>
      </c>
      <c r="AO32" s="62">
        <f t="shared" si="36"/>
        <v>313.28172726625479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5.7382799494825871</v>
      </c>
      <c r="AW32" s="23">
        <f>EXP(-LN(2)/2)*AW31+(1-EXP(-LN(2)/2))/(LN(2)/2)*AQ32*AT32*VLOOKUP('Données projet'!$B$10,Paramètres!$A$1:$I$89,3,0)*0.475*44/12</f>
        <v>4.3597142125510313</v>
      </c>
      <c r="AX32" s="23">
        <f t="shared" si="6"/>
        <v>10.097994162033618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0.33750000000000002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0.25</v>
      </c>
      <c r="Z33" s="23">
        <f>EXP(-LN(2)/35)*Z32+(1-EXP(-LN(2)/35))/(LN(2)/35)*V33*W33*VLOOKUP('Données projet'!$B$9,Paramètres!$A$1:$I$89,3,0)*0.475*44/12</f>
        <v>101.45900045168233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53.102274525670282</v>
      </c>
      <c r="AC33" s="24">
        <f t="shared" si="3"/>
        <v>154.56127497735261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144</v>
      </c>
      <c r="AG33" s="13">
        <f>VLOOKUP(A33,'Données projet'!$A$61:$I$81,9,0)</f>
        <v>10</v>
      </c>
      <c r="AH33" s="13">
        <f t="array" ref="AH33">INDEX(AG:AG,MIN(IF(ISNUMBER(AG33:AG229),ROW(AG33:AG229),"")))</f>
        <v>10</v>
      </c>
      <c r="AI33" s="14">
        <f>IF('Données projet'!$A$62&gt;35,AI32+AH33-AQ32,IF(A33&lt;'Données projet'!$A$62,$AF$205^A33,IF(A33='Données projet'!$A$62,'Données projet'!$B$62,AI32+AH33-AQ32)))</f>
        <v>143.99999999999997</v>
      </c>
      <c r="AJ33" s="14">
        <f>AI33*VLOOKUP('Données projet'!$B$10,Paramètres!$A$1:$I$89,3,0)*VLOOKUP('Données projet'!$B$10,Paramètres!$A$1:$I$89,5,0)</f>
        <v>125.79839999999999</v>
      </c>
      <c r="AK33" s="14">
        <f t="shared" si="35"/>
        <v>33.023644363399924</v>
      </c>
      <c r="AL33" s="22">
        <f t="shared" si="4"/>
        <v>276.61506059958816</v>
      </c>
      <c r="AM33" s="62">
        <f t="shared" si="5"/>
        <v>569.94839393292148</v>
      </c>
      <c r="AN33" s="62">
        <f ca="1">AVERAGE(OFFSET($AM$3,0,0,'Données projet'!$E$10+1,1))-AVERAGE(OFFSET($H$3,0,0,'Données projet'!$E$10+1,1))</f>
        <v>298.251705538794</v>
      </c>
      <c r="AO33" s="62">
        <f t="shared" si="36"/>
        <v>313.28172726625479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0.215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11.992672764715561</v>
      </c>
      <c r="AW33" s="23">
        <f>EXP(-LN(2)/2)*AW32+(1-EXP(-LN(2)/2))/(LN(2)/2)*AQ33*AT33*VLOOKUP('Données projet'!$B$10,Paramètres!$A$1:$I$89,3,0)*0.475*44/12</f>
        <v>15.858892729018846</v>
      </c>
      <c r="AX33" s="23">
        <f t="shared" si="6"/>
        <v>27.851565493734405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99.469451336704594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37.548978413531117</v>
      </c>
      <c r="AC34" s="24">
        <f t="shared" si="3"/>
        <v>137.01842975023573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9.1999999999999993</v>
      </c>
      <c r="AI34" s="14">
        <f>IF('Données projet'!$A$62&gt;35,AI33+AH34-AQ33,IF(A34&lt;'Données projet'!$A$62,$AF$205^A34,IF(A34='Données projet'!$A$62,'Données projet'!$B$62,AI33+AH34-AQ33)))</f>
        <v>122.19999999999996</v>
      </c>
      <c r="AJ34" s="14">
        <f>AI34*VLOOKUP('Données projet'!$B$10,Paramètres!$A$1:$I$89,3,0)*VLOOKUP('Données projet'!$B$10,Paramètres!$A$1:$I$89,5,0)</f>
        <v>106.75391999999998</v>
      </c>
      <c r="AK34" s="14">
        <f t="shared" si="35"/>
        <v>28.564854626855976</v>
      </c>
      <c r="AL34" s="22">
        <f t="shared" si="4"/>
        <v>235.6801991417741</v>
      </c>
      <c r="AM34" s="62">
        <f t="shared" si="5"/>
        <v>529.01353247510747</v>
      </c>
      <c r="AN34" s="62">
        <f ca="1">AVERAGE(OFFSET($AM$3,0,0,'Données projet'!$E$10+1,1))-AVERAGE(OFFSET($H$3,0,0,'Données projet'!$E$10+1,1))</f>
        <v>298.251705538794</v>
      </c>
      <c r="AO34" s="62">
        <f t="shared" si="36"/>
        <v>313.28172726625479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11.664732497297162</v>
      </c>
      <c r="AW34" s="23">
        <f>EXP(-LN(2)/2)*AW33+(1-EXP(-LN(2)/2))/(LN(2)/2)*AQ34*AT34*VLOOKUP('Données projet'!$B$10,Paramètres!$A$1:$I$89,3,0)*0.475*44/12</f>
        <v>11.21393059079926</v>
      </c>
      <c r="AX34" s="23">
        <f t="shared" si="6"/>
        <v>22.878663088096424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97.51891606636643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26.551137262835145</v>
      </c>
      <c r="AC35" s="24">
        <f t="shared" si="3"/>
        <v>124.07005332920157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9.1999999999999993</v>
      </c>
      <c r="AI35" s="14">
        <f>IF('Données projet'!$A$62&gt;35,AI34+AH35-AQ34,IF(A35&lt;'Données projet'!$A$62,$AF$205^A35,IF(A35='Données projet'!$A$62,'Données projet'!$B$62,AI34+AH35-AQ34)))</f>
        <v>131.39999999999995</v>
      </c>
      <c r="AJ35" s="14">
        <f>AI35*VLOOKUP('Données projet'!$B$10,Paramètres!$A$1:$I$89,3,0)*VLOOKUP('Données projet'!$B$10,Paramètres!$A$1:$I$89,5,0)</f>
        <v>114.79103999999997</v>
      </c>
      <c r="AK35" s="14">
        <f t="shared" si="35"/>
        <v>30.456974896543485</v>
      </c>
      <c r="AL35" s="22">
        <f t="shared" si="4"/>
        <v>252.97362594481319</v>
      </c>
      <c r="AM35" s="62">
        <f t="shared" si="5"/>
        <v>546.30695927814645</v>
      </c>
      <c r="AN35" s="62">
        <f ca="1">AVERAGE(OFFSET($AM$3,0,0,'Données projet'!$E$10+1,1))-AVERAGE(OFFSET($H$3,0,0,'Données projet'!$E$10+1,1))</f>
        <v>298.251705538794</v>
      </c>
      <c r="AO35" s="62">
        <f t="shared" si="36"/>
        <v>313.28172726625479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11.345759773736949</v>
      </c>
      <c r="AW35" s="23">
        <f>EXP(-LN(2)/2)*AW34+(1-EXP(-LN(2)/2))/(LN(2)/2)*AQ35*AT35*VLOOKUP('Données projet'!$B$10,Paramètres!$A$1:$I$89,3,0)*0.475*44/12</f>
        <v>7.929446364509424</v>
      </c>
      <c r="AX35" s="23">
        <f t="shared" si="6"/>
        <v>19.275206138246375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95.606629602970557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18.774489206765558</v>
      </c>
      <c r="AC36" s="24">
        <f t="shared" si="3"/>
        <v>114.38111880973611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9.1999999999999993</v>
      </c>
      <c r="AI36" s="14">
        <f>IF('Données projet'!$A$62&gt;35,AI35+AH36-AQ35,IF(A36&lt;'Données projet'!$A$62,$AF$205^A36,IF(A36='Données projet'!$A$62,'Données projet'!$B$62,AI35+AH36-AQ35)))</f>
        <v>140.59999999999994</v>
      </c>
      <c r="AJ36" s="14">
        <f>AI36*VLOOKUP('Données projet'!$B$10,Paramètres!$A$1:$I$89,3,0)*VLOOKUP('Données projet'!$B$10,Paramètres!$A$1:$I$89,5,0)</f>
        <v>122.82815999999997</v>
      </c>
      <c r="AK36" s="14">
        <f t="shared" si="35"/>
        <v>32.333724232859019</v>
      </c>
      <c r="AL36" s="22">
        <f t="shared" si="4"/>
        <v>270.24028170556272</v>
      </c>
      <c r="AM36" s="62">
        <f t="shared" si="5"/>
        <v>563.57361503889604</v>
      </c>
      <c r="AN36" s="62">
        <f ca="1">AVERAGE(OFFSET($AM$3,0,0,'Données projet'!$E$10+1,1))-AVERAGE(OFFSET($H$3,0,0,'Données projet'!$E$10+1,1))</f>
        <v>298.251705538794</v>
      </c>
      <c r="AO36" s="62">
        <f t="shared" si="36"/>
        <v>313.28172726625479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11.035509376076536</v>
      </c>
      <c r="AW36" s="23">
        <f>EXP(-LN(2)/2)*AW35+(1-EXP(-LN(2)/2))/(LN(2)/2)*AQ36*AT36*VLOOKUP('Données projet'!$B$10,Paramètres!$A$1:$I$89,3,0)*0.475*44/12</f>
        <v>5.6069652953996307</v>
      </c>
      <c r="AX36" s="23">
        <f t="shared" si="6"/>
        <v>16.642474671476165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93.731841910742304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13.275568631417572</v>
      </c>
      <c r="AC37" s="24">
        <f t="shared" si="3"/>
        <v>107.00741054215987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9.1999999999999993</v>
      </c>
      <c r="AI37" s="14">
        <f>IF('Données projet'!$A$62&gt;35,AI36+AH37-AQ36,IF(A37&lt;'Données projet'!$A$62,$AF$205^A37,IF(A37='Données projet'!$A$62,'Données projet'!$B$62,AI36+AH37-AQ36)))</f>
        <v>149.79999999999993</v>
      </c>
      <c r="AJ37" s="14">
        <f>AI37*VLOOKUP('Données projet'!$B$10,Paramètres!$A$1:$I$89,3,0)*VLOOKUP('Données projet'!$B$10,Paramètres!$A$1:$I$89,5,0)</f>
        <v>130.86527999999996</v>
      </c>
      <c r="AK37" s="14">
        <f t="shared" si="35"/>
        <v>34.19622287336729</v>
      </c>
      <c r="AL37" s="22">
        <f t="shared" si="4"/>
        <v>287.48211750444796</v>
      </c>
      <c r="AM37" s="62">
        <f t="shared" si="5"/>
        <v>580.81545083778133</v>
      </c>
      <c r="AN37" s="62">
        <f ca="1">AVERAGE(OFFSET($AM$3,0,0,'Données projet'!$E$10+1,1))-AVERAGE(OFFSET($H$3,0,0,'Données projet'!$E$10+1,1))</f>
        <v>298.251705538794</v>
      </c>
      <c r="AO37" s="62">
        <f t="shared" si="36"/>
        <v>313.28172726625479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10.733742791855507</v>
      </c>
      <c r="AW37" s="23">
        <f>EXP(-LN(2)/2)*AW36+(1-EXP(-LN(2)/2))/(LN(2)/2)*AQ37*AT37*VLOOKUP('Données projet'!$B$10,Paramètres!$A$1:$I$89,3,0)*0.475*44/12</f>
        <v>3.9647231822547129</v>
      </c>
      <c r="AX37" s="23">
        <f t="shared" si="6"/>
        <v>14.698465974110221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91.89381766165107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9.3872446033827792</v>
      </c>
      <c r="AC38" s="24">
        <f t="shared" si="3"/>
        <v>101.28106226503385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159</v>
      </c>
      <c r="AG38" s="13">
        <f>VLOOKUP(A38,'Données projet'!$A$61:$I$81,9,0)</f>
        <v>9.1999999999999993</v>
      </c>
      <c r="AH38" s="13">
        <f t="array" ref="AH38">INDEX(AG:AG,MIN(IF(ISNUMBER(AG38:AG234),ROW(AG38:AG234),"")))</f>
        <v>9.1999999999999993</v>
      </c>
      <c r="AI38" s="14">
        <f>IF('Données projet'!$A$62&gt;35,AI37+AH38-AQ37,IF(A38&lt;'Données projet'!$A$62,$AF$205^A38,IF(A38='Données projet'!$A$62,'Données projet'!$B$62,AI37+AH38-AQ37)))</f>
        <v>158.99999999999991</v>
      </c>
      <c r="AJ38" s="14">
        <f>AI38*VLOOKUP('Données projet'!$B$10,Paramètres!$A$1:$I$89,3,0)*VLOOKUP('Données projet'!$B$10,Paramètres!$A$1:$I$89,5,0)</f>
        <v>138.90239999999994</v>
      </c>
      <c r="AK38" s="14">
        <f t="shared" si="35"/>
        <v>36.045445680666425</v>
      </c>
      <c r="AL38" s="22">
        <f t="shared" si="4"/>
        <v>304.70083122716056</v>
      </c>
      <c r="AM38" s="62">
        <f t="shared" si="5"/>
        <v>598.03416456049388</v>
      </c>
      <c r="AN38" s="62">
        <f ca="1">AVERAGE(OFFSET($AM$3,0,0,'Données projet'!$E$10+1,1))-AVERAGE(OFFSET($H$3,0,0,'Données projet'!$E$10+1,1))</f>
        <v>298.251705538794</v>
      </c>
      <c r="AO38" s="62">
        <f t="shared" si="36"/>
        <v>313.28172726625479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30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0.215</v>
      </c>
      <c r="AT38" s="17">
        <f>IF(ISNA(VLOOKUP(A38,'Données projet'!$A$61:$I$81,7,0)),0%,VLOOKUP(A38,'Données projet'!$A$61:$I$81,7,0))</f>
        <v>0.5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16.644718078053671</v>
      </c>
      <c r="AW38" s="23">
        <f>EXP(-LN(2)/2)*AW37+(1-EXP(-LN(2)/2))/(LN(2)/2)*AQ38*AT38*VLOOKUP('Données projet'!$B$10,Paramètres!$A$1:$I$89,3,0)*0.475*44/12</f>
        <v>15.167459336688824</v>
      </c>
      <c r="AX38" s="23">
        <f t="shared" si="6"/>
        <v>31.812177414742493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90.091835947000419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6.6377843157087861</v>
      </c>
      <c r="AC39" s="24">
        <f t="shared" si="3"/>
        <v>96.729620262709204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8.1999999999999993</v>
      </c>
      <c r="AI39" s="14">
        <f>IF('Données projet'!$A$62&gt;35,AI38+AH39-AQ38,IF(A39&lt;'Données projet'!$A$62,$AF$205^A39,IF(A39='Données projet'!$A$62,'Données projet'!$B$62,AI38+AH39-AQ38)))</f>
        <v>137.1999999999999</v>
      </c>
      <c r="AJ39" s="14">
        <f>AI39*VLOOKUP('Données projet'!$B$10,Paramètres!$A$1:$I$89,3,0)*VLOOKUP('Données projet'!$B$10,Paramètres!$A$1:$I$89,5,0)</f>
        <v>119.85791999999992</v>
      </c>
      <c r="AK39" s="14">
        <f t="shared" si="35"/>
        <v>31.641859182846865</v>
      </c>
      <c r="AL39" s="22">
        <f t="shared" si="4"/>
        <v>263.86211541012477</v>
      </c>
      <c r="AM39" s="62">
        <f t="shared" si="5"/>
        <v>557.19544874345809</v>
      </c>
      <c r="AN39" s="62">
        <f ca="1">AVERAGE(OFFSET($AM$3,0,0,'Données projet'!$E$10+1,1))-AVERAGE(OFFSET($H$3,0,0,'Données projet'!$E$10+1,1))</f>
        <v>298.251705538794</v>
      </c>
      <c r="AO39" s="62">
        <f t="shared" si="36"/>
        <v>313.28172726625479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16.189567386901611</v>
      </c>
      <c r="AW39" s="23">
        <f>EXP(-LN(2)/2)*AW38+(1-EXP(-LN(2)/2))/(LN(2)/2)*AQ39*AT39*VLOOKUP('Données projet'!$B$10,Paramètres!$A$1:$I$89,3,0)*0.475*44/12</f>
        <v>10.725013350343882</v>
      </c>
      <c r="AX39" s="23">
        <f t="shared" si="6"/>
        <v>26.914580737245494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88.32518999467375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4.6936223016913896</v>
      </c>
      <c r="AC40" s="24">
        <f t="shared" si="3"/>
        <v>93.018812296365141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8.1999999999999993</v>
      </c>
      <c r="AI40" s="14">
        <f>IF('Données projet'!$A$62&gt;35,AI39+AH40-AQ39,IF(A40&lt;'Données projet'!$A$62,$AF$205^A40,IF(A40='Données projet'!$A$62,'Données projet'!$B$62,AI39+AH40-AQ39)))</f>
        <v>145.39999999999989</v>
      </c>
      <c r="AJ40" s="14">
        <f>AI40*VLOOKUP('Données projet'!$B$10,Paramètres!$A$1:$I$89,3,0)*VLOOKUP('Données projet'!$B$10,Paramètres!$A$1:$I$89,5,0)</f>
        <v>127.02143999999993</v>
      </c>
      <c r="AK40" s="14">
        <f t="shared" si="35"/>
        <v>33.307175870664402</v>
      </c>
      <c r="AL40" s="22">
        <f t="shared" si="4"/>
        <v>279.23900597474034</v>
      </c>
      <c r="AM40" s="62">
        <f t="shared" si="5"/>
        <v>572.57233930807365</v>
      </c>
      <c r="AN40" s="62">
        <f ca="1">AVERAGE(OFFSET($AM$3,0,0,'Données projet'!$E$10+1,1))-AVERAGE(OFFSET($H$3,0,0,'Données projet'!$E$10+1,1))</f>
        <v>298.251705538794</v>
      </c>
      <c r="AO40" s="62">
        <f t="shared" si="36"/>
        <v>313.28172726625479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15.74686281533444</v>
      </c>
      <c r="AW40" s="23">
        <f>EXP(-LN(2)/2)*AW39+(1-EXP(-LN(2)/2))/(LN(2)/2)*AQ40*AT40*VLOOKUP('Données projet'!$B$10,Paramètres!$A$1:$I$89,3,0)*0.475*44/12</f>
        <v>7.5837296683444135</v>
      </c>
      <c r="AX40" s="23">
        <f t="shared" si="6"/>
        <v>23.330592483678853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86.593186891924574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3.3188921578543931</v>
      </c>
      <c r="AC41" s="24">
        <f t="shared" si="3"/>
        <v>89.912079049778967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8.1999999999999993</v>
      </c>
      <c r="AI41" s="14">
        <f>IF('Données projet'!$A$62&gt;35,AI40+AH41-AQ40,IF(A41&lt;'Données projet'!$A$62,$AF$205^A41,IF(A41='Données projet'!$A$62,'Données projet'!$B$62,AI40+AH41-AQ40)))</f>
        <v>153.59999999999988</v>
      </c>
      <c r="AJ41" s="14">
        <f>AI41*VLOOKUP('Données projet'!$B$10,Paramètres!$A$1:$I$89,3,0)*VLOOKUP('Données projet'!$B$10,Paramètres!$A$1:$I$89,5,0)</f>
        <v>134.1849599999999</v>
      </c>
      <c r="AK41" s="14">
        <f t="shared" si="35"/>
        <v>34.96159027064818</v>
      </c>
      <c r="AL41" s="22">
        <f t="shared" si="4"/>
        <v>294.59690838804539</v>
      </c>
      <c r="AM41" s="62">
        <f t="shared" si="5"/>
        <v>587.93024172137871</v>
      </c>
      <c r="AN41" s="62">
        <f ca="1">AVERAGE(OFFSET($AM$3,0,0,'Données projet'!$E$10+1,1))-AVERAGE(OFFSET($H$3,0,0,'Données projet'!$E$10+1,1))</f>
        <v>298.251705538794</v>
      </c>
      <c r="AO41" s="62">
        <f t="shared" si="36"/>
        <v>313.28172726625479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15.316264023557594</v>
      </c>
      <c r="AW41" s="23">
        <f>EXP(-LN(2)/2)*AW40+(1-EXP(-LN(2)/2))/(LN(2)/2)*AQ41*AT41*VLOOKUP('Données projet'!$B$10,Paramètres!$A$1:$I$89,3,0)*0.475*44/12</f>
        <v>5.3625066751719421</v>
      </c>
      <c r="AX41" s="23">
        <f t="shared" si="6"/>
        <v>20.678770698729537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84.895147313602735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2.3468111508456948</v>
      </c>
      <c r="AC42" s="24">
        <f t="shared" si="3"/>
        <v>87.24195846444843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8.1999999999999993</v>
      </c>
      <c r="AI42" s="14">
        <f>IF('Données projet'!$A$62&gt;35,AI41+AH42-AQ41,IF(A42&lt;'Données projet'!$A$62,$AF$205^A42,IF(A42='Données projet'!$A$62,'Données projet'!$B$62,AI41+AH42-AQ41)))</f>
        <v>161.79999999999987</v>
      </c>
      <c r="AJ42" s="14">
        <f>AI42*VLOOKUP('Données projet'!$B$10,Paramètres!$A$1:$I$89,3,0)*VLOOKUP('Données projet'!$B$10,Paramètres!$A$1:$I$89,5,0)</f>
        <v>141.34847999999991</v>
      </c>
      <c r="AK42" s="14">
        <f t="shared" si="35"/>
        <v>36.605750770707772</v>
      </c>
      <c r="AL42" s="22">
        <f t="shared" si="4"/>
        <v>309.93695192564923</v>
      </c>
      <c r="AM42" s="62">
        <f t="shared" si="5"/>
        <v>603.27028525898254</v>
      </c>
      <c r="AN42" s="62">
        <f ca="1">AVERAGE(OFFSET($AM$3,0,0,'Données projet'!$E$10+1,1))-AVERAGE(OFFSET($H$3,0,0,'Données projet'!$E$10+1,1))</f>
        <v>298.251705538794</v>
      </c>
      <c r="AO42" s="62">
        <f t="shared" si="36"/>
        <v>313.28172726625479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14.897439978386092</v>
      </c>
      <c r="AW42" s="23">
        <f>EXP(-LN(2)/2)*AW41+(1-EXP(-LN(2)/2))/(LN(2)/2)*AQ42*AT42*VLOOKUP('Données projet'!$B$10,Paramètres!$A$1:$I$89,3,0)*0.475*44/12</f>
        <v>3.7918648341722072</v>
      </c>
      <c r="AX42" s="23">
        <f t="shared" si="6"/>
        <v>18.689304812558298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83.230405255709911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1.6594460789271965</v>
      </c>
      <c r="AC43" s="24">
        <f t="shared" si="3"/>
        <v>84.889851334637115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170</v>
      </c>
      <c r="AG43" s="13">
        <f>VLOOKUP(A43,'Données projet'!$A$61:$I$81,9,0)</f>
        <v>8.1999999999999993</v>
      </c>
      <c r="AH43" s="13">
        <f t="array" ref="AH43">INDEX(AG:AG,MIN(IF(ISNUMBER(AG43:AG239),ROW(AG43:AG239),"")))</f>
        <v>8.1999999999999993</v>
      </c>
      <c r="AI43" s="14">
        <f>IF('Données projet'!$A$62&gt;35,AI42+AH43-AQ42,IF(A43&lt;'Données projet'!$A$62,$AF$205^A43,IF(A43='Données projet'!$A$62,'Données projet'!$B$62,AI42+AH43-AQ42)))</f>
        <v>169.99999999999986</v>
      </c>
      <c r="AJ43" s="14">
        <f>AI43*VLOOKUP('Données projet'!$B$10,Paramètres!$A$1:$I$89,3,0)*VLOOKUP('Données projet'!$B$10,Paramètres!$A$1:$I$89,5,0)</f>
        <v>148.51199999999989</v>
      </c>
      <c r="AK43" s="14">
        <f t="shared" si="35"/>
        <v>38.240236326053477</v>
      </c>
      <c r="AL43" s="22">
        <f t="shared" si="4"/>
        <v>325.26014493454295</v>
      </c>
      <c r="AM43" s="62">
        <f t="shared" si="5"/>
        <v>618.59347826787621</v>
      </c>
      <c r="AN43" s="62">
        <f ca="1">AVERAGE(OFFSET($AM$3,0,0,'Données projet'!$E$10+1,1))-AVERAGE(OFFSET($H$3,0,0,'Données projet'!$E$10+1,1))</f>
        <v>298.251705538794</v>
      </c>
      <c r="AO43" s="62">
        <f t="shared" si="36"/>
        <v>313.28172726625479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0.215</v>
      </c>
      <c r="AT43" s="17">
        <f>IF(ISNA(VLOOKUP(A43,'Données projet'!$A$61:$I$81,7,0)),0%,VLOOKUP(A43,'Données projet'!$A$61:$I$81,7,0))</f>
        <v>0.5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20.280926076238963</v>
      </c>
      <c r="AW43" s="23">
        <f>EXP(-LN(2)/2)*AW42+(1-EXP(-LN(2)/2))/(LN(2)/2)*AQ43*AT43*VLOOKUP('Données projet'!$B$10,Paramètres!$A$1:$I$89,3,0)*0.475*44/12</f>
        <v>14.220964913975713</v>
      </c>
      <c r="AX43" s="23">
        <f t="shared" si="6"/>
        <v>34.501890990214676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81.598307774179972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1.1734055754228474</v>
      </c>
      <c r="AC44" s="24">
        <f t="shared" si="3"/>
        <v>82.77171334960282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7.6</v>
      </c>
      <c r="AI44" s="14">
        <f>IF('Données projet'!$A$62&gt;35,AI43+AH44-AQ43,IF(A44&lt;'Données projet'!$A$62,$AF$205^A44,IF(A44='Données projet'!$A$62,'Données projet'!$B$62,AI43+AH44-AQ43)))</f>
        <v>149.59999999999985</v>
      </c>
      <c r="AJ44" s="14">
        <f>AI44*VLOOKUP('Données projet'!$B$10,Paramètres!$A$1:$I$89,3,0)*VLOOKUP('Données projet'!$B$10,Paramètres!$A$1:$I$89,5,0)</f>
        <v>130.69055999999989</v>
      </c>
      <c r="AK44" s="14">
        <f t="shared" si="35"/>
        <v>34.155878238422694</v>
      </c>
      <c r="AL44" s="22">
        <f t="shared" si="4"/>
        <v>287.107546598586</v>
      </c>
      <c r="AM44" s="62">
        <f t="shared" si="5"/>
        <v>580.44087993191931</v>
      </c>
      <c r="AN44" s="62">
        <f ca="1">AVERAGE(OFFSET($AM$3,0,0,'Données projet'!$E$10+1,1))-AVERAGE(OFFSET($H$3,0,0,'Données projet'!$E$10+1,1))</f>
        <v>298.251705538794</v>
      </c>
      <c r="AO44" s="62">
        <f t="shared" si="36"/>
        <v>313.28172726625479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19.726343086156657</v>
      </c>
      <c r="AW44" s="23">
        <f>EXP(-LN(2)/2)*AW43+(1-EXP(-LN(2)/2))/(LN(2)/2)*AQ44*AT44*VLOOKUP('Données projet'!$B$10,Paramètres!$A$1:$I$89,3,0)*0.475*44/12</f>
        <v>10.055740725688196</v>
      </c>
      <c r="AX44" s="23">
        <f t="shared" si="6"/>
        <v>29.782083811844853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79.998214728781662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0.82972303946359827</v>
      </c>
      <c r="AC45" s="24">
        <f t="shared" si="3"/>
        <v>80.827937768245263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7.6</v>
      </c>
      <c r="AI45" s="14">
        <f>IF('Données projet'!$A$62&gt;35,AI44+AH45-AQ44,IF(A45&lt;'Données projet'!$A$62,$AF$205^A45,IF(A45='Données projet'!$A$62,'Données projet'!$B$62,AI44+AH45-AQ44)))</f>
        <v>157.19999999999985</v>
      </c>
      <c r="AJ45" s="14">
        <f>AI45*VLOOKUP('Données projet'!$B$10,Paramètres!$A$1:$I$89,3,0)*VLOOKUP('Données projet'!$B$10,Paramètres!$A$1:$I$89,5,0)</f>
        <v>137.3299199999999</v>
      </c>
      <c r="AK45" s="14">
        <f t="shared" si="35"/>
        <v>35.684643836992151</v>
      </c>
      <c r="AL45" s="22">
        <f t="shared" si="4"/>
        <v>301.33369868276117</v>
      </c>
      <c r="AM45" s="62">
        <f t="shared" si="5"/>
        <v>594.66703201609448</v>
      </c>
      <c r="AN45" s="62">
        <f ca="1">AVERAGE(OFFSET($AM$3,0,0,'Données projet'!$E$10+1,1))-AVERAGE(OFFSET($H$3,0,0,'Données projet'!$E$10+1,1))</f>
        <v>298.251705538794</v>
      </c>
      <c r="AO45" s="62">
        <f t="shared" si="36"/>
        <v>313.28172726625479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19.186925197102404</v>
      </c>
      <c r="AW45" s="23">
        <f>EXP(-LN(2)/2)*AW44+(1-EXP(-LN(2)/2))/(LN(2)/2)*AQ45*AT45*VLOOKUP('Données projet'!$B$10,Paramètres!$A$1:$I$89,3,0)*0.475*44/12</f>
        <v>7.1104824569878584</v>
      </c>
      <c r="AX45" s="23">
        <f t="shared" si="6"/>
        <v>26.297407654090264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78.429498532043226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0.5867027877114237</v>
      </c>
      <c r="AC46" s="24">
        <f t="shared" si="3"/>
        <v>79.016201319754643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7.6</v>
      </c>
      <c r="AI46" s="14">
        <f>IF('Données projet'!$A$62&gt;35,AI45+AH46-AQ45,IF(A46&lt;'Données projet'!$A$62,$AF$205^A46,IF(A46='Données projet'!$A$62,'Données projet'!$B$62,AI45+AH46-AQ45)))</f>
        <v>164.79999999999984</v>
      </c>
      <c r="AJ46" s="14">
        <f>AI46*VLOOKUP('Données projet'!$B$10,Paramètres!$A$1:$I$89,3,0)*VLOOKUP('Données projet'!$B$10,Paramètres!$A$1:$I$89,5,0)</f>
        <v>143.96927999999988</v>
      </c>
      <c r="AK46" s="14">
        <f t="shared" si="35"/>
        <v>37.204826967876741</v>
      </c>
      <c r="AL46" s="22">
        <f t="shared" si="4"/>
        <v>315.5449029690518</v>
      </c>
      <c r="AM46" s="62">
        <f t="shared" si="5"/>
        <v>608.87823630238518</v>
      </c>
      <c r="AN46" s="62">
        <f ca="1">AVERAGE(OFFSET($AM$3,0,0,'Données projet'!$E$10+1,1))-AVERAGE(OFFSET($H$3,0,0,'Données projet'!$E$10+1,1))</f>
        <v>298.251705538794</v>
      </c>
      <c r="AO46" s="62">
        <f t="shared" si="36"/>
        <v>313.28172726625479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18.662257718591096</v>
      </c>
      <c r="AW46" s="23">
        <f>EXP(-LN(2)/2)*AW45+(1-EXP(-LN(2)/2))/(LN(2)/2)*AQ46*AT46*VLOOKUP('Données projet'!$B$10,Paramètres!$A$1:$I$89,3,0)*0.475*44/12</f>
        <v>5.0278703628440988</v>
      </c>
      <c r="AX46" s="23">
        <f t="shared" si="6"/>
        <v>23.690128081435194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76.891543903100427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0.41486151973179913</v>
      </c>
      <c r="AC47" s="24">
        <f t="shared" si="3"/>
        <v>77.306405422832228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7.6</v>
      </c>
      <c r="AI47" s="14">
        <f>IF('Données projet'!$A$62&gt;35,AI46+AH47-AQ46,IF(A47&lt;'Données projet'!$A$62,$AF$205^A47,IF(A47='Données projet'!$A$62,'Données projet'!$B$62,AI46+AH47-AQ46)))</f>
        <v>172.39999999999984</v>
      </c>
      <c r="AJ47" s="14">
        <f>AI47*VLOOKUP('Données projet'!$B$10,Paramètres!$A$1:$I$89,3,0)*VLOOKUP('Données projet'!$B$10,Paramètres!$A$1:$I$89,5,0)</f>
        <v>150.60863999999987</v>
      </c>
      <c r="AK47" s="14">
        <f t="shared" si="35"/>
        <v>38.716868630535259</v>
      </c>
      <c r="AL47" s="22">
        <f t="shared" si="4"/>
        <v>329.74192753151533</v>
      </c>
      <c r="AM47" s="62">
        <f t="shared" si="5"/>
        <v>623.07526086484859</v>
      </c>
      <c r="AN47" s="62">
        <f ca="1">AVERAGE(OFFSET($AM$3,0,0,'Données projet'!$E$10+1,1))-AVERAGE(OFFSET($H$3,0,0,'Données projet'!$E$10+1,1))</f>
        <v>298.251705538794</v>
      </c>
      <c r="AO47" s="62">
        <f t="shared" si="36"/>
        <v>313.28172726625479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18.151937299870742</v>
      </c>
      <c r="AW47" s="23">
        <f>EXP(-LN(2)/2)*AW46+(1-EXP(-LN(2)/2))/(LN(2)/2)*AQ47*AT47*VLOOKUP('Données projet'!$B$10,Paramètres!$A$1:$I$89,3,0)*0.475*44/12</f>
        <v>3.5552412284939297</v>
      </c>
      <c r="AX47" s="23">
        <f t="shared" si="6"/>
        <v>21.707178528364672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75.383747626371502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0.29335139385571185</v>
      </c>
      <c r="AC48" s="24">
        <f t="shared" si="3"/>
        <v>75.677099020227217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180</v>
      </c>
      <c r="AG48" s="13">
        <f>VLOOKUP(A48,'Données projet'!$A$61:$I$81,9,0)</f>
        <v>7.6</v>
      </c>
      <c r="AH48" s="13">
        <f t="array" ref="AH48">INDEX(AG:AG,MIN(IF(ISNUMBER(AG48:AG244),ROW(AG48:AG244),"")))</f>
        <v>7.6</v>
      </c>
      <c r="AI48" s="14">
        <f>IF('Données projet'!$A$62&gt;35,AI47+AH48-AQ47,IF(A48&lt;'Données projet'!$A$62,$AF$205^A48,IF(A48='Données projet'!$A$62,'Données projet'!$B$62,AI47+AH48-AQ47)))</f>
        <v>179.99999999999983</v>
      </c>
      <c r="AJ48" s="14">
        <f>AI48*VLOOKUP('Données projet'!$B$10,Paramètres!$A$1:$I$89,3,0)*VLOOKUP('Données projet'!$B$10,Paramètres!$A$1:$I$89,5,0)</f>
        <v>157.24799999999988</v>
      </c>
      <c r="AK48" s="14">
        <f t="shared" si="35"/>
        <v>40.22116874434861</v>
      </c>
      <c r="AL48" s="22">
        <f t="shared" si="4"/>
        <v>343.92546889640693</v>
      </c>
      <c r="AM48" s="62">
        <f t="shared" si="5"/>
        <v>637.25880222974024</v>
      </c>
      <c r="AN48" s="62">
        <f ca="1">AVERAGE(OFFSET($AM$3,0,0,'Données projet'!$E$10+1,1))-AVERAGE(OFFSET($H$3,0,0,'Données projet'!$E$10+1,1))</f>
        <v>298.251705538794</v>
      </c>
      <c r="AO48" s="62">
        <f t="shared" si="36"/>
        <v>313.28172726625479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0.215</v>
      </c>
      <c r="AT48" s="17">
        <f>IF(ISNA(VLOOKUP(A48,'Données projet'!$A$61:$I$81,7,0)),0%,VLOOKUP(A48,'Données projet'!$A$61:$I$81,7,0))</f>
        <v>0.5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23.032796327500741</v>
      </c>
      <c r="AW48" s="23">
        <f>EXP(-LN(2)/2)*AW47+(1-EXP(-LN(2)/2))/(LN(2)/2)*AQ48*AT48*VLOOKUP('Données projet'!$B$10,Paramètres!$A$1:$I$89,3,0)*0.475*44/12</f>
        <v>13.229381645212523</v>
      </c>
      <c r="AX48" s="23">
        <f t="shared" si="6"/>
        <v>36.26217797271326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73.905518314964311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0.20743075986589957</v>
      </c>
      <c r="AC49" s="24">
        <f t="shared" si="3"/>
        <v>74.112949074830212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6.6</v>
      </c>
      <c r="AI49" s="14">
        <f>IF('Données projet'!$A$62&gt;35,AI48+AH49-AQ48,IF(A49&lt;'Données projet'!$A$62,$AF$205^A49,IF(A49='Données projet'!$A$62,'Données projet'!$B$62,AI48+AH49-AQ48)))</f>
        <v>160.59999999999982</v>
      </c>
      <c r="AJ49" s="14">
        <f>AI49*VLOOKUP('Données projet'!$B$10,Paramètres!$A$1:$I$89,3,0)*VLOOKUP('Données projet'!$B$10,Paramètres!$A$1:$I$89,5,0)</f>
        <v>140.30015999999986</v>
      </c>
      <c r="AK49" s="14">
        <f t="shared" si="35"/>
        <v>36.36575936262836</v>
      </c>
      <c r="AL49" s="22">
        <f t="shared" si="4"/>
        <v>307.6931428899108</v>
      </c>
      <c r="AM49" s="62">
        <f t="shared" si="5"/>
        <v>601.02647622324412</v>
      </c>
      <c r="AN49" s="62">
        <f ca="1">AVERAGE(OFFSET($AM$3,0,0,'Données projet'!$E$10+1,1))-AVERAGE(OFFSET($H$3,0,0,'Données projet'!$E$10+1,1))</f>
        <v>298.251705538794</v>
      </c>
      <c r="AO49" s="62">
        <f t="shared" si="36"/>
        <v>313.28172726625479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22.402963300683115</v>
      </c>
      <c r="AW49" s="23">
        <f>EXP(-LN(2)/2)*AW48+(1-EXP(-LN(2)/2))/(LN(2)/2)*AQ49*AT49*VLOOKUP('Données projet'!$B$10,Paramètres!$A$1:$I$89,3,0)*0.475*44/12</f>
        <v>9.3545854722346213</v>
      </c>
      <c r="AX49" s="23">
        <f t="shared" si="6"/>
        <v>31.757548772917737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72.456276178722959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0.14667569692785593</v>
      </c>
      <c r="AC50" s="24">
        <f t="shared" si="3"/>
        <v>72.602951875650817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6.6</v>
      </c>
      <c r="AI50" s="14">
        <f>IF('Données projet'!$A$62&gt;35,AI49+AH50-AQ49,IF(A50&lt;'Données projet'!$A$62,$AF$205^A50,IF(A50='Données projet'!$A$62,'Données projet'!$B$62,AI49+AH50-AQ49)))</f>
        <v>167.19999999999982</v>
      </c>
      <c r="AJ50" s="14">
        <f>AI50*VLOOKUP('Données projet'!$B$10,Paramètres!$A$1:$I$89,3,0)*VLOOKUP('Données projet'!$B$10,Paramètres!$A$1:$I$89,5,0)</f>
        <v>146.06591999999986</v>
      </c>
      <c r="AK50" s="14">
        <f t="shared" si="35"/>
        <v>37.683173643014364</v>
      </c>
      <c r="AL50" s="22">
        <f t="shared" si="4"/>
        <v>320.02967142824974</v>
      </c>
      <c r="AM50" s="62">
        <f t="shared" si="5"/>
        <v>613.36300476158306</v>
      </c>
      <c r="AN50" s="62">
        <f ca="1">AVERAGE(OFFSET($AM$3,0,0,'Données projet'!$E$10+1,1))-AVERAGE(OFFSET($H$3,0,0,'Données projet'!$E$10+1,1))</f>
        <v>298.251705538794</v>
      </c>
      <c r="AO50" s="62">
        <f t="shared" si="36"/>
        <v>313.28172726625479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21.790353091105299</v>
      </c>
      <c r="AW50" s="23">
        <f>EXP(-LN(2)/2)*AW49+(1-EXP(-LN(2)/2))/(LN(2)/2)*AQ50*AT50*VLOOKUP('Données projet'!$B$10,Paramètres!$A$1:$I$89,3,0)*0.475*44/12</f>
        <v>6.6146908226062635</v>
      </c>
      <c r="AX50" s="23">
        <f t="shared" si="6"/>
        <v>28.405043913711562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71.035452796822881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0.10371537993294978</v>
      </c>
      <c r="AC51" s="24">
        <f t="shared" si="3"/>
        <v>71.139168176755831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6.6</v>
      </c>
      <c r="AI51" s="14">
        <f>IF('Données projet'!$A$62&gt;35,AI50+AH51-AQ50,IF(A51&lt;'Données projet'!$A$62,$AF$205^A51,IF(A51='Données projet'!$A$62,'Données projet'!$B$62,AI50+AH51-AQ50)))</f>
        <v>173.79999999999981</v>
      </c>
      <c r="AJ51" s="14">
        <f>AI51*VLOOKUP('Données projet'!$B$10,Paramètres!$A$1:$I$89,3,0)*VLOOKUP('Données projet'!$B$10,Paramètres!$A$1:$I$89,5,0)</f>
        <v>151.83167999999986</v>
      </c>
      <c r="AK51" s="14">
        <f t="shared" si="35"/>
        <v>38.994546979637654</v>
      </c>
      <c r="AL51" s="22">
        <f t="shared" si="4"/>
        <v>332.35567865620197</v>
      </c>
      <c r="AM51" s="62">
        <f t="shared" si="5"/>
        <v>625.68901198953529</v>
      </c>
      <c r="AN51" s="62">
        <f ca="1">AVERAGE(OFFSET($AM$3,0,0,'Données projet'!$E$10+1,1))-AVERAGE(OFFSET($H$3,0,0,'Données projet'!$E$10+1,1))</f>
        <v>298.251705538794</v>
      </c>
      <c r="AO51" s="62">
        <f t="shared" si="36"/>
        <v>313.28172726625479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21.194494739924156</v>
      </c>
      <c r="AW51" s="23">
        <f>EXP(-LN(2)/2)*AW50+(1-EXP(-LN(2)/2))/(LN(2)/2)*AQ51*AT51*VLOOKUP('Données projet'!$B$10,Paramètres!$A$1:$I$89,3,0)*0.475*44/12</f>
        <v>4.6772927361173116</v>
      </c>
      <c r="AX51" s="23">
        <f t="shared" si="6"/>
        <v>25.871787476041469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69.642490894825173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7.3337848463927963E-2</v>
      </c>
      <c r="AC52" s="24">
        <f t="shared" si="3"/>
        <v>69.715828743289094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6.6</v>
      </c>
      <c r="AI52" s="14">
        <f>IF('Données projet'!$A$62&gt;35,AI51+AH52-AQ51,IF(A52&lt;'Données projet'!$A$62,$AF$205^A52,IF(A52='Données projet'!$A$62,'Données projet'!$B$62,AI51+AH52-AQ51)))</f>
        <v>180.39999999999981</v>
      </c>
      <c r="AJ52" s="14">
        <f>AI52*VLOOKUP('Données projet'!$B$10,Paramètres!$A$1:$I$89,3,0)*VLOOKUP('Données projet'!$B$10,Paramètres!$A$1:$I$89,5,0)</f>
        <v>157.59743999999986</v>
      </c>
      <c r="AK52" s="14">
        <f t="shared" si="35"/>
        <v>40.300135037830493</v>
      </c>
      <c r="AL52" s="22">
        <f t="shared" si="4"/>
        <v>344.67160985755453</v>
      </c>
      <c r="AM52" s="62">
        <f t="shared" si="5"/>
        <v>638.00494319088784</v>
      </c>
      <c r="AN52" s="62">
        <f ca="1">AVERAGE(OFFSET($AM$3,0,0,'Données projet'!$E$10+1,1))-AVERAGE(OFFSET($H$3,0,0,'Données projet'!$E$10+1,1))</f>
        <v>298.251705538794</v>
      </c>
      <c r="AO52" s="62">
        <f t="shared" si="36"/>
        <v>313.28172726625479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20.614930166690893</v>
      </c>
      <c r="AW52" s="23">
        <f>EXP(-LN(2)/2)*AW51+(1-EXP(-LN(2)/2))/(LN(2)/2)*AQ52*AT52*VLOOKUP('Données projet'!$B$10,Paramètres!$A$1:$I$89,3,0)*0.475*44/12</f>
        <v>3.3073454113031322</v>
      </c>
      <c r="AX52" s="23">
        <f t="shared" si="6"/>
        <v>23.922275577994025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68.276844126102773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5.1857689966474892E-2</v>
      </c>
      <c r="AC53" s="24">
        <f t="shared" si="3"/>
        <v>68.328701816069241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187</v>
      </c>
      <c r="AG53" s="13">
        <f>VLOOKUP(A53,'Données projet'!$A$61:$I$81,9,0)</f>
        <v>6.6</v>
      </c>
      <c r="AH53" s="13">
        <f t="array" ref="AH53">INDEX(AG:AG,MIN(IF(ISNUMBER(AG53:AG249),ROW(AG53:AG249),"")))</f>
        <v>6.6</v>
      </c>
      <c r="AI53" s="14">
        <f>IF('Données projet'!$A$62&gt;35,AI52+AH53-AQ52,IF(A53&lt;'Données projet'!$A$62,$AF$205^A53,IF(A53='Données projet'!$A$62,'Données projet'!$B$62,AI52+AH53-AQ52)))</f>
        <v>186.9999999999998</v>
      </c>
      <c r="AJ53" s="14">
        <f>AI53*VLOOKUP('Données projet'!$B$10,Paramètres!$A$1:$I$89,3,0)*VLOOKUP('Données projet'!$B$10,Paramètres!$A$1:$I$89,5,0)</f>
        <v>163.36319999999984</v>
      </c>
      <c r="AK53" s="14">
        <f t="shared" si="35"/>
        <v>41.60017371558159</v>
      </c>
      <c r="AL53" s="22">
        <f t="shared" si="4"/>
        <v>356.97787588797092</v>
      </c>
      <c r="AM53" s="62">
        <f t="shared" si="5"/>
        <v>650.31120922130424</v>
      </c>
      <c r="AN53" s="62">
        <f ca="1">AVERAGE(OFFSET($AM$3,0,0,'Données projet'!$E$10+1,1))-AVERAGE(OFFSET($H$3,0,0,'Données projet'!$E$10+1,1))</f>
        <v>298.251705538794</v>
      </c>
      <c r="AO53" s="62">
        <f t="shared" si="36"/>
        <v>313.28172726625479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0.215</v>
      </c>
      <c r="AT53" s="17">
        <f>IF(ISNA(VLOOKUP(A53,'Données projet'!$A$61:$I$81,7,0)),0%,VLOOKUP(A53,'Données projet'!$A$61:$I$81,7,0))</f>
        <v>0.5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25.014805855034233</v>
      </c>
      <c r="AW53" s="23">
        <f>EXP(-LN(2)/2)*AW52+(1-EXP(-LN(2)/2))/(LN(2)/2)*AQ53*AT53*VLOOKUP('Données projet'!$B$10,Paramètres!$A$1:$I$89,3,0)*0.475*44/12</f>
        <v>12.229827719249863</v>
      </c>
      <c r="AX53" s="23">
        <f t="shared" si="6"/>
        <v>37.244633574284094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66.937976857552741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3.6668924231963981E-2</v>
      </c>
      <c r="AC54" s="24">
        <f t="shared" si="3"/>
        <v>66.974645781784702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6.2</v>
      </c>
      <c r="AI54" s="14">
        <f>IF('Données projet'!$A$62&gt;35,AI53+AH54-AQ53,IF(A54&lt;'Données projet'!$A$62,$AF$205^A54,IF(A54='Données projet'!$A$62,'Données projet'!$B$62,AI53+AH54-AQ53)))</f>
        <v>169.19999999999979</v>
      </c>
      <c r="AJ54" s="14">
        <f>AI54*VLOOKUP('Données projet'!$B$10,Paramètres!$A$1:$I$89,3,0)*VLOOKUP('Données projet'!$B$10,Paramètres!$A$1:$I$89,5,0)</f>
        <v>147.81311999999986</v>
      </c>
      <c r="AK54" s="14">
        <f t="shared" si="35"/>
        <v>38.081185298782451</v>
      </c>
      <c r="AL54" s="22">
        <f t="shared" si="4"/>
        <v>323.76591506204585</v>
      </c>
      <c r="AM54" s="62">
        <f t="shared" si="5"/>
        <v>617.09924839537916</v>
      </c>
      <c r="AN54" s="62">
        <f ca="1">AVERAGE(OFFSET($AM$3,0,0,'Données projet'!$E$10+1,1))-AVERAGE(OFFSET($H$3,0,0,'Données projet'!$E$10+1,1))</f>
        <v>298.251705538794</v>
      </c>
      <c r="AO54" s="62">
        <f t="shared" si="36"/>
        <v>313.28172726625479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24.330774673456855</v>
      </c>
      <c r="AW54" s="23">
        <f>EXP(-LN(2)/2)*AW53+(1-EXP(-LN(2)/2))/(LN(2)/2)*AQ54*AT54*VLOOKUP('Données projet'!$B$10,Paramètres!$A$1:$I$89,3,0)*0.475*44/12</f>
        <v>8.6477941130247871</v>
      </c>
      <c r="AX54" s="23">
        <f t="shared" si="6"/>
        <v>32.978568786481645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65.625363959510565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2.5928844983237446E-2</v>
      </c>
      <c r="AC55" s="24">
        <f t="shared" si="3"/>
        <v>65.651292804493806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6.2</v>
      </c>
      <c r="AI55" s="14">
        <f>IF('Données projet'!$A$62&gt;35,AI54+AH55-AQ54,IF(A55&lt;'Données projet'!$A$62,$AF$205^A55,IF(A55='Données projet'!$A$62,'Données projet'!$B$62,AI54+AH55-AQ54)))</f>
        <v>175.39999999999978</v>
      </c>
      <c r="AJ55" s="14">
        <f>AI55*VLOOKUP('Données projet'!$B$10,Paramètres!$A$1:$I$89,3,0)*VLOOKUP('Données projet'!$B$10,Paramètres!$A$1:$I$89,5,0)</f>
        <v>153.22943999999984</v>
      </c>
      <c r="AK55" s="14">
        <f t="shared" si="35"/>
        <v>39.311575138468292</v>
      </c>
      <c r="AL55" s="22">
        <f t="shared" si="4"/>
        <v>335.34226803283201</v>
      </c>
      <c r="AM55" s="62">
        <f t="shared" si="5"/>
        <v>628.67560136616532</v>
      </c>
      <c r="AN55" s="62">
        <f ca="1">AVERAGE(OFFSET($AM$3,0,0,'Données projet'!$E$10+1,1))-AVERAGE(OFFSET($H$3,0,0,'Données projet'!$E$10+1,1))</f>
        <v>298.251705538794</v>
      </c>
      <c r="AO55" s="62">
        <f t="shared" si="36"/>
        <v>313.28172726625479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23.665448360511345</v>
      </c>
      <c r="AW55" s="23">
        <f>EXP(-LN(2)/2)*AW54+(1-EXP(-LN(2)/2))/(LN(2)/2)*AQ55*AT55*VLOOKUP('Données projet'!$B$10,Paramètres!$A$1:$I$89,3,0)*0.475*44/12</f>
        <v>6.1149138596249326</v>
      </c>
      <c r="AX55" s="23">
        <f t="shared" si="6"/>
        <v>29.780362220136276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64.338490599784194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1.8334462115981991E-2</v>
      </c>
      <c r="AC56" s="24">
        <f t="shared" si="3"/>
        <v>64.356825061900182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6.2</v>
      </c>
      <c r="AI56" s="14">
        <f>IF('Données projet'!$A$62&gt;35,AI55+AH56-AQ55,IF(A56&lt;'Données projet'!$A$62,$AF$205^A56,IF(A56='Données projet'!$A$62,'Données projet'!$B$62,AI55+AH56-AQ55)))</f>
        <v>181.59999999999977</v>
      </c>
      <c r="AJ56" s="14">
        <f>AI56*VLOOKUP('Données projet'!$B$10,Paramètres!$A$1:$I$89,3,0)*VLOOKUP('Données projet'!$B$10,Paramètres!$A$1:$I$89,5,0)</f>
        <v>158.64575999999983</v>
      </c>
      <c r="AK56" s="14">
        <f t="shared" si="35"/>
        <v>40.536911851071018</v>
      </c>
      <c r="AL56" s="22">
        <f t="shared" si="4"/>
        <v>346.90982014061501</v>
      </c>
      <c r="AM56" s="62">
        <f t="shared" si="5"/>
        <v>640.24315347394827</v>
      </c>
      <c r="AN56" s="62">
        <f ca="1">AVERAGE(OFFSET($AM$3,0,0,'Données projet'!$E$10+1,1))-AVERAGE(OFFSET($H$3,0,0,'Données projet'!$E$10+1,1))</f>
        <v>298.251705538794</v>
      </c>
      <c r="AO56" s="62">
        <f t="shared" si="36"/>
        <v>313.28172726625479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23.018315430581321</v>
      </c>
      <c r="AW56" s="23">
        <f>EXP(-LN(2)/2)*AW55+(1-EXP(-LN(2)/2))/(LN(2)/2)*AQ56*AT56*VLOOKUP('Données projet'!$B$10,Paramètres!$A$1:$I$89,3,0)*0.475*44/12</f>
        <v>4.3238970565123944</v>
      </c>
      <c r="AX56" s="23">
        <f t="shared" si="6"/>
        <v>27.342212487093715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63.076852041726809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1.2964422491618723E-2</v>
      </c>
      <c r="AC57" s="24">
        <f t="shared" si="3"/>
        <v>63.08981646421843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6.2</v>
      </c>
      <c r="AI57" s="14">
        <f>IF('Données projet'!$A$62&gt;35,AI56+AH57-AQ56,IF(A57&lt;'Données projet'!$A$62,$AF$205^A57,IF(A57='Données projet'!$A$62,'Données projet'!$B$62,AI56+AH57-AQ56)))</f>
        <v>187.79999999999976</v>
      </c>
      <c r="AJ57" s="14">
        <f>AI57*VLOOKUP('Données projet'!$B$10,Paramètres!$A$1:$I$89,3,0)*VLOOKUP('Données projet'!$B$10,Paramètres!$A$1:$I$89,5,0)</f>
        <v>164.06207999999981</v>
      </c>
      <c r="AK57" s="14">
        <f t="shared" si="35"/>
        <v>41.757387730134568</v>
      </c>
      <c r="AL57" s="22">
        <f t="shared" si="4"/>
        <v>358.46890629665069</v>
      </c>
      <c r="AM57" s="62">
        <f t="shared" si="5"/>
        <v>651.802239629984</v>
      </c>
      <c r="AN57" s="62">
        <f ca="1">AVERAGE(OFFSET($AM$3,0,0,'Données projet'!$E$10+1,1))-AVERAGE(OFFSET($H$3,0,0,'Données projet'!$E$10+1,1))</f>
        <v>298.251705538794</v>
      </c>
      <c r="AO57" s="62">
        <f t="shared" si="36"/>
        <v>313.28172726625479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22.388878384651477</v>
      </c>
      <c r="AW57" s="23">
        <f>EXP(-LN(2)/2)*AW56+(1-EXP(-LN(2)/2))/(LN(2)/2)*AQ57*AT57*VLOOKUP('Données projet'!$B$10,Paramètres!$A$1:$I$89,3,0)*0.475*44/12</f>
        <v>3.0574569298124668</v>
      </c>
      <c r="AX57" s="23">
        <f t="shared" si="6"/>
        <v>25.446335314463944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61.839953446269391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9.1672310579909953E-3</v>
      </c>
      <c r="AC58" s="24">
        <f t="shared" si="3"/>
        <v>61.849120677327384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194</v>
      </c>
      <c r="AG58" s="13">
        <f>VLOOKUP(A58,'Données projet'!$A$61:$I$81,9,0)</f>
        <v>6.2</v>
      </c>
      <c r="AH58" s="13">
        <f t="array" ref="AH58">INDEX(AG:AG,MIN(IF(ISNUMBER(AG58:AG254),ROW(AG58:AG254),"")))</f>
        <v>6.2</v>
      </c>
      <c r="AI58" s="14">
        <f>IF('Données projet'!$A$62&gt;35,AI57+AH58-AQ57,IF(A58&lt;'Données projet'!$A$62,$AF$205^A58,IF(A58='Données projet'!$A$62,'Données projet'!$B$62,AI57+AH58-AQ57)))</f>
        <v>193.99999999999974</v>
      </c>
      <c r="AJ58" s="14">
        <f>AI58*VLOOKUP('Données projet'!$B$10,Paramètres!$A$1:$I$89,3,0)*VLOOKUP('Données projet'!$B$10,Paramètres!$A$1:$I$89,5,0)</f>
        <v>169.47839999999979</v>
      </c>
      <c r="AK58" s="14">
        <f t="shared" si="35"/>
        <v>42.973181651930254</v>
      </c>
      <c r="AL58" s="22">
        <f t="shared" si="4"/>
        <v>370.01983804377818</v>
      </c>
      <c r="AM58" s="62">
        <f t="shared" si="5"/>
        <v>663.35317137711149</v>
      </c>
      <c r="AN58" s="62">
        <f ca="1">AVERAGE(OFFSET($AM$3,0,0,'Données projet'!$E$10+1,1))-AVERAGE(OFFSET($H$3,0,0,'Données projet'!$E$10+1,1))</f>
        <v>298.251705538794</v>
      </c>
      <c r="AO58" s="62">
        <f t="shared" si="36"/>
        <v>313.28172726625479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0.215</v>
      </c>
      <c r="AT58" s="17">
        <f>IF(ISNA(VLOOKUP(A58,'Données projet'!$A$61:$I$81,7,0)),0%,VLOOKUP(A58,'Données projet'!$A$61:$I$81,7,0))</f>
        <v>0.5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26.119796360956357</v>
      </c>
      <c r="AW58" s="23">
        <f>EXP(-LN(2)/2)*AW57+(1-EXP(-LN(2)/2))/(LN(2)/2)*AQ58*AT58*VLOOKUP('Données projet'!$B$10,Paramètres!$A$1:$I$89,3,0)*0.475*44/12</f>
        <v>10.816732210548505</v>
      </c>
      <c r="AX58" s="23">
        <f t="shared" si="6"/>
        <v>36.936528571504866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60.627309677835242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6.4822112458093615E-3</v>
      </c>
      <c r="AC59" s="24">
        <f t="shared" si="3"/>
        <v>60.633791889081053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5.2</v>
      </c>
      <c r="AI59" s="14">
        <f>IF('Données projet'!$A$62&gt;35,AI58+AH59-AQ58,IF(A59&lt;'Données projet'!$A$62,$AF$205^A59,IF(A59='Données projet'!$A$62,'Données projet'!$B$62,AI58+AH59-AQ58)))</f>
        <v>178.19999999999973</v>
      </c>
      <c r="AJ59" s="14">
        <f>AI59*VLOOKUP('Données projet'!$B$10,Paramètres!$A$1:$I$89,3,0)*VLOOKUP('Données projet'!$B$10,Paramètres!$A$1:$I$89,5,0)</f>
        <v>155.67551999999978</v>
      </c>
      <c r="AK59" s="14">
        <f t="shared" si="35"/>
        <v>39.865566884055028</v>
      </c>
      <c r="AL59" s="22">
        <f t="shared" si="4"/>
        <v>340.56739298972877</v>
      </c>
      <c r="AM59" s="62">
        <f t="shared" si="5"/>
        <v>633.90072632306214</v>
      </c>
      <c r="AN59" s="62">
        <f ca="1">AVERAGE(OFFSET($AM$3,0,0,'Données projet'!$E$10+1,1))-AVERAGE(OFFSET($H$3,0,0,'Données projet'!$E$10+1,1))</f>
        <v>298.251705538794</v>
      </c>
      <c r="AO59" s="62">
        <f t="shared" si="36"/>
        <v>313.28172726625479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25.405549155885613</v>
      </c>
      <c r="AW59" s="23">
        <f>EXP(-LN(2)/2)*AW58+(1-EXP(-LN(2)/2))/(LN(2)/2)*AQ59*AT59*VLOOKUP('Données projet'!$B$10,Paramètres!$A$1:$I$89,3,0)*0.475*44/12</f>
        <v>7.648584696357803</v>
      </c>
      <c r="AX59" s="23">
        <f t="shared" si="6"/>
        <v>33.054133852243417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59.438445114060421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4.5836155289954977E-3</v>
      </c>
      <c r="AC60" s="24">
        <f t="shared" si="3"/>
        <v>59.443028729589415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5.2</v>
      </c>
      <c r="AI60" s="14">
        <f>IF('Données projet'!$A$62&gt;35,AI59+AH60-AQ59,IF(A60&lt;'Données projet'!$A$62,$AF$205^A60,IF(A60='Données projet'!$A$62,'Données projet'!$B$62,AI59+AH60-AQ59)))</f>
        <v>183.39999999999972</v>
      </c>
      <c r="AJ60" s="14">
        <f>AI60*VLOOKUP('Données projet'!$B$10,Paramètres!$A$1:$I$89,3,0)*VLOOKUP('Données projet'!$B$10,Paramètres!$A$1:$I$89,5,0)</f>
        <v>160.21823999999978</v>
      </c>
      <c r="AK60" s="14">
        <f t="shared" si="35"/>
        <v>40.891736142170181</v>
      </c>
      <c r="AL60" s="22">
        <f t="shared" si="4"/>
        <v>350.266541780946</v>
      </c>
      <c r="AM60" s="62">
        <f t="shared" si="5"/>
        <v>643.59987511427926</v>
      </c>
      <c r="AN60" s="62">
        <f ca="1">AVERAGE(OFFSET($AM$3,0,0,'Données projet'!$E$10+1,1))-AVERAGE(OFFSET($H$3,0,0,'Données projet'!$E$10+1,1))</f>
        <v>298.251705538794</v>
      </c>
      <c r="AO60" s="62">
        <f t="shared" si="36"/>
        <v>313.28172726625479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24.710833078198156</v>
      </c>
      <c r="AW60" s="23">
        <f>EXP(-LN(2)/2)*AW59+(1-EXP(-LN(2)/2))/(LN(2)/2)*AQ60*AT60*VLOOKUP('Données projet'!$B$10,Paramètres!$A$1:$I$89,3,0)*0.475*44/12</f>
        <v>5.4083661052742533</v>
      </c>
      <c r="AX60" s="23">
        <f t="shared" si="6"/>
        <v>30.119199183472411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58.272893459245445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3.2411056229046807E-3</v>
      </c>
      <c r="AC61" s="24">
        <f t="shared" si="3"/>
        <v>58.27613456486835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5.2</v>
      </c>
      <c r="AI61" s="14">
        <f>IF('Données projet'!$A$62&gt;35,AI60+AH61-AQ60,IF(A61&lt;'Données projet'!$A$62,$AF$205^A61,IF(A61='Données projet'!$A$62,'Données projet'!$B$62,AI60+AH61-AQ60)))</f>
        <v>188.59999999999971</v>
      </c>
      <c r="AJ61" s="14">
        <f>AI61*VLOOKUP('Données projet'!$B$10,Paramètres!$A$1:$I$89,3,0)*VLOOKUP('Données projet'!$B$10,Paramètres!$A$1:$I$89,5,0)</f>
        <v>164.76095999999976</v>
      </c>
      <c r="AK61" s="14">
        <f t="shared" si="35"/>
        <v>41.914523809719867</v>
      </c>
      <c r="AL61" s="22">
        <f t="shared" si="4"/>
        <v>359.95980096859495</v>
      </c>
      <c r="AM61" s="62">
        <f t="shared" si="5"/>
        <v>653.29313430192826</v>
      </c>
      <c r="AN61" s="62">
        <f ca="1">AVERAGE(OFFSET($AM$3,0,0,'Données projet'!$E$10+1,1))-AVERAGE(OFFSET($H$3,0,0,'Données projet'!$E$10+1,1))</f>
        <v>298.251705538794</v>
      </c>
      <c r="AO61" s="62">
        <f t="shared" si="36"/>
        <v>313.28172726625479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24.035114048188593</v>
      </c>
      <c r="AW61" s="23">
        <f>EXP(-LN(2)/2)*AW60+(1-EXP(-LN(2)/2))/(LN(2)/2)*AQ61*AT61*VLOOKUP('Données projet'!$B$10,Paramètres!$A$1:$I$89,3,0)*0.475*44/12</f>
        <v>3.824292348178902</v>
      </c>
      <c r="AX61" s="23">
        <f t="shared" si="6"/>
        <v>27.859406396367493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57.130197561465074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2.2918077644977488E-3</v>
      </c>
      <c r="AC62" s="24">
        <f t="shared" si="3"/>
        <v>57.132489369229575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5.2</v>
      </c>
      <c r="AI62" s="14">
        <f>IF('Données projet'!$A$62&gt;35,AI61+AH62-AQ61,IF(A62&lt;'Données projet'!$A$62,$AF$205^A62,IF(A62='Données projet'!$A$62,'Données projet'!$B$62,AI61+AH62-AQ61)))</f>
        <v>193.7999999999997</v>
      </c>
      <c r="AJ62" s="14">
        <f>AI62*VLOOKUP('Données projet'!$B$10,Paramètres!$A$1:$I$89,3,0)*VLOOKUP('Données projet'!$B$10,Paramètres!$A$1:$I$89,5,0)</f>
        <v>169.30367999999976</v>
      </c>
      <c r="AK62" s="14">
        <f t="shared" si="35"/>
        <v>42.934033834973178</v>
      </c>
      <c r="AL62" s="22">
        <f t="shared" si="4"/>
        <v>369.64735159591118</v>
      </c>
      <c r="AM62" s="62">
        <f t="shared" si="5"/>
        <v>662.98068492924449</v>
      </c>
      <c r="AN62" s="62">
        <f ca="1">AVERAGE(OFFSET($AM$3,0,0,'Données projet'!$E$10+1,1))-AVERAGE(OFFSET($H$3,0,0,'Données projet'!$E$10+1,1))</f>
        <v>298.251705538794</v>
      </c>
      <c r="AO62" s="62">
        <f t="shared" si="36"/>
        <v>313.28172726625479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23.37787259058916</v>
      </c>
      <c r="AW62" s="23">
        <f>EXP(-LN(2)/2)*AW61+(1-EXP(-LN(2)/2))/(LN(2)/2)*AQ62*AT62*VLOOKUP('Données projet'!$B$10,Paramètres!$A$1:$I$89,3,0)*0.475*44/12</f>
        <v>2.7041830526371271</v>
      </c>
      <c r="AX62" s="23">
        <f t="shared" si="6"/>
        <v>26.082055643226287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56.009909233264501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1.6205528114523404E-3</v>
      </c>
      <c r="AC63" s="24">
        <f t="shared" si="3"/>
        <v>56.011529786075954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199</v>
      </c>
      <c r="AG63" s="13">
        <f>VLOOKUP(A63,'Données projet'!$A$61:$I$81,9,0)</f>
        <v>5.2</v>
      </c>
      <c r="AH63" s="13">
        <f t="array" ref="AH63">INDEX(AG:AG,MIN(IF(ISNUMBER(AG63:AG259),ROW(AG63:AG259),"")))</f>
        <v>5.2</v>
      </c>
      <c r="AI63" s="14">
        <f>IF('Données projet'!$A$62&gt;35,AI62+AH63-AQ62,IF(A63&lt;'Données projet'!$A$62,$AF$205^A63,IF(A63='Données projet'!$A$62,'Données projet'!$B$62,AI62+AH63-AQ62)))</f>
        <v>198.99999999999969</v>
      </c>
      <c r="AJ63" s="14">
        <f>AI63*VLOOKUP('Données projet'!$B$10,Paramètres!$A$1:$I$89,3,0)*VLOOKUP('Données projet'!$B$10,Paramètres!$A$1:$I$89,5,0)</f>
        <v>173.84639999999976</v>
      </c>
      <c r="AK63" s="14">
        <f t="shared" si="35"/>
        <v>43.950364270382217</v>
      </c>
      <c r="AL63" s="22">
        <f t="shared" si="4"/>
        <v>379.32936443758189</v>
      </c>
      <c r="AM63" s="62">
        <f t="shared" si="5"/>
        <v>672.6626977709152</v>
      </c>
      <c r="AN63" s="62">
        <f ca="1">AVERAGE(OFFSET($AM$3,0,0,'Données projet'!$E$10+1,1))-AVERAGE(OFFSET($H$3,0,0,'Données projet'!$E$10+1,1))</f>
        <v>298.251705538794</v>
      </c>
      <c r="AO63" s="62">
        <f t="shared" si="36"/>
        <v>313.28172726625479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19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0.215</v>
      </c>
      <c r="AT63" s="17">
        <f>IF(ISNA(VLOOKUP(A63,'Données projet'!$A$61:$I$81,7,0)),0%,VLOOKUP(A63,'Données projet'!$A$61:$I$81,7,0))</f>
        <v>0.5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26.66811379850343</v>
      </c>
      <c r="AW63" s="23">
        <f>EXP(-LN(2)/2)*AW62+(1-EXP(-LN(2)/2))/(LN(2)/2)*AQ63*AT63*VLOOKUP('Données projet'!$B$10,Paramètres!$A$1:$I$89,3,0)*0.475*44/12</f>
        <v>9.7426647437824894</v>
      </c>
      <c r="AX63" s="23">
        <f t="shared" si="6"/>
        <v>36.410778542285918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54.911589075871532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1.1459038822488744E-3</v>
      </c>
      <c r="AC64" s="24">
        <f t="shared" si="3"/>
        <v>54.912734979753779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4.5999999999999996</v>
      </c>
      <c r="AI64" s="14">
        <f>IF('Données projet'!$A$62&gt;35,AI63+AH64-AQ63,IF(A64&lt;'Données projet'!$A$62,$AF$205^A64,IF(A64='Données projet'!$A$62,'Données projet'!$B$62,AI63+AH64-AQ63)))</f>
        <v>184.59999999999968</v>
      </c>
      <c r="AJ64" s="14">
        <f>AI64*VLOOKUP('Données projet'!$B$10,Paramètres!$A$1:$I$89,3,0)*VLOOKUP('Données projet'!$B$10,Paramètres!$A$1:$I$89,5,0)</f>
        <v>161.26655999999974</v>
      </c>
      <c r="AK64" s="14">
        <f t="shared" si="35"/>
        <v>41.128060321982446</v>
      </c>
      <c r="AL64" s="22">
        <f t="shared" si="4"/>
        <v>352.50396372745234</v>
      </c>
      <c r="AM64" s="62">
        <f t="shared" si="5"/>
        <v>645.83729706078566</v>
      </c>
      <c r="AN64" s="62">
        <f ca="1">AVERAGE(OFFSET($AM$3,0,0,'Données projet'!$E$10+1,1))-AVERAGE(OFFSET($H$3,0,0,'Données projet'!$E$10+1,1))</f>
        <v>298.251705538794</v>
      </c>
      <c r="AO64" s="62">
        <f t="shared" si="36"/>
        <v>313.28172726625479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25.938872824268199</v>
      </c>
      <c r="AW64" s="23">
        <f>EXP(-LN(2)/2)*AW63+(1-EXP(-LN(2)/2))/(LN(2)/2)*AQ64*AT64*VLOOKUP('Données projet'!$B$10,Paramètres!$A$1:$I$89,3,0)*0.475*44/12</f>
        <v>6.8891043071556961</v>
      </c>
      <c r="AX64" s="23">
        <f t="shared" si="6"/>
        <v>32.827977131423893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53.834806306855896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8.1027640572617018E-4</v>
      </c>
      <c r="AC65" s="24">
        <f t="shared" si="3"/>
        <v>53.835616583261618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4.5999999999999996</v>
      </c>
      <c r="AI65" s="14">
        <f>IF('Données projet'!$A$62&gt;35,AI64+AH65-AQ64,IF(A65&lt;'Données projet'!$A$62,$AF$205^A65,IF(A65='Données projet'!$A$62,'Données projet'!$B$62,AI64+AH65-AQ64)))</f>
        <v>189.19999999999968</v>
      </c>
      <c r="AJ65" s="14">
        <f>AI65*VLOOKUP('Données projet'!$B$10,Paramètres!$A$1:$I$89,3,0)*VLOOKUP('Données projet'!$B$10,Paramètres!$A$1:$I$89,5,0)</f>
        <v>165.28511999999975</v>
      </c>
      <c r="AK65" s="14">
        <f t="shared" si="35"/>
        <v>42.0323249466717</v>
      </c>
      <c r="AL65" s="22">
        <f t="shared" si="4"/>
        <v>361.07788328211944</v>
      </c>
      <c r="AM65" s="62">
        <f t="shared" si="5"/>
        <v>654.41121661545276</v>
      </c>
      <c r="AN65" s="62">
        <f ca="1">AVERAGE(OFFSET($AM$3,0,0,'Données projet'!$E$10+1,1))-AVERAGE(OFFSET($H$3,0,0,'Données projet'!$E$10+1,1))</f>
        <v>298.251705538794</v>
      </c>
      <c r="AO65" s="62">
        <f t="shared" si="36"/>
        <v>313.28172726625479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25.229572982822546</v>
      </c>
      <c r="AW65" s="23">
        <f>EXP(-LN(2)/2)*AW64+(1-EXP(-LN(2)/2))/(LN(2)/2)*AQ65*AT65*VLOOKUP('Données projet'!$B$10,Paramètres!$A$1:$I$89,3,0)*0.475*44/12</f>
        <v>4.8713323718912456</v>
      </c>
      <c r="AX65" s="23">
        <f t="shared" si="6"/>
        <v>30.100905354713792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52.779138591168014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5.7295194112443721E-4</v>
      </c>
      <c r="AC66" s="24">
        <f t="shared" si="3"/>
        <v>52.779711543109137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4.5999999999999996</v>
      </c>
      <c r="AI66" s="14">
        <f>IF('Données projet'!$A$62&gt;35,AI65+AH66-AQ65,IF(A66&lt;'Données projet'!$A$62,$AF$205^A66,IF(A66='Données projet'!$A$62,'Données projet'!$B$62,AI65+AH66-AQ65)))</f>
        <v>193.79999999999967</v>
      </c>
      <c r="AJ66" s="14">
        <f>AI66*VLOOKUP('Données projet'!$B$10,Paramètres!$A$1:$I$89,3,0)*VLOOKUP('Données projet'!$B$10,Paramètres!$A$1:$I$89,5,0)</f>
        <v>169.30367999999973</v>
      </c>
      <c r="AK66" s="14">
        <f t="shared" si="35"/>
        <v>42.934033834973178</v>
      </c>
      <c r="AL66" s="22">
        <f t="shared" si="4"/>
        <v>369.64735159591118</v>
      </c>
      <c r="AM66" s="62">
        <f t="shared" si="5"/>
        <v>662.98068492924449</v>
      </c>
      <c r="AN66" s="62">
        <f ca="1">AVERAGE(OFFSET($AM$3,0,0,'Données projet'!$E$10+1,1))-AVERAGE(OFFSET($H$3,0,0,'Données projet'!$E$10+1,1))</f>
        <v>298.251705538794</v>
      </c>
      <c r="AO66" s="62">
        <f t="shared" si="36"/>
        <v>313.28172726625479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24.539668982841683</v>
      </c>
      <c r="AW66" s="23">
        <f>EXP(-LN(2)/2)*AW65+(1-EXP(-LN(2)/2))/(LN(2)/2)*AQ66*AT66*VLOOKUP('Données projet'!$B$10,Paramètres!$A$1:$I$89,3,0)*0.475*44/12</f>
        <v>3.4445521535778489</v>
      </c>
      <c r="AX66" s="23">
        <f t="shared" si="6"/>
        <v>27.984221136419531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51.744171875491041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4.0513820286308509E-4</v>
      </c>
      <c r="AC67" s="24">
        <f t="shared" si="3"/>
        <v>51.744577013693906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4.5999999999999996</v>
      </c>
      <c r="AI67" s="14">
        <f>IF('Données projet'!$A$62&gt;35,AI66+AH67-AQ66,IF(A67&lt;'Données projet'!$A$62,$AF$205^A67,IF(A67='Données projet'!$A$62,'Données projet'!$B$62,AI66+AH67-AQ66)))</f>
        <v>198.39999999999966</v>
      </c>
      <c r="AJ67" s="14">
        <f>AI67*VLOOKUP('Données projet'!$B$10,Paramètres!$A$1:$I$89,3,0)*VLOOKUP('Données projet'!$B$10,Paramètres!$A$1:$I$89,5,0)</f>
        <v>173.32223999999974</v>
      </c>
      <c r="AK67" s="14">
        <f t="shared" si="35"/>
        <v>43.833254629845044</v>
      </c>
      <c r="AL67" s="22">
        <f t="shared" si="4"/>
        <v>378.21248648031298</v>
      </c>
      <c r="AM67" s="62">
        <f t="shared" si="5"/>
        <v>671.54581981364629</v>
      </c>
      <c r="AN67" s="62">
        <f ca="1">AVERAGE(OFFSET($AM$3,0,0,'Données projet'!$E$10+1,1))-AVERAGE(OFFSET($H$3,0,0,'Données projet'!$E$10+1,1))</f>
        <v>298.251705538794</v>
      </c>
      <c r="AO67" s="62">
        <f t="shared" si="36"/>
        <v>313.28172726625479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23.86863044402077</v>
      </c>
      <c r="AW67" s="23">
        <f>EXP(-LN(2)/2)*AW66+(1-EXP(-LN(2)/2))/(LN(2)/2)*AQ67*AT67*VLOOKUP('Données projet'!$B$10,Paramètres!$A$1:$I$89,3,0)*0.475*44/12</f>
        <v>2.4356661859456232</v>
      </c>
      <c r="AX67" s="23">
        <f t="shared" si="6"/>
        <v>26.304296629966395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50.729500225841136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2.864759705622186E-4</v>
      </c>
      <c r="AC68" s="24">
        <f t="shared" ref="AC68:AC131" si="57">SUM(Z68:AB68)</f>
        <v>50.729786701811697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203</v>
      </c>
      <c r="AG68" s="13">
        <f>VLOOKUP(A68,'Données projet'!$A$61:$I$81,9,0)</f>
        <v>4.5999999999999996</v>
      </c>
      <c r="AH68" s="13">
        <f t="array" ref="AH68">INDEX(AG:AG,MIN(IF(ISNUMBER(AG68:AG264),ROW(AG68:AG264),"")))</f>
        <v>4.5999999999999996</v>
      </c>
      <c r="AI68" s="14">
        <f>IF('Données projet'!$A$62&gt;35,AI67+AH68-AQ67,IF(A68&lt;'Données projet'!$A$62,$AF$205^A68,IF(A68='Données projet'!$A$62,'Données projet'!$B$62,AI67+AH68-AQ67)))</f>
        <v>202.99999999999966</v>
      </c>
      <c r="AJ68" s="14">
        <f>AI68*VLOOKUP('Données projet'!$B$10,Paramètres!$A$1:$I$89,3,0)*VLOOKUP('Données projet'!$B$10,Paramètres!$A$1:$I$89,5,0)</f>
        <v>177.34079999999972</v>
      </c>
      <c r="AK68" s="14">
        <f t="shared" si="35"/>
        <v>44.730051658603024</v>
      </c>
      <c r="AL68" s="22">
        <f t="shared" ref="AL68:AL131" si="58">(AJ68+AK68)*0.475*44/12</f>
        <v>386.77339997206644</v>
      </c>
      <c r="AM68" s="62">
        <f t="shared" ref="AM68:AM131" si="59">AL68+(AD68+AE68)*44/12</f>
        <v>680.10673330539976</v>
      </c>
      <c r="AN68" s="62">
        <f ca="1">AVERAGE(OFFSET($AM$3,0,0,'Données projet'!$E$10+1,1))-AVERAGE(OFFSET($H$3,0,0,'Données projet'!$E$10+1,1))</f>
        <v>298.251705538794</v>
      </c>
      <c r="AO68" s="62">
        <f t="shared" si="36"/>
        <v>313.28172726625479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17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0.215</v>
      </c>
      <c r="AT68" s="17">
        <f>IF(ISNA(VLOOKUP(A68,'Données projet'!$A$61:$I$81,7,0)),0%,VLOOKUP(A68,'Données projet'!$A$61:$I$81,7,0))</f>
        <v>0.5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26.73181918280482</v>
      </c>
      <c r="AW68" s="23">
        <f>EXP(-LN(2)/2)*AW67+(1-EXP(-LN(2)/2))/(LN(2)/2)*AQ68*AT68*VLOOKUP('Données projet'!$B$10,Paramètres!$A$1:$I$89,3,0)*0.475*44/12</f>
        <v>8.7285295338826963</v>
      </c>
      <c r="AX68" s="23">
        <f t="shared" ref="AX68:AX131" si="60">SUM(AU68:AW68)</f>
        <v>35.46034871668752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49.734725668352269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2.0256910143154255E-4</v>
      </c>
      <c r="AC69" s="24">
        <f t="shared" si="57"/>
        <v>49.734928237453701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</v>
      </c>
      <c r="AI69" s="14">
        <f>IF('Données projet'!$A$62&gt;35,AI68+AH69-AQ68,IF(A69&lt;'Données projet'!$A$62,$AF$205^A69,IF(A69='Données projet'!$A$62,'Données projet'!$B$62,AI68+AH69-AQ68)))</f>
        <v>189.99999999999966</v>
      </c>
      <c r="AJ69" s="14">
        <f>AI69*VLOOKUP('Données projet'!$B$10,Paramètres!$A$1:$I$89,3,0)*VLOOKUP('Données projet'!$B$10,Paramètres!$A$1:$I$89,5,0)</f>
        <v>165.98399999999972</v>
      </c>
      <c r="AK69" s="14">
        <f t="shared" ref="AK69:AK132" si="89">EXP(-1.0587+0.8836*LN(AJ69)+0.284)</f>
        <v>42.189325525922207</v>
      </c>
      <c r="AL69" s="22">
        <f t="shared" si="58"/>
        <v>362.56854195764731</v>
      </c>
      <c r="AM69" s="62">
        <f t="shared" si="59"/>
        <v>655.90187529098057</v>
      </c>
      <c r="AN69" s="62">
        <f ca="1">AVERAGE(OFFSET($AM$3,0,0,'Données projet'!$E$10+1,1))-AVERAGE(OFFSET($H$3,0,0,'Données projet'!$E$10+1,1))</f>
        <v>298.251705538794</v>
      </c>
      <c r="AO69" s="62">
        <f t="shared" ref="AO69:AO132" si="90">$AO$3</f>
        <v>313.28172726625479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26.000836181485749</v>
      </c>
      <c r="AW69" s="23">
        <f>EXP(-LN(2)/2)*AW68+(1-EXP(-LN(2)/2))/(LN(2)/2)*AQ69*AT69*VLOOKUP('Données projet'!$B$10,Paramètres!$A$1:$I$89,3,0)*0.475*44/12</f>
        <v>6.1720024231955097</v>
      </c>
      <c r="AX69" s="23">
        <f t="shared" si="60"/>
        <v>32.17283860468126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48.759458033183186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1.432379852811093E-4</v>
      </c>
      <c r="AC70" s="24">
        <f t="shared" si="57"/>
        <v>48.759601271168471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</v>
      </c>
      <c r="AI70" s="14">
        <f>IF('Données projet'!$A$62&gt;35,AI69+AH70-AQ69,IF(A70&lt;'Données projet'!$A$62,$AF$205^A70,IF(A70='Données projet'!$A$62,'Données projet'!$B$62,AI69+AH70-AQ69)))</f>
        <v>193.99999999999966</v>
      </c>
      <c r="AJ70" s="14">
        <f>AI70*VLOOKUP('Données projet'!$B$10,Paramètres!$A$1:$I$89,3,0)*VLOOKUP('Données projet'!$B$10,Paramètres!$A$1:$I$89,5,0)</f>
        <v>169.47839999999971</v>
      </c>
      <c r="AK70" s="14">
        <f t="shared" si="89"/>
        <v>42.973181651930219</v>
      </c>
      <c r="AL70" s="22">
        <f t="shared" si="58"/>
        <v>370.01983804377795</v>
      </c>
      <c r="AM70" s="62">
        <f t="shared" si="59"/>
        <v>663.35317137711127</v>
      </c>
      <c r="AN70" s="62">
        <f ca="1">AVERAGE(OFFSET($AM$3,0,0,'Données projet'!$E$10+1,1))-AVERAGE(OFFSET($H$3,0,0,'Données projet'!$E$10+1,1))</f>
        <v>298.251705538794</v>
      </c>
      <c r="AO70" s="62">
        <f t="shared" si="90"/>
        <v>313.28172726625479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25.289841948778474</v>
      </c>
      <c r="AW70" s="23">
        <f>EXP(-LN(2)/2)*AW69+(1-EXP(-LN(2)/2))/(LN(2)/2)*AQ70*AT70*VLOOKUP('Données projet'!$B$10,Paramètres!$A$1:$I$89,3,0)*0.475*44/12</f>
        <v>4.364264766941349</v>
      </c>
      <c r="AX70" s="23">
        <f t="shared" si="60"/>
        <v>29.654106715719823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47.80331480148525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1.0128455071577127E-4</v>
      </c>
      <c r="AC71" s="24">
        <f t="shared" si="57"/>
        <v>47.803416086035966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</v>
      </c>
      <c r="AI71" s="14">
        <f>IF('Données projet'!$A$62&gt;35,AI70+AH71-AQ70,IF(A71&lt;'Données projet'!$A$62,$AF$205^A71,IF(A71='Données projet'!$A$62,'Données projet'!$B$62,AI70+AH71-AQ70)))</f>
        <v>197.99999999999966</v>
      </c>
      <c r="AJ71" s="14">
        <f>AI71*VLOOKUP('Données projet'!$B$10,Paramètres!$A$1:$I$89,3,0)*VLOOKUP('Données projet'!$B$10,Paramètres!$A$1:$I$89,5,0)</f>
        <v>172.97279999999972</v>
      </c>
      <c r="AK71" s="14">
        <f t="shared" si="89"/>
        <v>43.755158638197209</v>
      </c>
      <c r="AL71" s="22">
        <f t="shared" si="58"/>
        <v>377.46786129485963</v>
      </c>
      <c r="AM71" s="62">
        <f t="shared" si="59"/>
        <v>670.80119462819289</v>
      </c>
      <c r="AN71" s="62">
        <f ca="1">AVERAGE(OFFSET($AM$3,0,0,'Données projet'!$E$10+1,1))-AVERAGE(OFFSET($H$3,0,0,'Données projet'!$E$10+1,1))</f>
        <v>298.251705538794</v>
      </c>
      <c r="AO71" s="62">
        <f t="shared" si="90"/>
        <v>313.28172726625479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24.598289890754138</v>
      </c>
      <c r="AW71" s="23">
        <f>EXP(-LN(2)/2)*AW70+(1-EXP(-LN(2)/2))/(LN(2)/2)*AQ71*AT71*VLOOKUP('Données projet'!$B$10,Paramètres!$A$1:$I$89,3,0)*0.475*44/12</f>
        <v>3.0860012115977553</v>
      </c>
      <c r="AX71" s="23">
        <f t="shared" si="60"/>
        <v>27.684291102351892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46.865920955371124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7.1618992640554651E-5</v>
      </c>
      <c r="AC72" s="24">
        <f t="shared" si="57"/>
        <v>46.865992574363766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</v>
      </c>
      <c r="AI72" s="14">
        <f>IF('Données projet'!$A$62&gt;35,AI71+AH72-AQ71,IF(A72&lt;'Données projet'!$A$62,$AF$205^A72,IF(A72='Données projet'!$A$62,'Données projet'!$B$62,AI71+AH72-AQ71)))</f>
        <v>201.99999999999966</v>
      </c>
      <c r="AJ72" s="14">
        <f>AI72*VLOOKUP('Données projet'!$B$10,Paramètres!$A$1:$I$89,3,0)*VLOOKUP('Données projet'!$B$10,Paramètres!$A$1:$I$89,5,0)</f>
        <v>176.46719999999974</v>
      </c>
      <c r="AK72" s="14">
        <f t="shared" si="89"/>
        <v>44.53529882198935</v>
      </c>
      <c r="AL72" s="22">
        <f t="shared" si="58"/>
        <v>384.91268544829768</v>
      </c>
      <c r="AM72" s="62">
        <f t="shared" si="59"/>
        <v>678.24601878163094</v>
      </c>
      <c r="AN72" s="62">
        <f ca="1">AVERAGE(OFFSET($AM$3,0,0,'Données projet'!$E$10+1,1))-AVERAGE(OFFSET($H$3,0,0,'Données projet'!$E$10+1,1))</f>
        <v>298.251705538794</v>
      </c>
      <c r="AO72" s="62">
        <f t="shared" si="90"/>
        <v>313.28172726625479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23.925648360123621</v>
      </c>
      <c r="AW72" s="23">
        <f>EXP(-LN(2)/2)*AW71+(1-EXP(-LN(2)/2))/(LN(2)/2)*AQ72*AT72*VLOOKUP('Données projet'!$B$10,Paramètres!$A$1:$I$89,3,0)*0.475*44/12</f>
        <v>2.1821323834706745</v>
      </c>
      <c r="AX72" s="23">
        <f t="shared" si="60"/>
        <v>26.107780743594294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45.946908830825507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5.0642275357885636E-5</v>
      </c>
      <c r="AC73" s="24">
        <f t="shared" si="57"/>
        <v>45.946959473100861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206</v>
      </c>
      <c r="AG73" s="13">
        <f>VLOOKUP(A73,'Données projet'!$A$61:$I$81,9,0)</f>
        <v>4</v>
      </c>
      <c r="AH73" s="13">
        <f t="array" ref="AH73">INDEX(AG:AG,MIN(IF(ISNUMBER(AG73:AG269),ROW(AG73:AG269),"")))</f>
        <v>4</v>
      </c>
      <c r="AI73" s="14">
        <f>IF('Données projet'!$A$62&gt;35,AI72+AH73-AQ72,IF(A73&lt;'Données projet'!$A$62,$AF$205^A73,IF(A73='Données projet'!$A$62,'Données projet'!$B$62,AI72+AH73-AQ72)))</f>
        <v>205.99999999999966</v>
      </c>
      <c r="AJ73" s="14">
        <f>AI73*VLOOKUP('Données projet'!$B$10,Paramètres!$A$1:$I$89,3,0)*VLOOKUP('Données projet'!$B$10,Paramètres!$A$1:$I$89,5,0)</f>
        <v>179.96159999999972</v>
      </c>
      <c r="AK73" s="14">
        <f t="shared" si="89"/>
        <v>45.313642767960062</v>
      </c>
      <c r="AL73" s="22">
        <f t="shared" si="58"/>
        <v>392.35438115419657</v>
      </c>
      <c r="AM73" s="62">
        <f t="shared" si="59"/>
        <v>685.68771448752989</v>
      </c>
      <c r="AN73" s="62">
        <f ca="1">AVERAGE(OFFSET($AM$3,0,0,'Données projet'!$E$10+1,1))-AVERAGE(OFFSET($H$3,0,0,'Données projet'!$E$10+1,1))</f>
        <v>298.251705538794</v>
      </c>
      <c r="AO73" s="62">
        <f t="shared" si="90"/>
        <v>313.28172726625479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15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0.215</v>
      </c>
      <c r="AT73" s="17">
        <f>IF(ISNA(VLOOKUP(A73,'Données projet'!$A$61:$I$81,7,0)),0%,VLOOKUP(A73,'Données projet'!$A$61:$I$81,7,0))</f>
        <v>0.5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26.373645271173103</v>
      </c>
      <c r="AW73" s="23">
        <f>EXP(-LN(2)/2)*AW72+(1-EXP(-LN(2)/2))/(LN(2)/2)*AQ73*AT73*VLOOKUP('Données projet'!$B$10,Paramètres!$A$1:$I$89,3,0)*0.475*44/12</f>
        <v>7.7249889502933815</v>
      </c>
      <c r="AX73" s="23">
        <f t="shared" si="60"/>
        <v>34.098634221466483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45.045917973500181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3.5809496320277326E-5</v>
      </c>
      <c r="AC74" s="24">
        <f t="shared" si="57"/>
        <v>45.045953782996499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3.6</v>
      </c>
      <c r="AI74" s="14">
        <f>IF('Données projet'!$A$62&gt;35,AI73+AH74-AQ73,IF(A74&lt;'Données projet'!$A$62,$AF$205^A74,IF(A74='Données projet'!$A$62,'Données projet'!$B$62,AI73+AH74-AQ73)))</f>
        <v>194.59999999999965</v>
      </c>
      <c r="AJ74" s="14">
        <f>AI74*VLOOKUP('Données projet'!$B$10,Paramètres!$A$1:$I$89,3,0)*VLOOKUP('Données projet'!$B$10,Paramètres!$A$1:$I$89,5,0)</f>
        <v>170.0025599999997</v>
      </c>
      <c r="AK74" s="14">
        <f t="shared" si="89"/>
        <v>43.090596939649508</v>
      </c>
      <c r="AL74" s="22">
        <f t="shared" si="58"/>
        <v>371.13724833655573</v>
      </c>
      <c r="AM74" s="62">
        <f t="shared" si="59"/>
        <v>664.47058166988904</v>
      </c>
      <c r="AN74" s="62">
        <f ca="1">AVERAGE(OFFSET($AM$3,0,0,'Données projet'!$E$10+1,1))-AVERAGE(OFFSET($H$3,0,0,'Données projet'!$E$10+1,1))</f>
        <v>298.251705538794</v>
      </c>
      <c r="AO74" s="62">
        <f t="shared" si="90"/>
        <v>313.28172726625479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25.652456554303146</v>
      </c>
      <c r="AW74" s="23">
        <f>EXP(-LN(2)/2)*AW73+(1-EXP(-LN(2)/2))/(LN(2)/2)*AQ74*AT74*VLOOKUP('Données projet'!$B$10,Paramètres!$A$1:$I$89,3,0)*0.475*44/12</f>
        <v>5.4623920713435998</v>
      </c>
      <c r="AX74" s="23">
        <f t="shared" si="60"/>
        <v>31.114848625646747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44.162594997336846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2.5321137678942818E-5</v>
      </c>
      <c r="AC75" s="24">
        <f t="shared" si="57"/>
        <v>44.162620318474524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3.6</v>
      </c>
      <c r="AI75" s="14">
        <f>IF('Données projet'!$A$62&gt;35,AI74+AH75-AQ74,IF(A75&lt;'Données projet'!$A$62,$AF$205^A75,IF(A75='Données projet'!$A$62,'Données projet'!$B$62,AI74+AH75-AQ74)))</f>
        <v>198.19999999999965</v>
      </c>
      <c r="AJ75" s="14">
        <f>AI75*VLOOKUP('Données projet'!$B$10,Paramètres!$A$1:$I$89,3,0)*VLOOKUP('Données projet'!$B$10,Paramètres!$A$1:$I$89,5,0)</f>
        <v>173.14751999999973</v>
      </c>
      <c r="AK75" s="14">
        <f t="shared" si="89"/>
        <v>43.794208927254033</v>
      </c>
      <c r="AL75" s="22">
        <f t="shared" si="58"/>
        <v>377.84017788163356</v>
      </c>
      <c r="AM75" s="62">
        <f t="shared" si="59"/>
        <v>671.17351121496688</v>
      </c>
      <c r="AN75" s="62">
        <f ca="1">AVERAGE(OFFSET($AM$3,0,0,'Données projet'!$E$10+1,1))-AVERAGE(OFFSET($H$3,0,0,'Données projet'!$E$10+1,1))</f>
        <v>298.251705538794</v>
      </c>
      <c r="AO75" s="62">
        <f t="shared" si="90"/>
        <v>313.28172726625479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24.950988780821667</v>
      </c>
      <c r="AW75" s="23">
        <f>EXP(-LN(2)/2)*AW74+(1-EXP(-LN(2)/2))/(LN(2)/2)*AQ75*AT75*VLOOKUP('Données projet'!$B$10,Paramètres!$A$1:$I$89,3,0)*0.475*44/12</f>
        <v>3.8624944751466912</v>
      </c>
      <c r="AX75" s="23">
        <f t="shared" si="60"/>
        <v>28.813483255968357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43.296593445962259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1.7904748160138663E-5</v>
      </c>
      <c r="AC76" s="24">
        <f t="shared" si="57"/>
        <v>43.296611350710421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3.6</v>
      </c>
      <c r="AI76" s="14">
        <f>IF('Données projet'!$A$62&gt;35,AI75+AH76-AQ75,IF(A76&lt;'Données projet'!$A$62,$AF$205^A76,IF(A76='Données projet'!$A$62,'Données projet'!$B$62,AI75+AH76-AQ75)))</f>
        <v>201.79999999999964</v>
      </c>
      <c r="AJ76" s="14">
        <f>AI76*VLOOKUP('Données projet'!$B$10,Paramètres!$A$1:$I$89,3,0)*VLOOKUP('Données projet'!$B$10,Paramètres!$A$1:$I$89,5,0)</f>
        <v>176.2924799999997</v>
      </c>
      <c r="AK76" s="14">
        <f t="shared" si="89"/>
        <v>44.496334803721815</v>
      </c>
      <c r="AL76" s="22">
        <f t="shared" si="58"/>
        <v>384.54051911648162</v>
      </c>
      <c r="AM76" s="62">
        <f t="shared" si="59"/>
        <v>677.87385244981488</v>
      </c>
      <c r="AN76" s="62">
        <f ca="1">AVERAGE(OFFSET($AM$3,0,0,'Données projet'!$E$10+1,1))-AVERAGE(OFFSET($H$3,0,0,'Données projet'!$E$10+1,1))</f>
        <v>298.251705538794</v>
      </c>
      <c r="AO76" s="62">
        <f t="shared" si="90"/>
        <v>313.28172726625479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24.268702680494624</v>
      </c>
      <c r="AW76" s="23">
        <f>EXP(-LN(2)/2)*AW75+(1-EXP(-LN(2)/2))/(LN(2)/2)*AQ76*AT76*VLOOKUP('Données projet'!$B$10,Paramètres!$A$1:$I$89,3,0)*0.475*44/12</f>
        <v>2.7311960356718004</v>
      </c>
      <c r="AX76" s="23">
        <f t="shared" si="60"/>
        <v>26.999898716166424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42.447573656801339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1.2660568839471409E-5</v>
      </c>
      <c r="AC77" s="24">
        <f t="shared" si="57"/>
        <v>42.447586317370181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3.6</v>
      </c>
      <c r="AI77" s="14">
        <f>IF('Données projet'!$A$62&gt;35,AI76+AH77-AQ76,IF(A77&lt;'Données projet'!$A$62,$AF$205^A77,IF(A77='Données projet'!$A$62,'Données projet'!$B$62,AI76+AH77-AQ76)))</f>
        <v>205.39999999999964</v>
      </c>
      <c r="AJ77" s="14">
        <f>AI77*VLOOKUP('Données projet'!$B$10,Paramètres!$A$1:$I$89,3,0)*VLOOKUP('Données projet'!$B$10,Paramètres!$A$1:$I$89,5,0)</f>
        <v>179.4374399999997</v>
      </c>
      <c r="AK77" s="14">
        <f t="shared" si="89"/>
        <v>45.197004138831538</v>
      </c>
      <c r="AL77" s="22">
        <f t="shared" si="58"/>
        <v>391.23832354179768</v>
      </c>
      <c r="AM77" s="62">
        <f t="shared" si="59"/>
        <v>684.571656875131</v>
      </c>
      <c r="AN77" s="62">
        <f ca="1">AVERAGE(OFFSET($AM$3,0,0,'Données projet'!$E$10+1,1))-AVERAGE(OFFSET($H$3,0,0,'Données projet'!$E$10+1,1))</f>
        <v>298.251705538794</v>
      </c>
      <c r="AO77" s="62">
        <f t="shared" si="90"/>
        <v>313.28172726625479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23.605073729460891</v>
      </c>
      <c r="AW77" s="23">
        <f>EXP(-LN(2)/2)*AW76+(1-EXP(-LN(2)/2))/(LN(2)/2)*AQ77*AT77*VLOOKUP('Données projet'!$B$10,Paramètres!$A$1:$I$89,3,0)*0.475*44/12</f>
        <v>1.9312472375733458</v>
      </c>
      <c r="AX77" s="23">
        <f t="shared" si="60"/>
        <v>25.536320967034236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41.615202627854927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8.9523740800693314E-6</v>
      </c>
      <c r="AC78" s="24">
        <f t="shared" si="57"/>
        <v>41.615211580229008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209</v>
      </c>
      <c r="AG78" s="13">
        <f>VLOOKUP(A78,'Données projet'!$A$61:$I$81,9,0)</f>
        <v>3.6</v>
      </c>
      <c r="AH78" s="13">
        <f t="array" ref="AH78">INDEX(AG:AG,MIN(IF(ISNUMBER(AG78:AG274),ROW(AG78:AG274),"")))</f>
        <v>3.6</v>
      </c>
      <c r="AI78" s="14">
        <f>IF('Données projet'!$A$62&gt;35,AI77+AH78-AQ77,IF(A78&lt;'Données projet'!$A$62,$AF$205^A78,IF(A78='Données projet'!$A$62,'Données projet'!$B$62,AI77+AH78-AQ77)))</f>
        <v>208.99999999999963</v>
      </c>
      <c r="AJ78" s="14">
        <f>AI78*VLOOKUP('Données projet'!$B$10,Paramètres!$A$1:$I$89,3,0)*VLOOKUP('Données projet'!$B$10,Paramètres!$A$1:$I$89,5,0)</f>
        <v>182.58239999999969</v>
      </c>
      <c r="AK78" s="14">
        <f t="shared" si="89"/>
        <v>45.896245406460203</v>
      </c>
      <c r="AL78" s="22">
        <f t="shared" si="58"/>
        <v>397.9336407495843</v>
      </c>
      <c r="AM78" s="62">
        <f t="shared" si="59"/>
        <v>691.26697408291761</v>
      </c>
      <c r="AN78" s="62">
        <f ca="1">AVERAGE(OFFSET($AM$3,0,0,'Données projet'!$E$10+1,1))-AVERAGE(OFFSET($H$3,0,0,'Données projet'!$E$10+1,1))</f>
        <v>298.251705538794</v>
      </c>
      <c r="AO78" s="62">
        <f t="shared" si="90"/>
        <v>313.28172726625479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13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0.215</v>
      </c>
      <c r="AT78" s="17">
        <f>IF(ISNA(VLOOKUP(A78,'Données projet'!$A$61:$I$81,7,0)),0%,VLOOKUP(A78,'Données projet'!$A$61:$I$81,7,0))</f>
        <v>0.5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25.648204100823833</v>
      </c>
      <c r="AW78" s="23">
        <f>EXP(-LN(2)/2)*AW77+(1-EXP(-LN(2)/2))/(LN(2)/2)*AQ78*AT78*VLOOKUP('Données projet'!$B$10,Paramètres!$A$1:$I$89,3,0)*0.475*44/12</f>
        <v>6.7233212497311365</v>
      </c>
      <c r="AX78" s="23">
        <f t="shared" si="60"/>
        <v>32.371525350554968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40.799153887089957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6.3302844197357045E-6</v>
      </c>
      <c r="AC79" s="24">
        <f t="shared" si="57"/>
        <v>40.799160217374379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</v>
      </c>
      <c r="AI79" s="14">
        <f>IF('Données projet'!$A$62&gt;35,AI78+AH79-AQ78,IF(A79&lt;'Données projet'!$A$62,$AF$205^A79,IF(A79='Données projet'!$A$62,'Données projet'!$B$62,AI78+AH79-AQ78)))</f>
        <v>198.99999999999963</v>
      </c>
      <c r="AJ79" s="14">
        <f>AI79*VLOOKUP('Données projet'!$B$10,Paramètres!$A$1:$I$89,3,0)*VLOOKUP('Données projet'!$B$10,Paramètres!$A$1:$I$89,5,0)</f>
        <v>173.8463999999997</v>
      </c>
      <c r="AK79" s="14">
        <f t="shared" si="89"/>
        <v>43.950364270382217</v>
      </c>
      <c r="AL79" s="22">
        <f t="shared" si="58"/>
        <v>379.32936443758177</v>
      </c>
      <c r="AM79" s="62">
        <f t="shared" si="59"/>
        <v>672.66269777091509</v>
      </c>
      <c r="AN79" s="62">
        <f ca="1">AVERAGE(OFFSET($AM$3,0,0,'Données projet'!$E$10+1,1))-AVERAGE(OFFSET($H$3,0,0,'Données projet'!$E$10+1,1))</f>
        <v>298.251705538794</v>
      </c>
      <c r="AO79" s="62">
        <f t="shared" si="90"/>
        <v>313.28172726625479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24.946852610906372</v>
      </c>
      <c r="AW79" s="23">
        <f>EXP(-LN(2)/2)*AW78+(1-EXP(-LN(2)/2))/(LN(2)/2)*AQ79*AT79*VLOOKUP('Données projet'!$B$10,Paramètres!$A$1:$I$89,3,0)*0.475*44/12</f>
        <v>4.7541060477805006</v>
      </c>
      <c r="AX79" s="23">
        <f t="shared" si="60"/>
        <v>29.700958658686872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39.999107364390802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4.4761870400346657E-6</v>
      </c>
      <c r="AC80" s="24">
        <f t="shared" si="57"/>
        <v>39.999111840577839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</v>
      </c>
      <c r="AI80" s="14">
        <f>IF('Données projet'!$A$62&gt;35,AI79+AH80-AQ79,IF(A80&lt;'Données projet'!$A$62,$AF$205^A80,IF(A80='Données projet'!$A$62,'Données projet'!$B$62,AI79+AH80-AQ79)))</f>
        <v>201.99999999999963</v>
      </c>
      <c r="AJ80" s="14">
        <f>AI80*VLOOKUP('Données projet'!$B$10,Paramètres!$A$1:$I$89,3,0)*VLOOKUP('Données projet'!$B$10,Paramètres!$A$1:$I$89,5,0)</f>
        <v>176.46719999999971</v>
      </c>
      <c r="AK80" s="14">
        <f t="shared" si="89"/>
        <v>44.53529882198935</v>
      </c>
      <c r="AL80" s="22">
        <f t="shared" si="58"/>
        <v>384.91268544829762</v>
      </c>
      <c r="AM80" s="62">
        <f t="shared" si="59"/>
        <v>678.24601878163094</v>
      </c>
      <c r="AN80" s="62">
        <f ca="1">AVERAGE(OFFSET($AM$3,0,0,'Données projet'!$E$10+1,1))-AVERAGE(OFFSET($H$3,0,0,'Données projet'!$E$10+1,1))</f>
        <v>298.251705538794</v>
      </c>
      <c r="AO80" s="62">
        <f t="shared" si="90"/>
        <v>313.28172726625479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24.264679614363175</v>
      </c>
      <c r="AW80" s="23">
        <f>EXP(-LN(2)/2)*AW79+(1-EXP(-LN(2)/2))/(LN(2)/2)*AQ80*AT80*VLOOKUP('Données projet'!$B$10,Paramètres!$A$1:$I$89,3,0)*0.475*44/12</f>
        <v>3.3616606248655687</v>
      </c>
      <c r="AX80" s="23">
        <f t="shared" si="60"/>
        <v>27.626340239228742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39.214749266021585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3.1651422098678523E-6</v>
      </c>
      <c r="AC81" s="24">
        <f t="shared" si="57"/>
        <v>39.214752431163795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</v>
      </c>
      <c r="AI81" s="14">
        <f>IF('Données projet'!$A$62&gt;35,AI80+AH81-AQ80,IF(A81&lt;'Données projet'!$A$62,$AF$205^A81,IF(A81='Données projet'!$A$62,'Données projet'!$B$62,AI80+AH81-AQ80)))</f>
        <v>204.99999999999963</v>
      </c>
      <c r="AJ81" s="14">
        <f>AI81*VLOOKUP('Données projet'!$B$10,Paramètres!$A$1:$I$89,3,0)*VLOOKUP('Données projet'!$B$10,Paramètres!$A$1:$I$89,5,0)</f>
        <v>179.08799999999968</v>
      </c>
      <c r="AK81" s="14">
        <f t="shared" si="89"/>
        <v>45.119223023956756</v>
      </c>
      <c r="AL81" s="22">
        <f t="shared" si="58"/>
        <v>390.49424676672407</v>
      </c>
      <c r="AM81" s="62">
        <f t="shared" si="59"/>
        <v>683.82758010005739</v>
      </c>
      <c r="AN81" s="62">
        <f ca="1">AVERAGE(OFFSET($AM$3,0,0,'Données projet'!$E$10+1,1))-AVERAGE(OFFSET($H$3,0,0,'Données projet'!$E$10+1,1))</f>
        <v>298.251705538794</v>
      </c>
      <c r="AO81" s="62">
        <f t="shared" si="90"/>
        <v>313.28172726625479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23.601160674284369</v>
      </c>
      <c r="AW81" s="23">
        <f>EXP(-LN(2)/2)*AW80+(1-EXP(-LN(2)/2))/(LN(2)/2)*AQ81*AT81*VLOOKUP('Données projet'!$B$10,Paramètres!$A$1:$I$89,3,0)*0.475*44/12</f>
        <v>2.3770530238902503</v>
      </c>
      <c r="AX81" s="23">
        <f t="shared" si="60"/>
        <v>25.978213698174621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38.445771951550185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2.2380935200173328E-6</v>
      </c>
      <c r="AC82" s="24">
        <f t="shared" si="57"/>
        <v>38.445774189643707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</v>
      </c>
      <c r="AI82" s="14">
        <f>IF('Données projet'!$A$62&gt;35,AI81+AH82-AQ81,IF(A82&lt;'Données projet'!$A$62,$AF$205^A82,IF(A82='Données projet'!$A$62,'Données projet'!$B$62,AI81+AH82-AQ81)))</f>
        <v>207.99999999999963</v>
      </c>
      <c r="AJ82" s="14">
        <f>AI82*VLOOKUP('Données projet'!$B$10,Paramètres!$A$1:$I$89,3,0)*VLOOKUP('Données projet'!$B$10,Paramètres!$A$1:$I$89,5,0)</f>
        <v>181.70879999999971</v>
      </c>
      <c r="AK82" s="14">
        <f t="shared" si="89"/>
        <v>45.702153370067727</v>
      </c>
      <c r="AL82" s="22">
        <f t="shared" si="58"/>
        <v>396.07407711953414</v>
      </c>
      <c r="AM82" s="62">
        <f t="shared" si="59"/>
        <v>689.40741045286745</v>
      </c>
      <c r="AN82" s="62">
        <f ca="1">AVERAGE(OFFSET($AM$3,0,0,'Données projet'!$E$10+1,1))-AVERAGE(OFFSET($H$3,0,0,'Données projet'!$E$10+1,1))</f>
        <v>298.251705538794</v>
      </c>
      <c r="AO82" s="62">
        <f t="shared" si="90"/>
        <v>313.28172726625479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22.955785694514965</v>
      </c>
      <c r="AW82" s="23">
        <f>EXP(-LN(2)/2)*AW81+(1-EXP(-LN(2)/2))/(LN(2)/2)*AQ82*AT82*VLOOKUP('Données projet'!$B$10,Paramètres!$A$1:$I$89,3,0)*0.475*44/12</f>
        <v>1.6808303124327844</v>
      </c>
      <c r="AX82" s="23">
        <f t="shared" si="60"/>
        <v>24.636616006947751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37.691873813185722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1.5825711049339261E-6</v>
      </c>
      <c r="AC83" s="24">
        <f t="shared" si="57"/>
        <v>37.691875395756824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211</v>
      </c>
      <c r="AG83" s="13">
        <f>VLOOKUP(A83,'Données projet'!$A$61:$I$81,9,0)</f>
        <v>3</v>
      </c>
      <c r="AH83" s="13">
        <f t="array" ref="AH83">INDEX(AG:AG,MIN(IF(ISNUMBER(AG83:AG279),ROW(AG83:AG279),"")))</f>
        <v>3</v>
      </c>
      <c r="AI83" s="14">
        <f>IF('Données projet'!$A$62&gt;35,AI82+AH83-AQ82,IF(A83&lt;'Données projet'!$A$62,$AF$205^A83,IF(A83='Données projet'!$A$62,'Données projet'!$B$62,AI82+AH83-AQ82)))</f>
        <v>210.99999999999963</v>
      </c>
      <c r="AJ83" s="14">
        <f>AI83*VLOOKUP('Données projet'!$B$10,Paramètres!$A$1:$I$89,3,0)*VLOOKUP('Données projet'!$B$10,Paramètres!$A$1:$I$89,5,0)</f>
        <v>184.32959999999969</v>
      </c>
      <c r="AK83" s="14">
        <f t="shared" si="89"/>
        <v>46.284105851002977</v>
      </c>
      <c r="AL83" s="22">
        <f t="shared" si="58"/>
        <v>401.65220435716293</v>
      </c>
      <c r="AM83" s="62">
        <f t="shared" si="59"/>
        <v>694.98553769049624</v>
      </c>
      <c r="AN83" s="62">
        <f ca="1">AVERAGE(OFFSET($AM$3,0,0,'Données projet'!$E$10+1,1))-AVERAGE(OFFSET($H$3,0,0,'Données projet'!$E$10+1,1))</f>
        <v>298.251705538794</v>
      </c>
      <c r="AO83" s="62">
        <f t="shared" si="90"/>
        <v>313.28172726625479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11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0.215</v>
      </c>
      <c r="AT83" s="17">
        <f>IF(ISNA(VLOOKUP(A83,'Données projet'!$A$61:$I$81,7,0)),0%,VLOOKUP(A83,'Données projet'!$A$61:$I$81,7,0))</f>
        <v>0.5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24.603038211517784</v>
      </c>
      <c r="AW83" s="23">
        <f>EXP(-LN(2)/2)*AW82+(1-EXP(-LN(2)/2))/(LN(2)/2)*AQ83*AT83*VLOOKUP('Données projet'!$B$10,Paramètres!$A$1:$I$89,3,0)*0.475*44/12</f>
        <v>5.7219846312410949</v>
      </c>
      <c r="AX83" s="23">
        <f t="shared" si="60"/>
        <v>30.32502284275888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36.952759157482127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1.1190467600086664E-6</v>
      </c>
      <c r="AC84" s="24">
        <f t="shared" si="57"/>
        <v>36.952760276528885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2.6</v>
      </c>
      <c r="AI84" s="14">
        <f>IF('Données projet'!$A$62&gt;35,AI83+AH84-AQ83,IF(A84&lt;'Données projet'!$A$62,$AF$205^A84,IF(A84='Données projet'!$A$62,'Données projet'!$B$62,AI83+AH84-AQ83)))</f>
        <v>202.59999999999962</v>
      </c>
      <c r="AJ84" s="14">
        <f>AI84*VLOOKUP('Données projet'!$B$10,Paramètres!$A$1:$I$89,3,0)*VLOOKUP('Données projet'!$B$10,Paramètres!$A$1:$I$89,5,0)</f>
        <v>176.9913599999997</v>
      </c>
      <c r="AK84" s="14">
        <f t="shared" si="89"/>
        <v>44.65216395512175</v>
      </c>
      <c r="AL84" s="22">
        <f t="shared" si="58"/>
        <v>386.02913755516988</v>
      </c>
      <c r="AM84" s="62">
        <f t="shared" si="59"/>
        <v>679.36247088850314</v>
      </c>
      <c r="AN84" s="62">
        <f ca="1">AVERAGE(OFFSET($AM$3,0,0,'Données projet'!$E$10+1,1))-AVERAGE(OFFSET($H$3,0,0,'Données projet'!$E$10+1,1))</f>
        <v>298.251705538794</v>
      </c>
      <c r="AO84" s="62">
        <f t="shared" si="90"/>
        <v>313.28172726625479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23.930266837806283</v>
      </c>
      <c r="AW84" s="23">
        <f>EXP(-LN(2)/2)*AW83+(1-EXP(-LN(2)/2))/(LN(2)/2)*AQ84*AT84*VLOOKUP('Données projet'!$B$10,Paramètres!$A$1:$I$89,3,0)*0.475*44/12</f>
        <v>4.046054134595785</v>
      </c>
      <c r="AX84" s="23">
        <f t="shared" si="60"/>
        <v>27.976320972402068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36.228138089361451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7.9128555246696307E-7</v>
      </c>
      <c r="AC85" s="24">
        <f t="shared" si="57"/>
        <v>36.228138880647002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2.6</v>
      </c>
      <c r="AI85" s="14">
        <f>IF('Données projet'!$A$62&gt;35,AI84+AH85-AQ84,IF(A85&lt;'Données projet'!$A$62,$AF$205^A85,IF(A85='Données projet'!$A$62,'Données projet'!$B$62,AI84+AH85-AQ84)))</f>
        <v>205.19999999999962</v>
      </c>
      <c r="AJ85" s="14">
        <f>AI85*VLOOKUP('Données projet'!$B$10,Paramètres!$A$1:$I$89,3,0)*VLOOKUP('Données projet'!$B$10,Paramètres!$A$1:$I$89,5,0)</f>
        <v>179.26271999999969</v>
      </c>
      <c r="AK85" s="14">
        <f t="shared" si="89"/>
        <v>45.158115787467068</v>
      </c>
      <c r="AL85" s="22">
        <f t="shared" si="58"/>
        <v>390.86628899650458</v>
      </c>
      <c r="AM85" s="62">
        <f t="shared" si="59"/>
        <v>684.19962232983789</v>
      </c>
      <c r="AN85" s="62">
        <f ca="1">AVERAGE(OFFSET($AM$3,0,0,'Données projet'!$E$10+1,1))-AVERAGE(OFFSET($H$3,0,0,'Données projet'!$E$10+1,1))</f>
        <v>298.251705538794</v>
      </c>
      <c r="AO85" s="62">
        <f t="shared" si="90"/>
        <v>313.28172726625479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23.27589243268843</v>
      </c>
      <c r="AW85" s="23">
        <f>EXP(-LN(2)/2)*AW84+(1-EXP(-LN(2)/2))/(LN(2)/2)*AQ85*AT85*VLOOKUP('Données projet'!$B$10,Paramètres!$A$1:$I$89,3,0)*0.475*44/12</f>
        <v>2.8609923156205479</v>
      </c>
      <c r="AX85" s="23">
        <f t="shared" si="60"/>
        <v>26.136884748308979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35.517726398411412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5.5952338000433321E-7</v>
      </c>
      <c r="AC86" s="24">
        <f t="shared" si="57"/>
        <v>35.517726957934791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2.6</v>
      </c>
      <c r="AI86" s="14">
        <f>IF('Données projet'!$A$62&gt;35,AI85+AH86-AQ85,IF(A86&lt;'Données projet'!$A$62,$AF$205^A86,IF(A86='Données projet'!$A$62,'Données projet'!$B$62,AI85+AH86-AQ85)))</f>
        <v>207.79999999999961</v>
      </c>
      <c r="AJ86" s="14">
        <f>AI86*VLOOKUP('Données projet'!$B$10,Paramètres!$A$1:$I$89,3,0)*VLOOKUP('Données projet'!$B$10,Paramètres!$A$1:$I$89,5,0)</f>
        <v>181.53407999999968</v>
      </c>
      <c r="AK86" s="14">
        <f t="shared" si="89"/>
        <v>45.663321943731816</v>
      </c>
      <c r="AL86" s="22">
        <f t="shared" si="58"/>
        <v>395.7021417186657</v>
      </c>
      <c r="AM86" s="62">
        <f t="shared" si="59"/>
        <v>689.03547505199901</v>
      </c>
      <c r="AN86" s="62">
        <f ca="1">AVERAGE(OFFSET($AM$3,0,0,'Données projet'!$E$10+1,1))-AVERAGE(OFFSET($H$3,0,0,'Données projet'!$E$10+1,1))</f>
        <v>298.251705538794</v>
      </c>
      <c r="AO86" s="62">
        <f t="shared" si="90"/>
        <v>313.28172726625479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22.639411930090578</v>
      </c>
      <c r="AW86" s="23">
        <f>EXP(-LN(2)/2)*AW85+(1-EXP(-LN(2)/2))/(LN(2)/2)*AQ86*AT86*VLOOKUP('Données projet'!$B$10,Paramètres!$A$1:$I$89,3,0)*0.475*44/12</f>
        <v>2.0230270672978929</v>
      </c>
      <c r="AX86" s="23">
        <f t="shared" si="60"/>
        <v>24.66243899738847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34.821245447412558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3.9564277623348153E-7</v>
      </c>
      <c r="AC87" s="24">
        <f t="shared" si="57"/>
        <v>34.821245843055337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2.6</v>
      </c>
      <c r="AI87" s="14">
        <f>IF('Données projet'!$A$62&gt;35,AI86+AH87-AQ86,IF(A87&lt;'Données projet'!$A$62,$AF$205^A87,IF(A87='Données projet'!$A$62,'Données projet'!$B$62,AI86+AH87-AQ86)))</f>
        <v>210.39999999999961</v>
      </c>
      <c r="AJ87" s="14">
        <f>AI87*VLOOKUP('Données projet'!$B$10,Paramètres!$A$1:$I$89,3,0)*VLOOKUP('Données projet'!$B$10,Paramètres!$A$1:$I$89,5,0)</f>
        <v>183.80543999999966</v>
      </c>
      <c r="AK87" s="14">
        <f t="shared" si="89"/>
        <v>46.167792832805951</v>
      </c>
      <c r="AL87" s="22">
        <f t="shared" si="58"/>
        <v>400.53671385046977</v>
      </c>
      <c r="AM87" s="62">
        <f t="shared" si="59"/>
        <v>693.87004718380308</v>
      </c>
      <c r="AN87" s="62">
        <f ca="1">AVERAGE(OFFSET($AM$3,0,0,'Données projet'!$E$10+1,1))-AVERAGE(OFFSET($H$3,0,0,'Données projet'!$E$10+1,1))</f>
        <v>298.251705538794</v>
      </c>
      <c r="AO87" s="62">
        <f t="shared" si="90"/>
        <v>313.28172726625479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22.020336020307322</v>
      </c>
      <c r="AW87" s="23">
        <f>EXP(-LN(2)/2)*AW86+(1-EXP(-LN(2)/2))/(LN(2)/2)*AQ87*AT87*VLOOKUP('Données projet'!$B$10,Paramètres!$A$1:$I$89,3,0)*0.475*44/12</f>
        <v>1.4304961578102742</v>
      </c>
      <c r="AX87" s="23">
        <f t="shared" si="60"/>
        <v>23.450832178117597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34.138422063051358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2.7976169000216661E-7</v>
      </c>
      <c r="AC88" s="24">
        <f t="shared" si="57"/>
        <v>34.138422342813051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213</v>
      </c>
      <c r="AG88" s="13">
        <f>VLOOKUP(A88,'Données projet'!$A$61:$I$81,9,0)</f>
        <v>2.6</v>
      </c>
      <c r="AH88" s="13">
        <f t="array" ref="AH88">INDEX(AG:AG,MIN(IF(ISNUMBER(AG88:AG284),ROW(AG88:AG284),"")))</f>
        <v>2.6</v>
      </c>
      <c r="AI88" s="14">
        <f>IF('Données projet'!$A$62&gt;35,AI87+AH88-AQ87,IF(A88&lt;'Données projet'!$A$62,$AF$205^A88,IF(A88='Données projet'!$A$62,'Données projet'!$B$62,AI87+AH88-AQ87)))</f>
        <v>212.9999999999996</v>
      </c>
      <c r="AJ88" s="14">
        <f>AI88*VLOOKUP('Données projet'!$B$10,Paramètres!$A$1:$I$89,3,0)*VLOOKUP('Données projet'!$B$10,Paramètres!$A$1:$I$89,5,0)</f>
        <v>186.07679999999968</v>
      </c>
      <c r="AK88" s="14">
        <f t="shared" si="89"/>
        <v>46.671538591528588</v>
      </c>
      <c r="AL88" s="22">
        <f t="shared" si="58"/>
        <v>405.37002304691168</v>
      </c>
      <c r="AM88" s="62">
        <f t="shared" si="59"/>
        <v>698.70335638024494</v>
      </c>
      <c r="AN88" s="62">
        <f ca="1">AVERAGE(OFFSET($AM$3,0,0,'Données projet'!$E$10+1,1))-AVERAGE(OFFSET($H$3,0,0,'Données projet'!$E$10+1,1))</f>
        <v>298.251705538794</v>
      </c>
      <c r="AO88" s="62">
        <f t="shared" si="90"/>
        <v>313.28172726625479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10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0.215</v>
      </c>
      <c r="AT88" s="17">
        <f>IF(ISNA(VLOOKUP(A88,'Données projet'!$A$61:$I$81,7,0)),0%,VLOOKUP(A88,'Données projet'!$A$61:$I$81,7,0))</f>
        <v>0.5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23.48635212293436</v>
      </c>
      <c r="AW88" s="23">
        <f>EXP(-LN(2)/2)*AW87+(1-EXP(-LN(2)/2))/(LN(2)/2)*AQ88*AT88*VLOOKUP('Données projet'!$B$10,Paramètres!$A$1:$I$89,3,0)*0.475*44/12</f>
        <v>5.1328390966452817</v>
      </c>
      <c r="AX88" s="23">
        <f t="shared" si="60"/>
        <v>28.619191219579641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33.468988428776342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1.9782138811674077E-7</v>
      </c>
      <c r="AC89" s="24">
        <f t="shared" si="57"/>
        <v>33.468988626597728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2.4</v>
      </c>
      <c r="AI89" s="14">
        <f>IF('Données projet'!$A$62&gt;35,AI88+AH89-AQ88,IF(A89&lt;'Données projet'!$A$62,$AF$205^A89,IF(A89='Données projet'!$A$62,'Données projet'!$B$62,AI88+AH89-AQ88)))</f>
        <v>205.39999999999961</v>
      </c>
      <c r="AJ89" s="14">
        <f>AI89*VLOOKUP('Données projet'!$B$10,Paramètres!$A$1:$I$89,3,0)*VLOOKUP('Données projet'!$B$10,Paramètres!$A$1:$I$89,5,0)</f>
        <v>179.43743999999967</v>
      </c>
      <c r="AK89" s="14">
        <f t="shared" si="89"/>
        <v>45.197004138831538</v>
      </c>
      <c r="AL89" s="22">
        <f t="shared" si="58"/>
        <v>391.23832354179763</v>
      </c>
      <c r="AM89" s="62">
        <f t="shared" si="59"/>
        <v>684.57165687513088</v>
      </c>
      <c r="AN89" s="62">
        <f ca="1">AVERAGE(OFFSET($AM$3,0,0,'Données projet'!$E$10+1,1))-AVERAGE(OFFSET($H$3,0,0,'Données projet'!$E$10+1,1))</f>
        <v>298.251705538794</v>
      </c>
      <c r="AO89" s="62">
        <f t="shared" si="90"/>
        <v>313.28172726625479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22.844116589039139</v>
      </c>
      <c r="AW89" s="23">
        <f>EXP(-LN(2)/2)*AW88+(1-EXP(-LN(2)/2))/(LN(2)/2)*AQ89*AT89*VLOOKUP('Données projet'!$B$10,Paramètres!$A$1:$I$89,3,0)*0.475*44/12</f>
        <v>3.6294653319773116</v>
      </c>
      <c r="AX89" s="23">
        <f t="shared" si="60"/>
        <v>26.47358192101645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32.812681979755254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1.398808450010833E-7</v>
      </c>
      <c r="AC90" s="24">
        <f t="shared" si="57"/>
        <v>32.812682119636101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2.4</v>
      </c>
      <c r="AI90" s="14">
        <f>IF('Données projet'!$A$62&gt;35,AI89+AH90-AQ89,IF(A90&lt;'Données projet'!$A$62,$AF$205^A90,IF(A90='Données projet'!$A$62,'Données projet'!$B$62,AI89+AH90-AQ89)))</f>
        <v>207.79999999999961</v>
      </c>
      <c r="AJ90" s="14">
        <f>AI90*VLOOKUP('Données projet'!$B$10,Paramètres!$A$1:$I$89,3,0)*VLOOKUP('Données projet'!$B$10,Paramètres!$A$1:$I$89,5,0)</f>
        <v>181.53407999999968</v>
      </c>
      <c r="AK90" s="14">
        <f t="shared" si="89"/>
        <v>45.663321943731816</v>
      </c>
      <c r="AL90" s="22">
        <f t="shared" si="58"/>
        <v>395.7021417186657</v>
      </c>
      <c r="AM90" s="62">
        <f t="shared" si="59"/>
        <v>689.03547505199901</v>
      </c>
      <c r="AN90" s="62">
        <f ca="1">AVERAGE(OFFSET($AM$3,0,0,'Données projet'!$E$10+1,1))-AVERAGE(OFFSET($H$3,0,0,'Données projet'!$E$10+1,1))</f>
        <v>298.251705538794</v>
      </c>
      <c r="AO90" s="62">
        <f t="shared" si="90"/>
        <v>313.28172726625479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22.219443019591981</v>
      </c>
      <c r="AW90" s="23">
        <f>EXP(-LN(2)/2)*AW89+(1-EXP(-LN(2)/2))/(LN(2)/2)*AQ90*AT90*VLOOKUP('Données projet'!$B$10,Paramètres!$A$1:$I$89,3,0)*0.475*44/12</f>
        <v>2.5664195483226413</v>
      </c>
      <c r="AX90" s="23">
        <f t="shared" si="60"/>
        <v>24.785862567914624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32.169245299892069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9.8910694058370384E-8</v>
      </c>
      <c r="AC91" s="24">
        <f t="shared" si="57"/>
        <v>32.169245398802765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2.4</v>
      </c>
      <c r="AI91" s="14">
        <f>IF('Données projet'!$A$62&gt;35,AI90+AH91-AQ90,IF(A91&lt;'Données projet'!$A$62,$AF$205^A91,IF(A91='Données projet'!$A$62,'Données projet'!$B$62,AI90+AH91-AQ90)))</f>
        <v>210.19999999999962</v>
      </c>
      <c r="AJ91" s="14">
        <f>AI91*VLOOKUP('Données projet'!$B$10,Paramètres!$A$1:$I$89,3,0)*VLOOKUP('Données projet'!$B$10,Paramètres!$A$1:$I$89,5,0)</f>
        <v>183.63071999999971</v>
      </c>
      <c r="AK91" s="14">
        <f t="shared" si="89"/>
        <v>46.129013251634404</v>
      </c>
      <c r="AL91" s="22">
        <f t="shared" si="58"/>
        <v>400.16486874659608</v>
      </c>
      <c r="AM91" s="62">
        <f t="shared" si="59"/>
        <v>693.49820207992934</v>
      </c>
      <c r="AN91" s="62">
        <f ca="1">AVERAGE(OFFSET($AM$3,0,0,'Données projet'!$E$10+1,1))-AVERAGE(OFFSET($H$3,0,0,'Données projet'!$E$10+1,1))</f>
        <v>298.251705538794</v>
      </c>
      <c r="AO91" s="62">
        <f t="shared" si="90"/>
        <v>313.28172726625479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21.611851181751515</v>
      </c>
      <c r="AW91" s="23">
        <f>EXP(-LN(2)/2)*AW90+(1-EXP(-LN(2)/2))/(LN(2)/2)*AQ91*AT91*VLOOKUP('Données projet'!$B$10,Paramètres!$A$1:$I$89,3,0)*0.475*44/12</f>
        <v>1.8147326659886562</v>
      </c>
      <c r="AX91" s="23">
        <f t="shared" si="60"/>
        <v>23.426583847740172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31.538426020863376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6.9940422500541651E-8</v>
      </c>
      <c r="AC92" s="24">
        <f t="shared" si="57"/>
        <v>31.538426090803799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2.4</v>
      </c>
      <c r="AI92" s="14">
        <f>IF('Données projet'!$A$62&gt;35,AI91+AH92-AQ91,IF(A92&lt;'Données projet'!$A$62,$AF$205^A92,IF(A92='Données projet'!$A$62,'Données projet'!$B$62,AI91+AH92-AQ91)))</f>
        <v>212.59999999999962</v>
      </c>
      <c r="AJ92" s="14">
        <f>AI92*VLOOKUP('Données projet'!$B$10,Paramètres!$A$1:$I$89,3,0)*VLOOKUP('Données projet'!$B$10,Paramètres!$A$1:$I$89,5,0)</f>
        <v>185.72735999999969</v>
      </c>
      <c r="AK92" s="14">
        <f t="shared" si="89"/>
        <v>46.594086043363717</v>
      </c>
      <c r="AL92" s="22">
        <f t="shared" si="58"/>
        <v>404.62651852552455</v>
      </c>
      <c r="AM92" s="62">
        <f t="shared" si="59"/>
        <v>697.95985185885786</v>
      </c>
      <c r="AN92" s="62">
        <f ca="1">AVERAGE(OFFSET($AM$3,0,0,'Données projet'!$E$10+1,1))-AVERAGE(OFFSET($H$3,0,0,'Données projet'!$E$10+1,1))</f>
        <v>298.251705538794</v>
      </c>
      <c r="AO92" s="62">
        <f t="shared" si="90"/>
        <v>313.28172726625479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21.02087397466866</v>
      </c>
      <c r="AW92" s="23">
        <f>EXP(-LN(2)/2)*AW91+(1-EXP(-LN(2)/2))/(LN(2)/2)*AQ92*AT92*VLOOKUP('Données projet'!$B$10,Paramètres!$A$1:$I$89,3,0)*0.475*44/12</f>
        <v>1.2832097741613209</v>
      </c>
      <c r="AX92" s="23">
        <f t="shared" si="60"/>
        <v>22.304083748829981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30.919976723134667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4.9455347029185192E-8</v>
      </c>
      <c r="AC93" s="24">
        <f t="shared" si="57"/>
        <v>30.919976772590015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215</v>
      </c>
      <c r="AG93" s="13">
        <f>VLOOKUP(A93,'Données projet'!$A$61:$I$81,9,0)</f>
        <v>2.4</v>
      </c>
      <c r="AH93" s="13">
        <f t="array" ref="AH93">INDEX(AG:AG,MIN(IF(ISNUMBER(AG93:AG289),ROW(AG93:AG289),"")))</f>
        <v>2.4</v>
      </c>
      <c r="AI93" s="14">
        <f>IF('Données projet'!$A$62&gt;35,AI92+AH93-AQ92,IF(A93&lt;'Données projet'!$A$62,$AF$205^A93,IF(A93='Données projet'!$A$62,'Données projet'!$B$62,AI92+AH93-AQ92)))</f>
        <v>214.99999999999963</v>
      </c>
      <c r="AJ93" s="14">
        <f>AI93*VLOOKUP('Données projet'!$B$10,Paramètres!$A$1:$I$89,3,0)*VLOOKUP('Données projet'!$B$10,Paramètres!$A$1:$I$89,5,0)</f>
        <v>187.8239999999997</v>
      </c>
      <c r="AK93" s="14">
        <f t="shared" si="89"/>
        <v>47.058548109182645</v>
      </c>
      <c r="AL93" s="22">
        <f t="shared" si="58"/>
        <v>409.08710462349262</v>
      </c>
      <c r="AM93" s="62">
        <f t="shared" si="59"/>
        <v>702.42043795682594</v>
      </c>
      <c r="AN93" s="62">
        <f ca="1">AVERAGE(OFFSET($AM$3,0,0,'Données projet'!$E$10+1,1))-AVERAGE(OFFSET($H$3,0,0,'Données projet'!$E$10+1,1))</f>
        <v>298.251705538794</v>
      </c>
      <c r="AO93" s="62">
        <f t="shared" si="90"/>
        <v>313.28172726625479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215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0.215</v>
      </c>
      <c r="AT93" s="17">
        <f>IF(ISNA(VLOOKUP(A93,'Données projet'!$A$61:$I$81,7,0)),0%,VLOOKUP(A93,'Données projet'!$A$61:$I$81,7,0))</f>
        <v>0.5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64.911569076073548</v>
      </c>
      <c r="AW93" s="23">
        <f>EXP(-LN(2)/2)*AW92+(1-EXP(-LN(2)/2))/(LN(2)/2)*AQ93*AT93*VLOOKUP('Données projet'!$B$10,Paramètres!$A$1:$I$89,3,0)*0.475*44/12</f>
        <v>89.515865937415555</v>
      </c>
      <c r="AX93" s="23">
        <f t="shared" si="60"/>
        <v>154.42743501348912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30.313654838917593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3.4970211250270826E-8</v>
      </c>
      <c r="AC94" s="24">
        <f t="shared" si="57"/>
        <v>30.313654873887803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-3.694822225952521E-13</v>
      </c>
      <c r="AJ94" s="14">
        <f>AI94*VLOOKUP('Données projet'!$B$10,Paramètres!$A$1:$I$89,3,0)*VLOOKUP('Données projet'!$B$10,Paramètres!$A$1:$I$89,5,0)</f>
        <v>-3.2277966965921228E-13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298.251705538794</v>
      </c>
      <c r="AO94" s="62">
        <f t="shared" si="90"/>
        <v>313.28172726625479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63.136558806137259</v>
      </c>
      <c r="AW94" s="23">
        <f>EXP(-LN(2)/2)*AW93+(1-EXP(-LN(2)/2))/(LN(2)/2)*AQ94*AT94*VLOOKUP('Données projet'!$B$10,Paramètres!$A$1:$I$89,3,0)*0.475*44/12</f>
        <v>63.297275828132427</v>
      </c>
      <c r="AX94" s="23">
        <f t="shared" si="60"/>
        <v>126.43383463426969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29.719222557030182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2.4727673514592596E-8</v>
      </c>
      <c r="AC95" s="24">
        <f t="shared" si="57"/>
        <v>29.719222581757855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-3.694822225952521E-13</v>
      </c>
      <c r="AJ95" s="14">
        <f>AI95*VLOOKUP('Données projet'!$B$10,Paramètres!$A$1:$I$89,3,0)*VLOOKUP('Données projet'!$B$10,Paramètres!$A$1:$I$89,5,0)</f>
        <v>-3.2277966965921228E-13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298.251705538794</v>
      </c>
      <c r="AO95" s="62">
        <f t="shared" si="90"/>
        <v>313.28172726625479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61.41008628537611</v>
      </c>
      <c r="AW95" s="23">
        <f>EXP(-LN(2)/2)*AW94+(1-EXP(-LN(2)/2))/(LN(2)/2)*AQ95*AT95*VLOOKUP('Données projet'!$B$10,Paramètres!$A$1:$I$89,3,0)*0.475*44/12</f>
        <v>44.757932968707784</v>
      </c>
      <c r="AX95" s="23">
        <f t="shared" si="60"/>
        <v>106.1680192540839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29.136446729622694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1.7485105625135413E-8</v>
      </c>
      <c r="AC96" s="24">
        <f t="shared" si="57"/>
        <v>29.136446747107801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-3.694822225952521E-13</v>
      </c>
      <c r="AJ96" s="14">
        <f>AI96*VLOOKUP('Données projet'!$B$10,Paramètres!$A$1:$I$89,3,0)*VLOOKUP('Données projet'!$B$10,Paramètres!$A$1:$I$89,5,0)</f>
        <v>-3.2277966965921228E-13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298.251705538794</v>
      </c>
      <c r="AO96" s="62">
        <f t="shared" si="90"/>
        <v>313.28172726625479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59.730824246486421</v>
      </c>
      <c r="AW96" s="23">
        <f>EXP(-LN(2)/2)*AW95+(1-EXP(-LN(2)/2))/(LN(2)/2)*AQ96*AT96*VLOOKUP('Données projet'!$B$10,Paramètres!$A$1:$I$89,3,0)*0.475*44/12</f>
        <v>31.648637914066217</v>
      </c>
      <c r="AX96" s="23">
        <f t="shared" si="60"/>
        <v>91.379462160552634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28.565098780732509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1.2363836757296298E-8</v>
      </c>
      <c r="AC97" s="24">
        <f t="shared" si="57"/>
        <v>28.565098793096347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-3.694822225952521E-13</v>
      </c>
      <c r="AJ97" s="14">
        <f>AI97*VLOOKUP('Données projet'!$B$10,Paramètres!$A$1:$I$89,3,0)*VLOOKUP('Données projet'!$B$10,Paramètres!$A$1:$I$89,5,0)</f>
        <v>-3.2277966965921228E-13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298.251705538794</v>
      </c>
      <c r="AO97" s="62">
        <f t="shared" si="90"/>
        <v>313.28172726625479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58.097481716358722</v>
      </c>
      <c r="AW97" s="23">
        <f>EXP(-LN(2)/2)*AW96+(1-EXP(-LN(2)/2))/(LN(2)/2)*AQ97*AT97*VLOOKUP('Données projet'!$B$10,Paramètres!$A$1:$I$89,3,0)*0.475*44/12</f>
        <v>22.378966484353896</v>
      </c>
      <c r="AX97" s="23">
        <f t="shared" si="60"/>
        <v>80.476448200712611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28.004954616632222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8.7425528125677064E-9</v>
      </c>
      <c r="AC98" s="24">
        <f t="shared" si="57"/>
        <v>28.004954625374776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-3.694822225952521E-13</v>
      </c>
      <c r="AJ98" s="14">
        <f>AI98*VLOOKUP('Données projet'!$B$10,Paramètres!$A$1:$I$89,3,0)*VLOOKUP('Données projet'!$B$10,Paramètres!$A$1:$I$89,5,0)</f>
        <v>-3.2277966965921228E-13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298.251705538794</v>
      </c>
      <c r="AO98" s="62">
        <f t="shared" si="90"/>
        <v>313.28172726625479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56.508803023611115</v>
      </c>
      <c r="AW98" s="23">
        <f>EXP(-LN(2)/2)*AW97+(1-EXP(-LN(2)/2))/(LN(2)/2)*AQ98*AT98*VLOOKUP('Données projet'!$B$10,Paramètres!$A$1:$I$89,3,0)*0.475*44/12</f>
        <v>15.824318957033112</v>
      </c>
      <c r="AX98" s="23">
        <f t="shared" si="60"/>
        <v>72.333121980644222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27.455794537935738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6.181918378648149E-9</v>
      </c>
      <c r="AC99" s="24">
        <f t="shared" si="57"/>
        <v>27.455794544117655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-3.694822225952521E-13</v>
      </c>
      <c r="AJ99" s="14">
        <f>AI99*VLOOKUP('Données projet'!$B$10,Paramètres!$A$1:$I$89,3,0)*VLOOKUP('Données projet'!$B$10,Paramètres!$A$1:$I$89,5,0)</f>
        <v>-3.2277966965921228E-13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298.251705538794</v>
      </c>
      <c r="AO99" s="62">
        <f t="shared" si="90"/>
        <v>313.28172726625479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54.963566833261673</v>
      </c>
      <c r="AW99" s="23">
        <f>EXP(-LN(2)/2)*AW98+(1-EXP(-LN(2)/2))/(LN(2)/2)*AQ99*AT99*VLOOKUP('Données projet'!$B$10,Paramètres!$A$1:$I$89,3,0)*0.475*44/12</f>
        <v>11.18948324217695</v>
      </c>
      <c r="AX99" s="23">
        <f t="shared" si="60"/>
        <v>66.153050075438628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26.917403153427919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4.3712764062838532E-9</v>
      </c>
      <c r="AC100" s="24">
        <f t="shared" si="57"/>
        <v>26.917403157799196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-3.694822225952521E-13</v>
      </c>
      <c r="AJ100" s="14">
        <f>AI100*VLOOKUP('Données projet'!$B$10,Paramètres!$A$1:$I$89,3,0)*VLOOKUP('Données projet'!$B$10,Paramètres!$A$1:$I$89,5,0)</f>
        <v>-3.2277966965921228E-13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298.251705538794</v>
      </c>
      <c r="AO100" s="62">
        <f t="shared" si="90"/>
        <v>313.28172726625479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53.460585207797777</v>
      </c>
      <c r="AW100" s="23">
        <f>EXP(-LN(2)/2)*AW99+(1-EXP(-LN(2)/2))/(LN(2)/2)*AQ100*AT100*VLOOKUP('Données projet'!$B$10,Paramètres!$A$1:$I$89,3,0)*0.475*44/12</f>
        <v>7.912159478516557</v>
      </c>
      <c r="AX100" s="23">
        <f t="shared" si="60"/>
        <v>61.372744686314334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26.389569295583978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3.0909591893240745E-9</v>
      </c>
      <c r="AC101" s="24">
        <f t="shared" si="57"/>
        <v>26.389569298674939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-3.694822225952521E-13</v>
      </c>
      <c r="AJ101" s="14">
        <f>AI101*VLOOKUP('Données projet'!$B$10,Paramètres!$A$1:$I$89,3,0)*VLOOKUP('Données projet'!$B$10,Paramètres!$A$1:$I$89,5,0)</f>
        <v>-3.2277966965921228E-13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298.251705538794</v>
      </c>
      <c r="AO101" s="62">
        <f t="shared" si="90"/>
        <v>313.28172726625479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51.998702693920556</v>
      </c>
      <c r="AW101" s="23">
        <f>EXP(-LN(2)/2)*AW100+(1-EXP(-LN(2)/2))/(LN(2)/2)*AQ101*AT101*VLOOKUP('Données projet'!$B$10,Paramètres!$A$1:$I$89,3,0)*0.475*44/12</f>
        <v>5.5947416210884757</v>
      </c>
      <c r="AX101" s="23">
        <f t="shared" si="60"/>
        <v>57.59344431500903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25.872085937745496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2.1856382031419266E-9</v>
      </c>
      <c r="AC102" s="24">
        <f t="shared" si="57"/>
        <v>25.872085939931132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-3.694822225952521E-13</v>
      </c>
      <c r="AJ102" s="14">
        <f>AI102*VLOOKUP('Données projet'!$B$10,Paramètres!$A$1:$I$89,3,0)*VLOOKUP('Données projet'!$B$10,Paramètres!$A$1:$I$89,5,0)</f>
        <v>-3.2277966965921228E-13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298.251705538794</v>
      </c>
      <c r="AO102" s="62">
        <f t="shared" si="90"/>
        <v>313.28172726625479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50.576795434262365</v>
      </c>
      <c r="AW102" s="23">
        <f>EXP(-LN(2)/2)*AW101+(1-EXP(-LN(2)/2))/(LN(2)/2)*AQ102*AT102*VLOOKUP('Données projet'!$B$10,Paramètres!$A$1:$I$89,3,0)*0.475*44/12</f>
        <v>3.9560797392582794</v>
      </c>
      <c r="AX102" s="23">
        <f t="shared" si="60"/>
        <v>54.532875173520644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25.364750112920543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1.5454795946620372E-9</v>
      </c>
      <c r="AC103" s="24">
        <f t="shared" si="57"/>
        <v>25.364750114466023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-3.694822225952521E-13</v>
      </c>
      <c r="AJ103" s="14">
        <f>AI103*VLOOKUP('Données projet'!$B$10,Paramètres!$A$1:$I$89,3,0)*VLOOKUP('Données projet'!$B$10,Paramètres!$A$1:$I$89,5,0)</f>
        <v>-3.2277966965921228E-13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298.251705538794</v>
      </c>
      <c r="AO103" s="62">
        <f t="shared" si="90"/>
        <v>313.28172726625479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49.193770303394381</v>
      </c>
      <c r="AW103" s="23">
        <f>EXP(-LN(2)/2)*AW102+(1-EXP(-LN(2)/2))/(LN(2)/2)*AQ103*AT103*VLOOKUP('Données projet'!$B$10,Paramètres!$A$1:$I$89,3,0)*0.475*44/12</f>
        <v>2.7973708105442383</v>
      </c>
      <c r="AX103" s="23">
        <f t="shared" si="60"/>
        <v>51.991141113938617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24.867362834176109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1.0928191015709633E-9</v>
      </c>
      <c r="AC104" s="24">
        <f t="shared" si="57"/>
        <v>24.867362835268928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-3.694822225952521E-13</v>
      </c>
      <c r="AJ104" s="14">
        <f>AI104*VLOOKUP('Données projet'!$B$10,Paramètres!$A$1:$I$89,3,0)*VLOOKUP('Données projet'!$B$10,Paramètres!$A$1:$I$89,5,0)</f>
        <v>-3.2277966965921228E-13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298.251705538794</v>
      </c>
      <c r="AO104" s="62">
        <f t="shared" si="90"/>
        <v>313.28172726625479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47.848564067460117</v>
      </c>
      <c r="AW104" s="23">
        <f>EXP(-LN(2)/2)*AW103+(1-EXP(-LN(2)/2))/(LN(2)/2)*AQ104*AT104*VLOOKUP('Données projet'!$B$10,Paramètres!$A$1:$I$89,3,0)*0.475*44/12</f>
        <v>1.9780398696291399</v>
      </c>
      <c r="AX104" s="23">
        <f t="shared" si="60"/>
        <v>49.82660393708926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24.379729016591568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7.7273979733101862E-10</v>
      </c>
      <c r="AC105" s="24">
        <f t="shared" si="57"/>
        <v>24.379729017364308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-3.694822225952521E-13</v>
      </c>
      <c r="AJ105" s="14">
        <f>AI105*VLOOKUP('Données projet'!$B$10,Paramètres!$A$1:$I$89,3,0)*VLOOKUP('Données projet'!$B$10,Paramètres!$A$1:$I$89,5,0)</f>
        <v>-3.2277966965921228E-13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298.251705538794</v>
      </c>
      <c r="AO105" s="62">
        <f t="shared" si="90"/>
        <v>313.28172726625479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46.540142566788795</v>
      </c>
      <c r="AW105" s="23">
        <f>EXP(-LN(2)/2)*AW104+(1-EXP(-LN(2)/2))/(LN(2)/2)*AQ105*AT105*VLOOKUP('Données projet'!$B$10,Paramètres!$A$1:$I$89,3,0)*0.475*44/12</f>
        <v>1.3986854052721194</v>
      </c>
      <c r="AX105" s="23">
        <f t="shared" si="60"/>
        <v>47.938827972060913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23.9016574007426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5.4640955078548165E-10</v>
      </c>
      <c r="AC106" s="24">
        <f t="shared" si="57"/>
        <v>23.901657401289011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-3.694822225952521E-13</v>
      </c>
      <c r="AJ106" s="14">
        <f>AI106*VLOOKUP('Données projet'!$B$10,Paramètres!$A$1:$I$89,3,0)*VLOOKUP('Données projet'!$B$10,Paramètres!$A$1:$I$89,5,0)</f>
        <v>-3.2277966965921228E-13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298.251705538794</v>
      </c>
      <c r="AO106" s="62">
        <f t="shared" si="90"/>
        <v>313.28172726625479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45.267499920860224</v>
      </c>
      <c r="AW106" s="23">
        <f>EXP(-LN(2)/2)*AW105+(1-EXP(-LN(2)/2))/(LN(2)/2)*AQ106*AT106*VLOOKUP('Données projet'!$B$10,Paramètres!$A$1:$I$89,3,0)*0.475*44/12</f>
        <v>0.98901993481457018</v>
      </c>
      <c r="AX106" s="23">
        <f t="shared" si="60"/>
        <v>46.256519855674796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23.432960477685537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3.8636989866550931E-10</v>
      </c>
      <c r="AC107" s="24">
        <f t="shared" si="57"/>
        <v>23.432960478071905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-3.694822225952521E-13</v>
      </c>
      <c r="AJ107" s="14">
        <f>AI107*VLOOKUP('Données projet'!$B$10,Paramètres!$A$1:$I$89,3,0)*VLOOKUP('Données projet'!$B$10,Paramètres!$A$1:$I$89,5,0)</f>
        <v>-3.2277966965921228E-13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298.251705538794</v>
      </c>
      <c r="AO107" s="62">
        <f t="shared" si="90"/>
        <v>313.28172726625479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44.029657755009943</v>
      </c>
      <c r="AW107" s="23">
        <f>EXP(-LN(2)/2)*AW106+(1-EXP(-LN(2)/2))/(LN(2)/2)*AQ107*AT107*VLOOKUP('Données projet'!$B$10,Paramètres!$A$1:$I$89,3,0)*0.475*44/12</f>
        <v>0.6993427026360598</v>
      </c>
      <c r="AX107" s="23">
        <f t="shared" si="60"/>
        <v>44.729000457646002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22.973454415412728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2.7320477539274083E-10</v>
      </c>
      <c r="AC108" s="24">
        <f t="shared" si="57"/>
        <v>22.973454415685932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-3.694822225952521E-13</v>
      </c>
      <c r="AJ108" s="14">
        <f>AI108*VLOOKUP('Données projet'!$B$10,Paramètres!$A$1:$I$89,3,0)*VLOOKUP('Données projet'!$B$10,Paramètres!$A$1:$I$89,5,0)</f>
        <v>-3.2277966965921228E-13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298.251705538794</v>
      </c>
      <c r="AO108" s="62">
        <f t="shared" si="90"/>
        <v>313.28172726625479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42.825664448280129</v>
      </c>
      <c r="AW108" s="23">
        <f>EXP(-LN(2)/2)*AW107+(1-EXP(-LN(2)/2))/(LN(2)/2)*AQ108*AT108*VLOOKUP('Données projet'!$B$10,Paramètres!$A$1:$I$89,3,0)*0.475*44/12</f>
        <v>0.49450996740728514</v>
      </c>
      <c r="AX108" s="23">
        <f t="shared" si="60"/>
        <v>43.320174415687411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22.522958986750066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1.9318494933275466E-10</v>
      </c>
      <c r="AC109" s="24">
        <f t="shared" si="57"/>
        <v>22.522958986943252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-3.694822225952521E-13</v>
      </c>
      <c r="AJ109" s="14">
        <f>AI109*VLOOKUP('Données projet'!$B$10,Paramètres!$A$1:$I$89,3,0)*VLOOKUP('Données projet'!$B$10,Paramètres!$A$1:$I$89,5,0)</f>
        <v>-3.2277966965921228E-13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298.251705538794</v>
      </c>
      <c r="AO109" s="62">
        <f t="shared" si="90"/>
        <v>313.28172726625479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41.654594401838096</v>
      </c>
      <c r="AW109" s="23">
        <f>EXP(-LN(2)/2)*AW108+(1-EXP(-LN(2)/2))/(LN(2)/2)*AQ109*AT109*VLOOKUP('Données projet'!$B$10,Paramètres!$A$1:$I$89,3,0)*0.475*44/12</f>
        <v>0.34967135131802995</v>
      </c>
      <c r="AX109" s="23">
        <f t="shared" si="60"/>
        <v>42.004265753156126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22.081297498668398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1.3660238769637041E-10</v>
      </c>
      <c r="AC110" s="24">
        <f t="shared" si="57"/>
        <v>22.081297498805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-3.694822225952521E-13</v>
      </c>
      <c r="AJ110" s="14">
        <f>AI110*VLOOKUP('Données projet'!$B$10,Paramètres!$A$1:$I$89,3,0)*VLOOKUP('Données projet'!$B$10,Paramètres!$A$1:$I$89,5,0)</f>
        <v>-3.2277966965921228E-13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298.251705538794</v>
      </c>
      <c r="AO110" s="62">
        <f t="shared" si="90"/>
        <v>313.28172726625479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40.515547327399915</v>
      </c>
      <c r="AW110" s="23">
        <f>EXP(-LN(2)/2)*AW109+(1-EXP(-LN(2)/2))/(LN(2)/2)*AQ110*AT110*VLOOKUP('Données projet'!$B$10,Paramètres!$A$1:$I$89,3,0)*0.475*44/12</f>
        <v>0.2472549837036426</v>
      </c>
      <c r="AX110" s="23">
        <f t="shared" si="60"/>
        <v>40.762802311103556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21.648296722981105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9.6592474666377328E-11</v>
      </c>
      <c r="AC111" s="24">
        <f t="shared" si="57"/>
        <v>21.648296723077696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-3.694822225952521E-13</v>
      </c>
      <c r="AJ111" s="14">
        <f>AI111*VLOOKUP('Données projet'!$B$10,Paramètres!$A$1:$I$89,3,0)*VLOOKUP('Données projet'!$B$10,Paramètres!$A$1:$I$89,5,0)</f>
        <v>-3.2277966965921228E-13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298.251705538794</v>
      </c>
      <c r="AO111" s="62">
        <f t="shared" si="90"/>
        <v>313.28172726625479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39.407647555112128</v>
      </c>
      <c r="AW111" s="23">
        <f>EXP(-LN(2)/2)*AW110+(1-EXP(-LN(2)/2))/(LN(2)/2)*AQ111*AT111*VLOOKUP('Données projet'!$B$10,Paramètres!$A$1:$I$89,3,0)*0.475*44/12</f>
        <v>0.17483567565901501</v>
      </c>
      <c r="AX111" s="23">
        <f t="shared" si="60"/>
        <v>39.582483230771146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21.223786828400645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6.8301193848185206E-11</v>
      </c>
      <c r="AC112" s="24">
        <f t="shared" si="57"/>
        <v>21.223786828468945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-3.694822225952521E-13</v>
      </c>
      <c r="AJ112" s="14">
        <f>AI112*VLOOKUP('Données projet'!$B$10,Paramètres!$A$1:$I$89,3,0)*VLOOKUP('Données projet'!$B$10,Paramètres!$A$1:$I$89,5,0)</f>
        <v>-3.2277966965921228E-13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298.251705538794</v>
      </c>
      <c r="AO112" s="62">
        <f t="shared" si="90"/>
        <v>313.28172726625479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38.330043360359468</v>
      </c>
      <c r="AW112" s="23">
        <f>EXP(-LN(2)/2)*AW111+(1-EXP(-LN(2)/2))/(LN(2)/2)*AQ112*AT112*VLOOKUP('Données projet'!$B$10,Paramètres!$A$1:$I$89,3,0)*0.475*44/12</f>
        <v>0.12362749185182133</v>
      </c>
      <c r="AX112" s="23">
        <f t="shared" si="60"/>
        <v>38.453670852211289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20.807601313927439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4.8296237333188664E-11</v>
      </c>
      <c r="AC113" s="24">
        <f t="shared" si="57"/>
        <v>20.807601313975734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-3.694822225952521E-13</v>
      </c>
      <c r="AJ113" s="14">
        <f>AI113*VLOOKUP('Données projet'!$B$10,Paramètres!$A$1:$I$89,3,0)*VLOOKUP('Données projet'!$B$10,Paramètres!$A$1:$I$89,5,0)</f>
        <v>-3.2277966965921228E-13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298.251705538794</v>
      </c>
      <c r="AO113" s="62">
        <f t="shared" si="90"/>
        <v>313.28172726625479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37.281906308981064</v>
      </c>
      <c r="AW113" s="23">
        <f>EXP(-LN(2)/2)*AW112+(1-EXP(-LN(2)/2))/(LN(2)/2)*AQ113*AT113*VLOOKUP('Données projet'!$B$10,Paramètres!$A$1:$I$89,3,0)*0.475*44/12</f>
        <v>8.7417837829507516E-2</v>
      </c>
      <c r="AX113" s="23">
        <f t="shared" si="60"/>
        <v>37.36932414681057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20.399576943544954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3.4150596924092603E-11</v>
      </c>
      <c r="AC114" s="24">
        <f t="shared" si="57"/>
        <v>20.399576943579106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-3.694822225952521E-13</v>
      </c>
      <c r="AJ114" s="14">
        <f>AI114*VLOOKUP('Données projet'!$B$10,Paramètres!$A$1:$I$89,3,0)*VLOOKUP('Données projet'!$B$10,Paramètres!$A$1:$I$89,5,0)</f>
        <v>-3.2277966965921228E-13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298.251705538794</v>
      </c>
      <c r="AO114" s="62">
        <f t="shared" si="90"/>
        <v>313.28172726625479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36.262430620391733</v>
      </c>
      <c r="AW114" s="23">
        <f>EXP(-LN(2)/2)*AW113+(1-EXP(-LN(2)/2))/(LN(2)/2)*AQ114*AT114*VLOOKUP('Données projet'!$B$10,Paramètres!$A$1:$I$89,3,0)*0.475*44/12</f>
        <v>6.1813745925910671E-2</v>
      </c>
      <c r="AX114" s="23">
        <f t="shared" si="60"/>
        <v>36.324244366317643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19.999553682195376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2.4148118666594332E-11</v>
      </c>
      <c r="AC115" s="24">
        <f t="shared" si="57"/>
        <v>19.999553682219524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-3.694822225952521E-13</v>
      </c>
      <c r="AJ115" s="14">
        <f>AI115*VLOOKUP('Données projet'!$B$10,Paramètres!$A$1:$I$89,3,0)*VLOOKUP('Données projet'!$B$10,Paramètres!$A$1:$I$89,5,0)</f>
        <v>-3.2277966965921228E-13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298.251705538794</v>
      </c>
      <c r="AO115" s="62">
        <f t="shared" si="90"/>
        <v>313.28172726625479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35.270832548118776</v>
      </c>
      <c r="AW115" s="23">
        <f>EXP(-LN(2)/2)*AW114+(1-EXP(-LN(2)/2))/(LN(2)/2)*AQ115*AT115*VLOOKUP('Données projet'!$B$10,Paramètres!$A$1:$I$89,3,0)*0.475*44/12</f>
        <v>4.3708918914753765E-2</v>
      </c>
      <c r="AX115" s="23">
        <f t="shared" si="60"/>
        <v>35.314541467033528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19.607374633010767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1.7075298462046302E-11</v>
      </c>
      <c r="AC116" s="24">
        <f t="shared" si="57"/>
        <v>19.607374633027842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-3.694822225952521E-13</v>
      </c>
      <c r="AJ116" s="14">
        <f>AI116*VLOOKUP('Données projet'!$B$10,Paramètres!$A$1:$I$89,3,0)*VLOOKUP('Données projet'!$B$10,Paramètres!$A$1:$I$89,5,0)</f>
        <v>-3.2277966965921228E-13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298.251705538794</v>
      </c>
      <c r="AO116" s="62">
        <f t="shared" si="90"/>
        <v>313.28172726625479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34.306349777277994</v>
      </c>
      <c r="AW116" s="23">
        <f>EXP(-LN(2)/2)*AW115+(1-EXP(-LN(2)/2))/(LN(2)/2)*AQ116*AT116*VLOOKUP('Données projet'!$B$10,Paramètres!$A$1:$I$89,3,0)*0.475*44/12</f>
        <v>3.0906872962955342E-2</v>
      </c>
      <c r="AX116" s="23">
        <f t="shared" si="60"/>
        <v>34.337256650240953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19.222885975775068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1.2074059333297166E-11</v>
      </c>
      <c r="AC117" s="24">
        <f t="shared" si="57"/>
        <v>19.222885975787143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-3.694822225952521E-13</v>
      </c>
      <c r="AJ117" s="14">
        <f>AI117*VLOOKUP('Données projet'!$B$10,Paramètres!$A$1:$I$89,3,0)*VLOOKUP('Données projet'!$B$10,Paramètres!$A$1:$I$89,5,0)</f>
        <v>-3.2277966965921228E-13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298.251705538794</v>
      </c>
      <c r="AO117" s="62">
        <f t="shared" si="90"/>
        <v>313.28172726625479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33.3682408385258</v>
      </c>
      <c r="AW117" s="23">
        <f>EXP(-LN(2)/2)*AW116+(1-EXP(-LN(2)/2))/(LN(2)/2)*AQ117*AT117*VLOOKUP('Données projet'!$B$10,Paramètres!$A$1:$I$89,3,0)*0.475*44/12</f>
        <v>2.1854459457376886E-2</v>
      </c>
      <c r="AX117" s="23">
        <f t="shared" si="60"/>
        <v>33.39009529798318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18.845936906592836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8.5376492310231508E-12</v>
      </c>
      <c r="AC118" s="24">
        <f t="shared" si="57"/>
        <v>18.845936906601374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-3.694822225952521E-13</v>
      </c>
      <c r="AJ118" s="14">
        <f>AI118*VLOOKUP('Données projet'!$B$10,Paramètres!$A$1:$I$89,3,0)*VLOOKUP('Données projet'!$B$10,Paramètres!$A$1:$I$89,5,0)</f>
        <v>-3.2277966965921228E-13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298.251705538794</v>
      </c>
      <c r="AO118" s="62">
        <f t="shared" si="90"/>
        <v>313.28172726625479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32.455784538036788</v>
      </c>
      <c r="AW118" s="23">
        <f>EXP(-LN(2)/2)*AW117+(1-EXP(-LN(2)/2))/(LN(2)/2)*AQ118*AT118*VLOOKUP('Données projet'!$B$10,Paramètres!$A$1:$I$89,3,0)*0.475*44/12</f>
        <v>1.5453436481477673E-2</v>
      </c>
      <c r="AX118" s="23">
        <f t="shared" si="60"/>
        <v>32.471237974518267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18.476379578741039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6.037029666648583E-12</v>
      </c>
      <c r="AC119" s="24">
        <f t="shared" si="57"/>
        <v>18.476379578747075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-3.694822225952521E-13</v>
      </c>
      <c r="AJ119" s="14">
        <f>AI119*VLOOKUP('Données projet'!$B$10,Paramètres!$A$1:$I$89,3,0)*VLOOKUP('Données projet'!$B$10,Paramètres!$A$1:$I$89,5,0)</f>
        <v>-3.2277966965921228E-13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298.251705538794</v>
      </c>
      <c r="AO119" s="62">
        <f t="shared" si="90"/>
        <v>313.28172726625479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31.56827940306864</v>
      </c>
      <c r="AW119" s="23">
        <f>EXP(-LN(2)/2)*AW118+(1-EXP(-LN(2)/2))/(LN(2)/2)*AQ119*AT119*VLOOKUP('Données projet'!$B$10,Paramètres!$A$1:$I$89,3,0)*0.475*44/12</f>
        <v>1.0927229728688445E-2</v>
      </c>
      <c r="AX119" s="23">
        <f t="shared" si="60"/>
        <v>31.57920663279733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18.114069044680701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4.2688246155115754E-12</v>
      </c>
      <c r="AC120" s="24">
        <f t="shared" si="57"/>
        <v>18.114069044684971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-3.694822225952521E-13</v>
      </c>
      <c r="AJ120" s="14">
        <f>AI120*VLOOKUP('Données projet'!$B$10,Paramètres!$A$1:$I$89,3,0)*VLOOKUP('Données projet'!$B$10,Paramètres!$A$1:$I$89,5,0)</f>
        <v>-3.2277966965921228E-13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298.251705538794</v>
      </c>
      <c r="AO120" s="62">
        <f t="shared" si="90"/>
        <v>313.28172726625479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30.705043142688066</v>
      </c>
      <c r="AW120" s="23">
        <f>EXP(-LN(2)/2)*AW119+(1-EXP(-LN(2)/2))/(LN(2)/2)*AQ120*AT120*VLOOKUP('Données projet'!$B$10,Paramètres!$A$1:$I$89,3,0)*0.475*44/12</f>
        <v>7.7267182407388373E-3</v>
      </c>
      <c r="AX120" s="23">
        <f t="shared" si="60"/>
        <v>30.712769860928805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17.758863199205681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3.0185148333242915E-12</v>
      </c>
      <c r="AC121" s="24">
        <f t="shared" si="57"/>
        <v>17.758863199208701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-3.694822225952521E-13</v>
      </c>
      <c r="AJ121" s="14">
        <f>AI121*VLOOKUP('Données projet'!$B$10,Paramètres!$A$1:$I$89,3,0)*VLOOKUP('Données projet'!$B$10,Paramètres!$A$1:$I$89,5,0)</f>
        <v>-3.2277966965921228E-13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298.251705538794</v>
      </c>
      <c r="AO121" s="62">
        <f t="shared" si="90"/>
        <v>313.28172726625479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29.865412123243217</v>
      </c>
      <c r="AW121" s="23">
        <f>EXP(-LN(2)/2)*AW120+(1-EXP(-LN(2)/2))/(LN(2)/2)*AQ121*AT121*VLOOKUP('Données projet'!$B$10,Paramètres!$A$1:$I$89,3,0)*0.475*44/12</f>
        <v>5.4636148643442232E-3</v>
      </c>
      <c r="AX121" s="23">
        <f t="shared" si="60"/>
        <v>29.870875738107561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17.410622723706254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2.1344123077557877E-12</v>
      </c>
      <c r="AC122" s="24">
        <f t="shared" si="57"/>
        <v>17.410622723708389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-3.694822225952521E-13</v>
      </c>
      <c r="AJ122" s="14">
        <f>AI122*VLOOKUP('Données projet'!$B$10,Paramètres!$A$1:$I$89,3,0)*VLOOKUP('Données projet'!$B$10,Paramètres!$A$1:$I$89,5,0)</f>
        <v>-3.2277966965921228E-13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298.251705538794</v>
      </c>
      <c r="AO122" s="62">
        <f t="shared" si="90"/>
        <v>313.28172726625479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29.048740858179368</v>
      </c>
      <c r="AW122" s="23">
        <f>EXP(-LN(2)/2)*AW121+(1-EXP(-LN(2)/2))/(LN(2)/2)*AQ122*AT122*VLOOKUP('Données projet'!$B$10,Paramètres!$A$1:$I$89,3,0)*0.475*44/12</f>
        <v>3.8633591203694195E-3</v>
      </c>
      <c r="AX122" s="23">
        <f t="shared" si="60"/>
        <v>29.052604217299738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17.069211031525654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1.5092574166621457E-12</v>
      </c>
      <c r="AC123" s="24">
        <f t="shared" si="57"/>
        <v>17.069211031527164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-3.694822225952521E-13</v>
      </c>
      <c r="AJ123" s="14">
        <f>AI123*VLOOKUP('Données projet'!$B$10,Paramètres!$A$1:$I$89,3,0)*VLOOKUP('Données projet'!$B$10,Paramètres!$A$1:$I$89,5,0)</f>
        <v>-3.2277966965921228E-13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298.251705538794</v>
      </c>
      <c r="AO123" s="62">
        <f t="shared" si="90"/>
        <v>313.28172726625479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28.254401511805565</v>
      </c>
      <c r="AW123" s="23">
        <f>EXP(-LN(2)/2)*AW122+(1-EXP(-LN(2)/2))/(LN(2)/2)*AQ123*AT123*VLOOKUP('Données projet'!$B$10,Paramètres!$A$1:$I$89,3,0)*0.475*44/12</f>
        <v>2.7318074321721121E-3</v>
      </c>
      <c r="AX123" s="23">
        <f t="shared" si="60"/>
        <v>28.257133319237738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16.734494214388146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1.0672061538778939E-12</v>
      </c>
      <c r="AC124" s="24">
        <f t="shared" si="57"/>
        <v>16.734494214389212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-3.694822225952521E-13</v>
      </c>
      <c r="AJ124" s="14">
        <f>AI124*VLOOKUP('Données projet'!$B$10,Paramètres!$A$1:$I$89,3,0)*VLOOKUP('Données projet'!$B$10,Paramètres!$A$1:$I$89,5,0)</f>
        <v>-3.2277966965921228E-13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298.251705538794</v>
      </c>
      <c r="AO124" s="62">
        <f t="shared" si="90"/>
        <v>313.28172726625479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27.481783416630844</v>
      </c>
      <c r="AW124" s="23">
        <f>EXP(-LN(2)/2)*AW123+(1-EXP(-LN(2)/2))/(LN(2)/2)*AQ124*AT124*VLOOKUP('Données projet'!$B$10,Paramètres!$A$1:$I$89,3,0)*0.475*44/12</f>
        <v>1.93167956018471E-3</v>
      </c>
      <c r="AX124" s="23">
        <f t="shared" si="60"/>
        <v>27.483715096191027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16.406340989877606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7.5462870833107287E-13</v>
      </c>
      <c r="AC125" s="24">
        <f t="shared" si="57"/>
        <v>16.406340989878359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-3.694822225952521E-13</v>
      </c>
      <c r="AJ125" s="14">
        <f>AI125*VLOOKUP('Données projet'!$B$10,Paramètres!$A$1:$I$89,3,0)*VLOOKUP('Données projet'!$B$10,Paramètres!$A$1:$I$89,5,0)</f>
        <v>-3.2277966965921228E-13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298.251705538794</v>
      </c>
      <c r="AO125" s="62">
        <f t="shared" si="90"/>
        <v>313.28172726625479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26.730292603898892</v>
      </c>
      <c r="AW125" s="23">
        <f>EXP(-LN(2)/2)*AW124+(1-EXP(-LN(2)/2))/(LN(2)/2)*AQ125*AT125*VLOOKUP('Données projet'!$B$10,Paramètres!$A$1:$I$89,3,0)*0.475*44/12</f>
        <v>1.3659037160860562E-3</v>
      </c>
      <c r="AX125" s="23">
        <f t="shared" si="60"/>
        <v>26.731658507614977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16.084622649946013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5.3360307693894693E-13</v>
      </c>
      <c r="AC126" s="24">
        <f t="shared" si="57"/>
        <v>16.084622649946546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-3.694822225952521E-13</v>
      </c>
      <c r="AJ126" s="14">
        <f>AI126*VLOOKUP('Données projet'!$B$10,Paramètres!$A$1:$I$89,3,0)*VLOOKUP('Données projet'!$B$10,Paramètres!$A$1:$I$89,5,0)</f>
        <v>-3.2277966965921228E-13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298.251705538794</v>
      </c>
      <c r="AO126" s="62">
        <f t="shared" si="90"/>
        <v>313.28172726625479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25.999351346960282</v>
      </c>
      <c r="AW126" s="23">
        <f>EXP(-LN(2)/2)*AW125+(1-EXP(-LN(2)/2))/(LN(2)/2)*AQ126*AT126*VLOOKUP('Données projet'!$B$10,Paramètres!$A$1:$I$89,3,0)*0.475*44/12</f>
        <v>9.6583978009235521E-4</v>
      </c>
      <c r="AX126" s="23">
        <f t="shared" si="60"/>
        <v>26.000317186740375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15.769213010431667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3.7731435416553644E-13</v>
      </c>
      <c r="AC127" s="24">
        <f t="shared" si="57"/>
        <v>15.769213010432043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-3.694822225952521E-13</v>
      </c>
      <c r="AJ127" s="14">
        <f>AI127*VLOOKUP('Données projet'!$B$10,Paramètres!$A$1:$I$89,3,0)*VLOOKUP('Données projet'!$B$10,Paramètres!$A$1:$I$89,5,0)</f>
        <v>-3.2277966965921228E-13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298.251705538794</v>
      </c>
      <c r="AO127" s="62">
        <f t="shared" si="90"/>
        <v>313.28172726625479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25.288397717131186</v>
      </c>
      <c r="AW127" s="23">
        <f>EXP(-LN(2)/2)*AW126+(1-EXP(-LN(2)/2))/(LN(2)/2)*AQ127*AT127*VLOOKUP('Données projet'!$B$10,Paramètres!$A$1:$I$89,3,0)*0.475*44/12</f>
        <v>6.8295185804302823E-4</v>
      </c>
      <c r="AX127" s="23">
        <f t="shared" si="60"/>
        <v>25.289080668989229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15.459988361567312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2.6680153846947346E-13</v>
      </c>
      <c r="AC128" s="24">
        <f t="shared" si="57"/>
        <v>15.459988361567579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-3.694822225952521E-13</v>
      </c>
      <c r="AJ128" s="14">
        <f>AI128*VLOOKUP('Données projet'!$B$10,Paramètres!$A$1:$I$89,3,0)*VLOOKUP('Données projet'!$B$10,Paramètres!$A$1:$I$89,5,0)</f>
        <v>-3.2277966965921228E-13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298.251705538794</v>
      </c>
      <c r="AO128" s="62">
        <f t="shared" si="90"/>
        <v>313.28172726625479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24.596885151697194</v>
      </c>
      <c r="AW128" s="23">
        <f>EXP(-LN(2)/2)*AW127+(1-EXP(-LN(2)/2))/(LN(2)/2)*AQ128*AT128*VLOOKUP('Données projet'!$B$10,Paramètres!$A$1:$I$89,3,0)*0.475*44/12</f>
        <v>4.8291989004617766E-4</v>
      </c>
      <c r="AX128" s="23">
        <f t="shared" si="60"/>
        <v>24.59736807158724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15.156827419458775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1.8865717708276822E-13</v>
      </c>
      <c r="AC129" s="24">
        <f t="shared" si="57"/>
        <v>15.156827419458963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-3.694822225952521E-13</v>
      </c>
      <c r="AJ129" s="14">
        <f>AI129*VLOOKUP('Données projet'!$B$10,Paramètres!$A$1:$I$89,3,0)*VLOOKUP('Données projet'!$B$10,Paramètres!$A$1:$I$89,5,0)</f>
        <v>-3.2277966965921228E-13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298.251705538794</v>
      </c>
      <c r="AO129" s="62">
        <f t="shared" si="90"/>
        <v>313.28172726625479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23.924282033730062</v>
      </c>
      <c r="AW129" s="23">
        <f>EXP(-LN(2)/2)*AW128+(1-EXP(-LN(2)/2))/(LN(2)/2)*AQ129*AT129*VLOOKUP('Données projet'!$B$10,Paramètres!$A$1:$I$89,3,0)*0.475*44/12</f>
        <v>3.4147592902151417E-4</v>
      </c>
      <c r="AX129" s="23">
        <f t="shared" si="60"/>
        <v>23.924623509659085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14.859611278515072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1.3340076923473673E-13</v>
      </c>
      <c r="AC130" s="24">
        <f t="shared" si="57"/>
        <v>14.859611278515205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-3.694822225952521E-13</v>
      </c>
      <c r="AJ130" s="14">
        <f>AI130*VLOOKUP('Données projet'!$B$10,Paramètres!$A$1:$I$89,3,0)*VLOOKUP('Données projet'!$B$10,Paramètres!$A$1:$I$89,5,0)</f>
        <v>-3.2277966965921228E-13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298.251705538794</v>
      </c>
      <c r="AO130" s="62">
        <f t="shared" si="90"/>
        <v>313.28172726625479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23.270071283394401</v>
      </c>
      <c r="AW130" s="23">
        <f>EXP(-LN(2)/2)*AW129+(1-EXP(-LN(2)/2))/(LN(2)/2)*AQ130*AT130*VLOOKUP('Données projet'!$B$10,Paramètres!$A$1:$I$89,3,0)*0.475*44/12</f>
        <v>2.4145994502308888E-4</v>
      </c>
      <c r="AX130" s="23">
        <f t="shared" si="60"/>
        <v>23.270312743339424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14.568223364811328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9.4328588541384109E-14</v>
      </c>
      <c r="AC131" s="24">
        <f t="shared" si="57"/>
        <v>14.568223364811422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-3.694822225952521E-13</v>
      </c>
      <c r="AJ131" s="14">
        <f>AI131*VLOOKUP('Données projet'!$B$10,Paramètres!$A$1:$I$89,3,0)*VLOOKUP('Données projet'!$B$10,Paramètres!$A$1:$I$89,5,0)</f>
        <v>-3.2277966965921228E-13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298.251705538794</v>
      </c>
      <c r="AO131" s="62">
        <f t="shared" si="90"/>
        <v>313.28172726625479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22.633749960430116</v>
      </c>
      <c r="AW131" s="23">
        <f>EXP(-LN(2)/2)*AW130+(1-EXP(-LN(2)/2))/(LN(2)/2)*AQ131*AT131*VLOOKUP('Données projet'!$B$10,Paramètres!$A$1:$I$89,3,0)*0.475*44/12</f>
        <v>1.7073796451075711E-4</v>
      </c>
      <c r="AX131" s="23">
        <f t="shared" si="60"/>
        <v>22.633920698394626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14.282549390366237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6.6700384617368366E-14</v>
      </c>
      <c r="AC132" s="24">
        <f t="shared" ref="AC132:AC153" si="111">SUM(Z132:AB132)</f>
        <v>14.282549390366304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-3.694822225952521E-13</v>
      </c>
      <c r="AJ132" s="14">
        <f>AI132*VLOOKUP('Données projet'!$B$10,Paramètres!$A$1:$I$89,3,0)*VLOOKUP('Données projet'!$B$10,Paramètres!$A$1:$I$89,5,0)</f>
        <v>-3.2277966965921228E-13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298.251705538794</v>
      </c>
      <c r="AO132" s="62">
        <f t="shared" si="90"/>
        <v>313.28172726625479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22.014828877504975</v>
      </c>
      <c r="AW132" s="23">
        <f>EXP(-LN(2)/2)*AW131+(1-EXP(-LN(2)/2))/(LN(2)/2)*AQ132*AT132*VLOOKUP('Données projet'!$B$10,Paramètres!$A$1:$I$89,3,0)*0.475*44/12</f>
        <v>1.2072997251154446E-4</v>
      </c>
      <c r="AX132" s="23">
        <f t="shared" ref="AX132:AX153" si="114">SUM(AU132:AW132)</f>
        <v>22.014949607477487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14.002477308316093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4.7164294270692055E-14</v>
      </c>
      <c r="AC133" s="24">
        <f t="shared" si="111"/>
        <v>14.002477308316141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-3.694822225952521E-13</v>
      </c>
      <c r="AJ133" s="14">
        <f>AI133*VLOOKUP('Données projet'!$B$10,Paramètres!$A$1:$I$89,3,0)*VLOOKUP('Données projet'!$B$10,Paramètres!$A$1:$I$89,5,0)</f>
        <v>-3.2277966965921228E-13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298.251705538794</v>
      </c>
      <c r="AO133" s="62">
        <f t="shared" ref="AO133:AO196" si="144">$AO$3</f>
        <v>313.28172726625479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21.412832224140065</v>
      </c>
      <c r="AW133" s="23">
        <f>EXP(-LN(2)/2)*AW132+(1-EXP(-LN(2)/2))/(LN(2)/2)*AQ133*AT133*VLOOKUP('Données projet'!$B$10,Paramètres!$A$1:$I$89,3,0)*0.475*44/12</f>
        <v>8.536898225537857E-5</v>
      </c>
      <c r="AX133" s="23">
        <f t="shared" si="114"/>
        <v>21.412917593122319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13.727897268967851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3.3350192308684183E-14</v>
      </c>
      <c r="AC134" s="24">
        <f t="shared" si="111"/>
        <v>13.727897268967885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-3.694822225952521E-13</v>
      </c>
      <c r="AJ134" s="14">
        <f>AI134*VLOOKUP('Données projet'!$B$10,Paramètres!$A$1:$I$89,3,0)*VLOOKUP('Données projet'!$B$10,Paramètres!$A$1:$I$89,5,0)</f>
        <v>-3.2277966965921228E-13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298.251705538794</v>
      </c>
      <c r="AO134" s="62">
        <f t="shared" si="144"/>
        <v>313.28172726625479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20.827297200919048</v>
      </c>
      <c r="AW134" s="23">
        <f>EXP(-LN(2)/2)*AW133+(1-EXP(-LN(2)/2))/(LN(2)/2)*AQ134*AT134*VLOOKUP('Données projet'!$B$10,Paramètres!$A$1:$I$89,3,0)*0.475*44/12</f>
        <v>6.0364986255772234E-5</v>
      </c>
      <c r="AX134" s="23">
        <f t="shared" si="114"/>
        <v>20.827357565905302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13.458701576713942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2.3582147135346027E-14</v>
      </c>
      <c r="AC135" s="24">
        <f t="shared" si="111"/>
        <v>13.458701576713965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-3.694822225952521E-13</v>
      </c>
      <c r="AJ135" s="14">
        <f>AI135*VLOOKUP('Données projet'!$B$10,Paramètres!$A$1:$I$89,3,0)*VLOOKUP('Données projet'!$B$10,Paramètres!$A$1:$I$89,5,0)</f>
        <v>-3.2277966965921228E-13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298.251705538794</v>
      </c>
      <c r="AO135" s="62">
        <f t="shared" si="144"/>
        <v>313.28172726625479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20.257773663699957</v>
      </c>
      <c r="AW135" s="23">
        <f>EXP(-LN(2)/2)*AW134+(1-EXP(-LN(2)/2))/(LN(2)/2)*AQ135*AT135*VLOOKUP('Données projet'!$B$10,Paramètres!$A$1:$I$89,3,0)*0.475*44/12</f>
        <v>4.2684491127689292E-5</v>
      </c>
      <c r="AX135" s="23">
        <f t="shared" si="114"/>
        <v>20.257816348191085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13.194784647791971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1.6675096154342091E-14</v>
      </c>
      <c r="AC136" s="24">
        <f t="shared" si="111"/>
        <v>13.194784647791987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-3.694822225952521E-13</v>
      </c>
      <c r="AJ136" s="14">
        <f>AI136*VLOOKUP('Données projet'!$B$10,Paramètres!$A$1:$I$89,3,0)*VLOOKUP('Données projet'!$B$10,Paramètres!$A$1:$I$89,5,0)</f>
        <v>-3.2277966965921228E-13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298.251705538794</v>
      </c>
      <c r="AO136" s="62">
        <f t="shared" si="144"/>
        <v>313.28172726625479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19.703823777556064</v>
      </c>
      <c r="AW136" s="23">
        <f>EXP(-LN(2)/2)*AW135+(1-EXP(-LN(2)/2))/(LN(2)/2)*AQ136*AT136*VLOOKUP('Données projet'!$B$10,Paramètres!$A$1:$I$89,3,0)*0.475*44/12</f>
        <v>3.0182493127886124E-5</v>
      </c>
      <c r="AX136" s="23">
        <f t="shared" si="114"/>
        <v>19.703853960049191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12.93604296887273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1.1791073567673014E-14</v>
      </c>
      <c r="AC137" s="24">
        <f t="shared" si="111"/>
        <v>12.936042968872743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-3.694822225952521E-13</v>
      </c>
      <c r="AJ137" s="14">
        <f>AI137*VLOOKUP('Données projet'!$B$10,Paramètres!$A$1:$I$89,3,0)*VLOOKUP('Données projet'!$B$10,Paramètres!$A$1:$I$89,5,0)</f>
        <v>-3.2277966965921228E-13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298.251705538794</v>
      </c>
      <c r="AO137" s="62">
        <f t="shared" si="144"/>
        <v>313.28172726625479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19.165021680179734</v>
      </c>
      <c r="AW137" s="23">
        <f>EXP(-LN(2)/2)*AW136+(1-EXP(-LN(2)/2))/(LN(2)/2)*AQ137*AT137*VLOOKUP('Données projet'!$B$10,Paramètres!$A$1:$I$89,3,0)*0.475*44/12</f>
        <v>2.1342245563844649E-5</v>
      </c>
      <c r="AX137" s="23">
        <f t="shared" si="114"/>
        <v>19.165043022425298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12.682375056460254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8.3375480771710457E-15</v>
      </c>
      <c r="AC138" s="24">
        <f t="shared" si="111"/>
        <v>12.682375056460263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-3.694822225952521E-13</v>
      </c>
      <c r="AJ138" s="14">
        <f>AI138*VLOOKUP('Données projet'!$B$10,Paramètres!$A$1:$I$89,3,0)*VLOOKUP('Données projet'!$B$10,Paramètres!$A$1:$I$89,5,0)</f>
        <v>-3.2277966965921228E-13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298.251705538794</v>
      </c>
      <c r="AO138" s="62">
        <f t="shared" si="144"/>
        <v>313.28172726625479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18.640953154490532</v>
      </c>
      <c r="AW138" s="23">
        <f>EXP(-LN(2)/2)*AW137+(1-EXP(-LN(2)/2))/(LN(2)/2)*AQ138*AT138*VLOOKUP('Données projet'!$B$10,Paramètres!$A$1:$I$89,3,0)*0.475*44/12</f>
        <v>1.5091246563943064E-5</v>
      </c>
      <c r="AX138" s="23">
        <f t="shared" si="114"/>
        <v>18.640968245737096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12.433681417088037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5.8955367838365068E-15</v>
      </c>
      <c r="AC139" s="24">
        <f t="shared" si="111"/>
        <v>12.433681417088042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-3.694822225952521E-13</v>
      </c>
      <c r="AJ139" s="14">
        <f>AI139*VLOOKUP('Données projet'!$B$10,Paramètres!$A$1:$I$89,3,0)*VLOOKUP('Données projet'!$B$10,Paramètres!$A$1:$I$89,5,0)</f>
        <v>-3.2277966965921228E-13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298.251705538794</v>
      </c>
      <c r="AO139" s="62">
        <f t="shared" si="144"/>
        <v>313.28172726625479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18.131215310195866</v>
      </c>
      <c r="AW139" s="23">
        <f>EXP(-LN(2)/2)*AW138+(1-EXP(-LN(2)/2))/(LN(2)/2)*AQ139*AT139*VLOOKUP('Données projet'!$B$10,Paramètres!$A$1:$I$89,3,0)*0.475*44/12</f>
        <v>1.0671122781922326E-5</v>
      </c>
      <c r="AX139" s="23">
        <f t="shared" si="114"/>
        <v>18.13122598131865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12.189864508295766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4.1687740385855229E-15</v>
      </c>
      <c r="AC140" s="24">
        <f t="shared" si="111"/>
        <v>12.18986450829577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-3.694822225952521E-13</v>
      </c>
      <c r="AJ140" s="14">
        <f>AI140*VLOOKUP('Données projet'!$B$10,Paramètres!$A$1:$I$89,3,0)*VLOOKUP('Données projet'!$B$10,Paramètres!$A$1:$I$89,5,0)</f>
        <v>-3.2277966965921228E-13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298.251705538794</v>
      </c>
      <c r="AO140" s="62">
        <f t="shared" si="144"/>
        <v>313.28172726625479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17.635416274059388</v>
      </c>
      <c r="AW140" s="23">
        <f>EXP(-LN(2)/2)*AW139+(1-EXP(-LN(2)/2))/(LN(2)/2)*AQ140*AT140*VLOOKUP('Données projet'!$B$10,Paramètres!$A$1:$I$89,3,0)*0.475*44/12</f>
        <v>7.5456232819715335E-6</v>
      </c>
      <c r="AX140" s="23">
        <f t="shared" si="114"/>
        <v>17.635423819682671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11.950828700371282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2.9477683919182534E-15</v>
      </c>
      <c r="AC141" s="24">
        <f t="shared" si="111"/>
        <v>11.950828700371286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-3.694822225952521E-13</v>
      </c>
      <c r="AJ141" s="14">
        <f>AI141*VLOOKUP('Données projet'!$B$10,Paramètres!$A$1:$I$89,3,0)*VLOOKUP('Données projet'!$B$10,Paramètres!$A$1:$I$89,5,0)</f>
        <v>-3.2277966965921228E-13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298.251705538794</v>
      </c>
      <c r="AO141" s="62">
        <f t="shared" si="144"/>
        <v>313.28172726625479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17.153174888638997</v>
      </c>
      <c r="AW141" s="23">
        <f>EXP(-LN(2)/2)*AW140+(1-EXP(-LN(2)/2))/(LN(2)/2)*AQ141*AT141*VLOOKUP('Données projet'!$B$10,Paramètres!$A$1:$I$89,3,0)*0.475*44/12</f>
        <v>5.335561390961164E-6</v>
      </c>
      <c r="AX141" s="23">
        <f t="shared" si="114"/>
        <v>17.153180224200387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11.716480238842751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2.0843870192927614E-15</v>
      </c>
      <c r="AC142" s="24">
        <f t="shared" si="111"/>
        <v>11.716480238842752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-3.694822225952521E-13</v>
      </c>
      <c r="AJ142" s="14">
        <f>AI142*VLOOKUP('Données projet'!$B$10,Paramètres!$A$1:$I$89,3,0)*VLOOKUP('Données projet'!$B$10,Paramètres!$A$1:$I$89,5,0)</f>
        <v>-3.2277966965921228E-13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298.251705538794</v>
      </c>
      <c r="AO142" s="62">
        <f t="shared" si="144"/>
        <v>313.28172726625479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16.6841204192629</v>
      </c>
      <c r="AW142" s="23">
        <f>EXP(-LN(2)/2)*AW141+(1-EXP(-LN(2)/2))/(LN(2)/2)*AQ142*AT142*VLOOKUP('Données projet'!$B$10,Paramètres!$A$1:$I$89,3,0)*0.475*44/12</f>
        <v>3.7728116409857672E-6</v>
      </c>
      <c r="AX142" s="23">
        <f t="shared" si="114"/>
        <v>16.684124192074542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11.486727207706346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1.4738841959591267E-15</v>
      </c>
      <c r="AC143" s="24">
        <f t="shared" si="111"/>
        <v>11.486727207706348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-3.694822225952521E-13</v>
      </c>
      <c r="AJ143" s="14">
        <f>AI143*VLOOKUP('Données projet'!$B$10,Paramètres!$A$1:$I$89,3,0)*VLOOKUP('Données projet'!$B$10,Paramètres!$A$1:$I$89,5,0)</f>
        <v>-3.2277966965921228E-13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298.251705538794</v>
      </c>
      <c r="AO143" s="62">
        <f t="shared" si="144"/>
        <v>313.28172726625479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16.227892269018394</v>
      </c>
      <c r="AW143" s="23">
        <f>EXP(-LN(2)/2)*AW142+(1-EXP(-LN(2)/2))/(LN(2)/2)*AQ143*AT143*VLOOKUP('Données projet'!$B$10,Paramètres!$A$1:$I$89,3,0)*0.475*44/12</f>
        <v>2.6677806954805824E-6</v>
      </c>
      <c r="AX143" s="23">
        <f t="shared" si="114"/>
        <v>16.227894936799089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11.261479493375015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1.0421935096463807E-15</v>
      </c>
      <c r="AC144" s="24">
        <f t="shared" si="111"/>
        <v>11.261479493375017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-3.694822225952521E-13</v>
      </c>
      <c r="AJ144" s="14">
        <f>AI144*VLOOKUP('Données projet'!$B$10,Paramètres!$A$1:$I$89,3,0)*VLOOKUP('Données projet'!$B$10,Paramètres!$A$1:$I$89,5,0)</f>
        <v>-3.2277966965921228E-13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298.251705538794</v>
      </c>
      <c r="AO144" s="62">
        <f t="shared" si="144"/>
        <v>313.28172726625479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15.78413970153432</v>
      </c>
      <c r="AW144" s="23">
        <f>EXP(-LN(2)/2)*AW143+(1-EXP(-LN(2)/2))/(LN(2)/2)*AQ144*AT144*VLOOKUP('Données projet'!$B$10,Paramètres!$A$1:$I$89,3,0)*0.475*44/12</f>
        <v>1.8864058204928838E-6</v>
      </c>
      <c r="AX144" s="23">
        <f t="shared" si="114"/>
        <v>15.784141587940141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11.040648749334181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7.3694209797956335E-16</v>
      </c>
      <c r="AC145" s="24">
        <f t="shared" si="111"/>
        <v>11.040648749334181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-3.694822225952521E-13</v>
      </c>
      <c r="AJ145" s="14">
        <f>AI145*VLOOKUP('Données projet'!$B$10,Paramètres!$A$1:$I$89,3,0)*VLOOKUP('Données projet'!$B$10,Paramètres!$A$1:$I$89,5,0)</f>
        <v>-3.2277966965921228E-13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298.251705538794</v>
      </c>
      <c r="AO145" s="62">
        <f t="shared" si="144"/>
        <v>313.28172726625479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15.352521571344033</v>
      </c>
      <c r="AW145" s="23">
        <f>EXP(-LN(2)/2)*AW144+(1-EXP(-LN(2)/2))/(LN(2)/2)*AQ145*AT145*VLOOKUP('Données projet'!$B$10,Paramètres!$A$1:$I$89,3,0)*0.475*44/12</f>
        <v>1.3338903477402914E-6</v>
      </c>
      <c r="AX145" s="23">
        <f t="shared" si="114"/>
        <v>15.35252290523438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10.824148361490534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5.2109675482319036E-16</v>
      </c>
      <c r="AC146" s="24">
        <f t="shared" si="111"/>
        <v>10.824148361490534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-3.694822225952521E-13</v>
      </c>
      <c r="AJ146" s="14">
        <f>AI146*VLOOKUP('Données projet'!$B$10,Paramètres!$A$1:$I$89,3,0)*VLOOKUP('Données projet'!$B$10,Paramètres!$A$1:$I$89,5,0)</f>
        <v>-3.2277966965921228E-13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298.251705538794</v>
      </c>
      <c r="AO146" s="62">
        <f t="shared" si="144"/>
        <v>313.28172726625479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14.932706061621609</v>
      </c>
      <c r="AW146" s="23">
        <f>EXP(-LN(2)/2)*AW145+(1-EXP(-LN(2)/2))/(LN(2)/2)*AQ146*AT146*VLOOKUP('Données projet'!$B$10,Paramètres!$A$1:$I$89,3,0)*0.475*44/12</f>
        <v>9.4320291024644211E-7</v>
      </c>
      <c r="AX146" s="23">
        <f t="shared" si="114"/>
        <v>14.932707004824518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10.611893414200305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3.6847104898978168E-16</v>
      </c>
      <c r="AC147" s="24">
        <f t="shared" si="111"/>
        <v>10.611893414200305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-3.694822225952521E-13</v>
      </c>
      <c r="AJ147" s="14">
        <f>AI147*VLOOKUP('Données projet'!$B$10,Paramètres!$A$1:$I$89,3,0)*VLOOKUP('Données projet'!$B$10,Paramètres!$A$1:$I$89,5,0)</f>
        <v>-3.2277966965921228E-13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298.251705538794</v>
      </c>
      <c r="AO147" s="62">
        <f t="shared" si="144"/>
        <v>313.28172726625479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14.524370429089684</v>
      </c>
      <c r="AW147" s="23">
        <f>EXP(-LN(2)/2)*AW146+(1-EXP(-LN(2)/2))/(LN(2)/2)*AQ147*AT147*VLOOKUP('Données projet'!$B$10,Paramètres!$A$1:$I$89,3,0)*0.475*44/12</f>
        <v>6.6694517387014582E-7</v>
      </c>
      <c r="AX147" s="23">
        <f t="shared" si="114"/>
        <v>14.524371096034859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10.403800656963702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2.6054837741159518E-16</v>
      </c>
      <c r="AC148" s="24">
        <f t="shared" si="111"/>
        <v>10.403800656963702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-3.694822225952521E-13</v>
      </c>
      <c r="AJ148" s="14">
        <f>AI148*VLOOKUP('Données projet'!$B$10,Paramètres!$A$1:$I$89,3,0)*VLOOKUP('Données projet'!$B$10,Paramètres!$A$1:$I$89,5,0)</f>
        <v>-3.2277966965921228E-13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298.251705538794</v>
      </c>
      <c r="AO148" s="62">
        <f t="shared" si="144"/>
        <v>313.28172726625479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14.127200755902782</v>
      </c>
      <c r="AW148" s="23">
        <f>EXP(-LN(2)/2)*AW147+(1-EXP(-LN(2)/2))/(LN(2)/2)*AQ148*AT148*VLOOKUP('Données projet'!$B$10,Paramètres!$A$1:$I$89,3,0)*0.475*44/12</f>
        <v>4.7160145512322111E-7</v>
      </c>
      <c r="AX148" s="23">
        <f t="shared" si="114"/>
        <v>14.127201227504237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10.199788471772459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1.8423552449489084E-16</v>
      </c>
      <c r="AC149" s="24">
        <f t="shared" si="111"/>
        <v>10.199788471772459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-3.694822225952521E-13</v>
      </c>
      <c r="AJ149" s="14">
        <f>AI149*VLOOKUP('Données projet'!$B$10,Paramètres!$A$1:$I$89,3,0)*VLOOKUP('Données projet'!$B$10,Paramètres!$A$1:$I$89,5,0)</f>
        <v>-3.2277966965921228E-13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298.251705538794</v>
      </c>
      <c r="AO149" s="62">
        <f t="shared" si="144"/>
        <v>313.28172726625479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13.740891708315422</v>
      </c>
      <c r="AW149" s="23">
        <f>EXP(-LN(2)/2)*AW148+(1-EXP(-LN(2)/2))/(LN(2)/2)*AQ149*AT149*VLOOKUP('Données projet'!$B$10,Paramètres!$A$1:$I$89,3,0)*0.475*44/12</f>
        <v>3.3347258693507296E-7</v>
      </c>
      <c r="AX149" s="23">
        <f t="shared" si="114"/>
        <v>13.740892041788008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9.9997768410976704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1.3027418870579759E-16</v>
      </c>
      <c r="AC150" s="24">
        <f t="shared" si="111"/>
        <v>9.9997768410976704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-3.694822225952521E-13</v>
      </c>
      <c r="AJ150" s="14">
        <f>AI150*VLOOKUP('Données projet'!$B$10,Paramètres!$A$1:$I$89,3,0)*VLOOKUP('Données projet'!$B$10,Paramètres!$A$1:$I$89,5,0)</f>
        <v>-3.2277966965921228E-13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298.251705538794</v>
      </c>
      <c r="AO150" s="62">
        <f t="shared" si="144"/>
        <v>313.28172726625479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13.365146301949446</v>
      </c>
      <c r="AW150" s="23">
        <f>EXP(-LN(2)/2)*AW149+(1-EXP(-LN(2)/2))/(LN(2)/2)*AQ150*AT150*VLOOKUP('Données projet'!$B$10,Paramètres!$A$1:$I$89,3,0)*0.475*44/12</f>
        <v>2.3580072756161061E-7</v>
      </c>
      <c r="AX150" s="23">
        <f t="shared" si="114"/>
        <v>13.365146537750174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9.803687316505366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9.2117762247445419E-17</v>
      </c>
      <c r="AC151" s="24">
        <f t="shared" si="111"/>
        <v>9.803687316505366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-3.694822225952521E-13</v>
      </c>
      <c r="AJ151" s="14">
        <f>AI151*VLOOKUP('Données projet'!$B$10,Paramètres!$A$1:$I$89,3,0)*VLOOKUP('Données projet'!$B$10,Paramètres!$A$1:$I$89,5,0)</f>
        <v>-3.2277966965921228E-13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298.251705538794</v>
      </c>
      <c r="AO151" s="62">
        <f t="shared" si="144"/>
        <v>313.28172726625479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12.999675673480141</v>
      </c>
      <c r="AW151" s="23">
        <f>EXP(-LN(2)/2)*AW150+(1-EXP(-LN(2)/2))/(LN(2)/2)*AQ151*AT151*VLOOKUP('Données projet'!$B$10,Paramètres!$A$1:$I$89,3,0)*0.475*44/12</f>
        <v>1.6673629346753651E-7</v>
      </c>
      <c r="AX151" s="23">
        <f t="shared" si="114"/>
        <v>12.999675840216435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9.6114429878875161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6.5137094352898795E-17</v>
      </c>
      <c r="AC152" s="24">
        <f t="shared" si="111"/>
        <v>9.6114429878875161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-3.694822225952521E-13</v>
      </c>
      <c r="AJ152" s="14">
        <f>AI152*VLOOKUP('Données projet'!$B$10,Paramètres!$A$1:$I$89,3,0)*VLOOKUP('Données projet'!$B$10,Paramètres!$A$1:$I$89,5,0)</f>
        <v>-3.2277966965921228E-13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298.251705538794</v>
      </c>
      <c r="AO152" s="62">
        <f t="shared" si="144"/>
        <v>313.28172726625479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12.644198858565593</v>
      </c>
      <c r="AW152" s="23">
        <f>EXP(-LN(2)/2)*AW151+(1-EXP(-LN(2)/2))/(LN(2)/2)*AQ152*AT152*VLOOKUP('Données projet'!$B$10,Paramètres!$A$1:$I$89,3,0)*0.475*44/12</f>
        <v>1.1790036378080532E-7</v>
      </c>
      <c r="AX152" s="23">
        <f t="shared" si="114"/>
        <v>12.644198976465956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9.4229684532964004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4.605888112372271E-17</v>
      </c>
      <c r="AC153" s="24">
        <f t="shared" si="111"/>
        <v>9.4229684532964004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-3.694822225952521E-13</v>
      </c>
      <c r="AJ153" s="14">
        <f>AI153*VLOOKUP('Données projet'!$B$10,Paramètres!$A$1:$I$89,3,0)*VLOOKUP('Données projet'!$B$10,Paramètres!$A$1:$I$89,5,0)</f>
        <v>-3.2277966965921228E-13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298.251705538794</v>
      </c>
      <c r="AO153" s="62">
        <f t="shared" si="144"/>
        <v>313.28172726625479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12.298442575848597</v>
      </c>
      <c r="AW153" s="23">
        <f>EXP(-LN(2)/2)*AW152+(1-EXP(-LN(2)/2))/(LN(2)/2)*AQ153*AT153*VLOOKUP('Données projet'!$B$10,Paramètres!$A$1:$I$89,3,0)*0.475*44/12</f>
        <v>8.3368146733768267E-8</v>
      </c>
      <c r="AX153" s="23">
        <f t="shared" si="114"/>
        <v>12.298442659216743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9.2381897893705016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3.2568547176449397E-17</v>
      </c>
      <c r="AC154" s="24">
        <f t="shared" ref="AC154:AC203" si="163">SUM(Z154:AB154)</f>
        <v>9.2381897893705016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-3.694822225952521E-13</v>
      </c>
      <c r="AJ154" s="14">
        <f>AI154*VLOOKUP('Données projet'!$B$10,Paramètres!$A$1:$I$89,3,0)*VLOOKUP('Données projet'!$B$10,Paramètres!$A$1:$I$89,5,0)</f>
        <v>-3.2277966965921228E-13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298.251705538794</v>
      </c>
      <c r="AO154" s="62">
        <f t="shared" si="144"/>
        <v>313.28172726625479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11.962141016865031</v>
      </c>
      <c r="AW154" s="23">
        <f>EXP(-LN(2)/2)*AW153+(1-EXP(-LN(2)/2))/(LN(2)/2)*AQ154*AT154*VLOOKUP('Données projet'!$B$10,Paramètres!$A$1:$I$89,3,0)*0.475*44/12</f>
        <v>5.8950181890402665E-8</v>
      </c>
      <c r="AX154" s="23">
        <f t="shared" ref="AX154:AX203" si="166">SUM(AU154:AW154)</f>
        <v>11.962141075815213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9.0570345223403326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2.3029440561861355E-17</v>
      </c>
      <c r="AC155" s="24">
        <f t="shared" si="163"/>
        <v>9.0570345223403326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-3.694822225952521E-13</v>
      </c>
      <c r="AJ155" s="14">
        <f>AI155*VLOOKUP('Données projet'!$B$10,Paramètres!$A$1:$I$89,3,0)*VLOOKUP('Données projet'!$B$10,Paramètres!$A$1:$I$89,5,0)</f>
        <v>-3.2277966965921228E-13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298.251705538794</v>
      </c>
      <c r="AO155" s="62">
        <f t="shared" si="144"/>
        <v>313.28172726625479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11.635035641697201</v>
      </c>
      <c r="AW155" s="23">
        <f>EXP(-LN(2)/2)*AW154+(1-EXP(-LN(2)/2))/(LN(2)/2)*AQ155*AT155*VLOOKUP('Données projet'!$B$10,Paramètres!$A$1:$I$89,3,0)*0.475*44/12</f>
        <v>4.168407336688414E-8</v>
      </c>
      <c r="AX155" s="23">
        <f t="shared" si="166"/>
        <v>11.635035683381274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8.8794315996028228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1.6284273588224699E-17</v>
      </c>
      <c r="AC156" s="24">
        <f t="shared" si="163"/>
        <v>8.8794315996028228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-3.694822225952521E-13</v>
      </c>
      <c r="AJ156" s="14">
        <f>AI156*VLOOKUP('Données projet'!$B$10,Paramètres!$A$1:$I$89,3,0)*VLOOKUP('Données projet'!$B$10,Paramètres!$A$1:$I$89,5,0)</f>
        <v>-3.2277966965921228E-13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298.251705538794</v>
      </c>
      <c r="AO156" s="62">
        <f t="shared" si="144"/>
        <v>313.28172726625479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11.316874980215058</v>
      </c>
      <c r="AW156" s="23">
        <f>EXP(-LN(2)/2)*AW155+(1-EXP(-LN(2)/2))/(LN(2)/2)*AQ156*AT156*VLOOKUP('Données projet'!$B$10,Paramètres!$A$1:$I$89,3,0)*0.475*44/12</f>
        <v>2.9475090945201339E-8</v>
      </c>
      <c r="AX156" s="23">
        <f t="shared" si="166"/>
        <v>11.316875009690149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8.7053113618531093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1.1514720280930677E-17</v>
      </c>
      <c r="AC157" s="24">
        <f t="shared" si="163"/>
        <v>8.7053113618531093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-3.694822225952521E-13</v>
      </c>
      <c r="AJ157" s="14">
        <f>AI157*VLOOKUP('Données projet'!$B$10,Paramètres!$A$1:$I$89,3,0)*VLOOKUP('Données projet'!$B$10,Paramètres!$A$1:$I$89,5,0)</f>
        <v>-3.2277966965921228E-13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298.251705538794</v>
      </c>
      <c r="AO157" s="62">
        <f t="shared" si="144"/>
        <v>313.28172726625479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11.007414438752487</v>
      </c>
      <c r="AW157" s="23">
        <f>EXP(-LN(2)/2)*AW156+(1-EXP(-LN(2)/2))/(LN(2)/2)*AQ157*AT157*VLOOKUP('Données projet'!$B$10,Paramètres!$A$1:$I$89,3,0)*0.475*44/12</f>
        <v>2.0842036683442073E-8</v>
      </c>
      <c r="AX157" s="23">
        <f t="shared" si="166"/>
        <v>11.007414459594525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8.5346055157628093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8.1421367941123493E-18</v>
      </c>
      <c r="AC158" s="24">
        <f t="shared" si="163"/>
        <v>8.5346055157628093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-3.694822225952521E-13</v>
      </c>
      <c r="AJ158" s="14">
        <f>AI158*VLOOKUP('Données projet'!$B$10,Paramètres!$A$1:$I$89,3,0)*VLOOKUP('Données projet'!$B$10,Paramètres!$A$1:$I$89,5,0)</f>
        <v>-3.2277966965921228E-13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298.251705538794</v>
      </c>
      <c r="AO158" s="62">
        <f t="shared" si="144"/>
        <v>313.28172726625479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10.706416112070032</v>
      </c>
      <c r="AW158" s="23">
        <f>EXP(-LN(2)/2)*AW157+(1-EXP(-LN(2)/2))/(LN(2)/2)*AQ158*AT158*VLOOKUP('Données projet'!$B$10,Paramètres!$A$1:$I$89,3,0)*0.475*44/12</f>
        <v>1.4737545472600671E-8</v>
      </c>
      <c r="AX158" s="23">
        <f t="shared" si="166"/>
        <v>10.706416126807579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8.3672471071940553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5.7573601404653387E-18</v>
      </c>
      <c r="AC159" s="24">
        <f t="shared" si="163"/>
        <v>8.3672471071940553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-3.694822225952521E-13</v>
      </c>
      <c r="AJ159" s="14">
        <f>AI159*VLOOKUP('Données projet'!$B$10,Paramètres!$A$1:$I$89,3,0)*VLOOKUP('Données projet'!$B$10,Paramètres!$A$1:$I$89,5,0)</f>
        <v>-3.2277966965921228E-13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298.251705538794</v>
      </c>
      <c r="AO159" s="62">
        <f t="shared" si="144"/>
        <v>313.28172726625479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10.413648600459524</v>
      </c>
      <c r="AW159" s="23">
        <f>EXP(-LN(2)/2)*AW158+(1-EXP(-LN(2)/2))/(LN(2)/2)*AQ159*AT159*VLOOKUP('Données projet'!$B$10,Paramètres!$A$1:$I$89,3,0)*0.475*44/12</f>
        <v>1.0421018341721038E-8</v>
      </c>
      <c r="AX159" s="23">
        <f t="shared" si="166"/>
        <v>10.413648610880543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8.2031704949387851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4.0710683970561747E-18</v>
      </c>
      <c r="AC160" s="24">
        <f t="shared" si="163"/>
        <v>8.2031704949387851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-3.694822225952521E-13</v>
      </c>
      <c r="AJ160" s="14">
        <f>AI160*VLOOKUP('Données projet'!$B$10,Paramètres!$A$1:$I$89,3,0)*VLOOKUP('Données projet'!$B$10,Paramètres!$A$1:$I$89,5,0)</f>
        <v>-3.2277966965921228E-13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298.251705538794</v>
      </c>
      <c r="AO160" s="62">
        <f t="shared" si="144"/>
        <v>313.28172726625479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10.128886831849979</v>
      </c>
      <c r="AW160" s="23">
        <f>EXP(-LN(2)/2)*AW159+(1-EXP(-LN(2)/2))/(LN(2)/2)*AQ160*AT160*VLOOKUP('Données projet'!$B$10,Paramètres!$A$1:$I$89,3,0)*0.475*44/12</f>
        <v>7.3687727363003373E-9</v>
      </c>
      <c r="AX160" s="23">
        <f t="shared" si="166"/>
        <v>10.128886839218751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8.0423113249729887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2.8786800702326693E-18</v>
      </c>
      <c r="AC161" s="24">
        <f t="shared" si="163"/>
        <v>8.0423113249729887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-3.694822225952521E-13</v>
      </c>
      <c r="AJ161" s="14">
        <f>AI161*VLOOKUP('Données projet'!$B$10,Paramètres!$A$1:$I$89,3,0)*VLOOKUP('Données projet'!$B$10,Paramètres!$A$1:$I$89,5,0)</f>
        <v>-3.2277966965921228E-13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298.251705538794</v>
      </c>
      <c r="AO161" s="62">
        <f t="shared" si="144"/>
        <v>313.28172726625479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9.8519118887780319</v>
      </c>
      <c r="AW161" s="23">
        <f>EXP(-LN(2)/2)*AW160+(1-EXP(-LN(2)/2))/(LN(2)/2)*AQ161*AT161*VLOOKUP('Données projet'!$B$10,Paramètres!$A$1:$I$89,3,0)*0.475*44/12</f>
        <v>5.21050917086052E-9</v>
      </c>
      <c r="AX161" s="23">
        <f t="shared" si="166"/>
        <v>9.8519118939885413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7.8846065052158156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2.0355341985280873E-18</v>
      </c>
      <c r="AC162" s="24">
        <f t="shared" si="163"/>
        <v>7.8846065052158156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-3.694822225952521E-13</v>
      </c>
      <c r="AJ162" s="14">
        <f>AI162*VLOOKUP('Données projet'!$B$10,Paramètres!$A$1:$I$89,3,0)*VLOOKUP('Données projet'!$B$10,Paramètres!$A$1:$I$89,5,0)</f>
        <v>-3.2277966965921228E-13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298.251705538794</v>
      </c>
      <c r="AO162" s="62">
        <f t="shared" si="144"/>
        <v>313.28172726625479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9.5825108400898671</v>
      </c>
      <c r="AW162" s="23">
        <f>EXP(-LN(2)/2)*AW161+(1-EXP(-LN(2)/2))/(LN(2)/2)*AQ162*AT162*VLOOKUP('Données projet'!$B$10,Paramètres!$A$1:$I$89,3,0)*0.475*44/12</f>
        <v>3.6843863681501691E-9</v>
      </c>
      <c r="AX162" s="23">
        <f t="shared" si="166"/>
        <v>9.5825108437742532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7.7299941807836392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1.4393400351163347E-18</v>
      </c>
      <c r="AC163" s="24">
        <f t="shared" si="163"/>
        <v>7.7299941807836392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-3.694822225952521E-13</v>
      </c>
      <c r="AJ163" s="14">
        <f>AI163*VLOOKUP('Données projet'!$B$10,Paramètres!$A$1:$I$89,3,0)*VLOOKUP('Données projet'!$B$10,Paramètres!$A$1:$I$89,5,0)</f>
        <v>-3.2277966965921228E-13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298.251705538794</v>
      </c>
      <c r="AO163" s="62">
        <f t="shared" si="144"/>
        <v>313.28172726625479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9.320476577245266</v>
      </c>
      <c r="AW163" s="23">
        <f>EXP(-LN(2)/2)*AW162+(1-EXP(-LN(2)/2))/(LN(2)/2)*AQ163*AT163*VLOOKUP('Données projet'!$B$10,Paramètres!$A$1:$I$89,3,0)*0.475*44/12</f>
        <v>2.6052545854302604E-9</v>
      </c>
      <c r="AX163" s="23">
        <f t="shared" si="166"/>
        <v>9.3204765798505207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7.5784137097293716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1.0177670992640437E-18</v>
      </c>
      <c r="AC164" s="24">
        <f t="shared" si="163"/>
        <v>7.5784137097293716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-3.694822225952521E-13</v>
      </c>
      <c r="AJ164" s="14">
        <f>AI164*VLOOKUP('Données projet'!$B$10,Paramètres!$A$1:$I$89,3,0)*VLOOKUP('Données projet'!$B$10,Paramètres!$A$1:$I$89,5,0)</f>
        <v>-3.2277966965921228E-13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298.251705538794</v>
      </c>
      <c r="AO164" s="62">
        <f t="shared" si="144"/>
        <v>313.28172726625479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9.0656076550979332</v>
      </c>
      <c r="AW164" s="23">
        <f>EXP(-LN(2)/2)*AW163+(1-EXP(-LN(2)/2))/(LN(2)/2)*AQ164*AT164*VLOOKUP('Données projet'!$B$10,Paramètres!$A$1:$I$89,3,0)*0.475*44/12</f>
        <v>1.8421931840750849E-9</v>
      </c>
      <c r="AX164" s="23">
        <f t="shared" si="166"/>
        <v>9.0656076569401272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7.4298056392575198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7.1967001755816734E-19</v>
      </c>
      <c r="AC165" s="24">
        <f t="shared" si="163"/>
        <v>7.4298056392575198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-3.694822225952521E-13</v>
      </c>
      <c r="AJ165" s="14">
        <f>AI165*VLOOKUP('Données projet'!$B$10,Paramètres!$A$1:$I$89,3,0)*VLOOKUP('Données projet'!$B$10,Paramètres!$A$1:$I$89,5,0)</f>
        <v>-3.2277966965921228E-13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298.251705538794</v>
      </c>
      <c r="AO165" s="62">
        <f t="shared" si="144"/>
        <v>313.28172726625479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8.8177081370296939</v>
      </c>
      <c r="AW165" s="23">
        <f>EXP(-LN(2)/2)*AW164+(1-EXP(-LN(2)/2))/(LN(2)/2)*AQ165*AT165*VLOOKUP('Données projet'!$B$10,Paramètres!$A$1:$I$89,3,0)*0.475*44/12</f>
        <v>1.3026272927151304E-9</v>
      </c>
      <c r="AX165" s="23">
        <f t="shared" si="166"/>
        <v>8.8177081383323213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7.2841116824056487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5.0888354963202183E-19</v>
      </c>
      <c r="AC166" s="24">
        <f t="shared" si="163"/>
        <v>7.2841116824056487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-3.694822225952521E-13</v>
      </c>
      <c r="AJ166" s="14">
        <f>AI166*VLOOKUP('Données projet'!$B$10,Paramètres!$A$1:$I$89,3,0)*VLOOKUP('Données projet'!$B$10,Paramètres!$A$1:$I$89,5,0)</f>
        <v>-3.2277966965921228E-13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298.251705538794</v>
      </c>
      <c r="AO166" s="62">
        <f t="shared" si="144"/>
        <v>313.28172726625479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8.5765874443194985</v>
      </c>
      <c r="AW166" s="23">
        <f>EXP(-LN(2)/2)*AW165+(1-EXP(-LN(2)/2))/(LN(2)/2)*AQ166*AT166*VLOOKUP('Données projet'!$B$10,Paramètres!$A$1:$I$89,3,0)*0.475*44/12</f>
        <v>9.2109659203754258E-10</v>
      </c>
      <c r="AX166" s="23">
        <f t="shared" si="166"/>
        <v>8.5765874452405946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7.1412746951831032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3.5983500877908367E-19</v>
      </c>
      <c r="AC167" s="24">
        <f t="shared" si="163"/>
        <v>7.1412746951831032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-3.694822225952521E-13</v>
      </c>
      <c r="AJ167" s="14">
        <f>AI167*VLOOKUP('Données projet'!$B$10,Paramètres!$A$1:$I$89,3,0)*VLOOKUP('Données projet'!$B$10,Paramètres!$A$1:$I$89,5,0)</f>
        <v>-3.2277966965921228E-13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298.251705538794</v>
      </c>
      <c r="AO167" s="62">
        <f t="shared" si="144"/>
        <v>313.28172726625479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8.34206020963145</v>
      </c>
      <c r="AW167" s="23">
        <f>EXP(-LN(2)/2)*AW166+(1-EXP(-LN(2)/2))/(LN(2)/2)*AQ167*AT167*VLOOKUP('Données projet'!$B$10,Paramètres!$A$1:$I$89,3,0)*0.475*44/12</f>
        <v>6.5131364635756531E-10</v>
      </c>
      <c r="AX167" s="23">
        <f t="shared" si="166"/>
        <v>8.3420602102827637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7.0012386541580325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2.5444177481601092E-19</v>
      </c>
      <c r="AC168" s="24">
        <f t="shared" si="163"/>
        <v>7.0012386541580325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-3.694822225952521E-13</v>
      </c>
      <c r="AJ168" s="14">
        <f>AI168*VLOOKUP('Données projet'!$B$10,Paramètres!$A$1:$I$89,3,0)*VLOOKUP('Données projet'!$B$10,Paramètres!$A$1:$I$89,5,0)</f>
        <v>-3.2277966965921228E-13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298.251705538794</v>
      </c>
      <c r="AO168" s="62">
        <f t="shared" si="144"/>
        <v>313.28172726625479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8.113946134509197</v>
      </c>
      <c r="AW168" s="23">
        <f>EXP(-LN(2)/2)*AW167+(1-EXP(-LN(2)/2))/(LN(2)/2)*AQ168*AT168*VLOOKUP('Données projet'!$B$10,Paramètres!$A$1:$I$89,3,0)*0.475*44/12</f>
        <v>4.6054829601877134E-10</v>
      </c>
      <c r="AX168" s="23">
        <f t="shared" si="166"/>
        <v>8.1139461349697459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6.8639486344839122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1.7991750438954183E-19</v>
      </c>
      <c r="AC169" s="24">
        <f t="shared" si="163"/>
        <v>6.8639486344839122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-3.694822225952521E-13</v>
      </c>
      <c r="AJ169" s="14">
        <f>AI169*VLOOKUP('Données projet'!$B$10,Paramètres!$A$1:$I$89,3,0)*VLOOKUP('Données projet'!$B$10,Paramètres!$A$1:$I$89,5,0)</f>
        <v>-3.2277966965921228E-13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298.251705538794</v>
      </c>
      <c r="AO169" s="62">
        <f t="shared" si="144"/>
        <v>313.28172726625479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7.8920698507671601</v>
      </c>
      <c r="AW169" s="23">
        <f>EXP(-LN(2)/2)*AW168+(1-EXP(-LN(2)/2))/(LN(2)/2)*AQ169*AT169*VLOOKUP('Données projet'!$B$10,Paramètres!$A$1:$I$89,3,0)*0.475*44/12</f>
        <v>3.2565682317878271E-10</v>
      </c>
      <c r="AX169" s="23">
        <f t="shared" si="166"/>
        <v>7.8920698510928169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6.7293507883569577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1.2722088740800546E-19</v>
      </c>
      <c r="AC170" s="24">
        <f t="shared" si="163"/>
        <v>6.7293507883569577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-3.694822225952521E-13</v>
      </c>
      <c r="AJ170" s="14">
        <f>AI170*VLOOKUP('Données projet'!$B$10,Paramètres!$A$1:$I$89,3,0)*VLOOKUP('Données projet'!$B$10,Paramètres!$A$1:$I$89,5,0)</f>
        <v>-3.2277966965921228E-13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298.251705538794</v>
      </c>
      <c r="AO170" s="62">
        <f t="shared" si="144"/>
        <v>313.28172726625479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7.6762607856720164</v>
      </c>
      <c r="AW170" s="23">
        <f>EXP(-LN(2)/2)*AW169+(1-EXP(-LN(2)/2))/(LN(2)/2)*AQ170*AT170*VLOOKUP('Données projet'!$B$10,Paramètres!$A$1:$I$89,3,0)*0.475*44/12</f>
        <v>2.3027414800938572E-10</v>
      </c>
      <c r="AX170" s="23">
        <f t="shared" si="166"/>
        <v>7.6762607859022909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6.5973923238959733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8.9958752194770917E-20</v>
      </c>
      <c r="AC171" s="24">
        <f t="shared" si="163"/>
        <v>6.5973923238959733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-3.694822225952521E-13</v>
      </c>
      <c r="AJ171" s="14">
        <f>AI171*VLOOKUP('Données projet'!$B$10,Paramètres!$A$1:$I$89,3,0)*VLOOKUP('Données projet'!$B$10,Paramètres!$A$1:$I$89,5,0)</f>
        <v>-3.2277966965921228E-13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298.251705538794</v>
      </c>
      <c r="AO171" s="62">
        <f t="shared" si="144"/>
        <v>313.28172726625479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7.4663530308108044</v>
      </c>
      <c r="AW171" s="23">
        <f>EXP(-LN(2)/2)*AW170+(1-EXP(-LN(2)/2))/(LN(2)/2)*AQ171*AT171*VLOOKUP('Données projet'!$B$10,Paramètres!$A$1:$I$89,3,0)*0.475*44/12</f>
        <v>1.6282841158939138E-10</v>
      </c>
      <c r="AX171" s="23">
        <f t="shared" si="166"/>
        <v>7.4663530309736323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6.4680214844363526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6.3610443704002729E-20</v>
      </c>
      <c r="AC172" s="24">
        <f t="shared" si="163"/>
        <v>6.4680214844363526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-3.694822225952521E-13</v>
      </c>
      <c r="AJ172" s="14">
        <f>AI172*VLOOKUP('Données projet'!$B$10,Paramètres!$A$1:$I$89,3,0)*VLOOKUP('Données projet'!$B$10,Paramètres!$A$1:$I$89,5,0)</f>
        <v>-3.2277966965921228E-13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298.251705538794</v>
      </c>
      <c r="AO172" s="62">
        <f t="shared" si="144"/>
        <v>313.28172726625479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7.262185214544842</v>
      </c>
      <c r="AW172" s="23">
        <f>EXP(-LN(2)/2)*AW171+(1-EXP(-LN(2)/2))/(LN(2)/2)*AQ172*AT172*VLOOKUP('Données projet'!$B$10,Paramètres!$A$1:$I$89,3,0)*0.475*44/12</f>
        <v>1.1513707400469287E-10</v>
      </c>
      <c r="AX172" s="23">
        <f t="shared" si="166"/>
        <v>7.2621852146599792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6.3411875282301144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4.4979376097385459E-20</v>
      </c>
      <c r="AC173" s="24">
        <f t="shared" si="163"/>
        <v>6.3411875282301144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-3.694822225952521E-13</v>
      </c>
      <c r="AJ173" s="14">
        <f>AI173*VLOOKUP('Données projet'!$B$10,Paramètres!$A$1:$I$89,3,0)*VLOOKUP('Données projet'!$B$10,Paramètres!$A$1:$I$89,5,0)</f>
        <v>-3.2277966965921228E-13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298.251705538794</v>
      </c>
      <c r="AO173" s="62">
        <f t="shared" si="144"/>
        <v>313.28172726625479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7.0636003779513912</v>
      </c>
      <c r="AW173" s="23">
        <f>EXP(-LN(2)/2)*AW172+(1-EXP(-LN(2)/2))/(LN(2)/2)*AQ173*AT173*VLOOKUP('Données projet'!$B$10,Paramètres!$A$1:$I$89,3,0)*0.475*44/12</f>
        <v>8.1414205794695702E-11</v>
      </c>
      <c r="AX173" s="23">
        <f t="shared" si="166"/>
        <v>7.0636003780328052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6.2168407085440061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3.1805221852001365E-20</v>
      </c>
      <c r="AC174" s="24">
        <f t="shared" si="163"/>
        <v>6.2168407085440061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-3.694822225952521E-13</v>
      </c>
      <c r="AJ174" s="14">
        <f>AI174*VLOOKUP('Données projet'!$B$10,Paramètres!$A$1:$I$89,3,0)*VLOOKUP('Données projet'!$B$10,Paramètres!$A$1:$I$89,5,0)</f>
        <v>-3.2277966965921228E-13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298.251705538794</v>
      </c>
      <c r="AO174" s="62">
        <f t="shared" si="144"/>
        <v>313.28172726625479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6.8704458541577109</v>
      </c>
      <c r="AW174" s="23">
        <f>EXP(-LN(2)/2)*AW173+(1-EXP(-LN(2)/2))/(LN(2)/2)*AQ174*AT174*VLOOKUP('Données projet'!$B$10,Paramètres!$A$1:$I$89,3,0)*0.475*44/12</f>
        <v>5.756853700234645E-11</v>
      </c>
      <c r="AX174" s="23">
        <f t="shared" si="166"/>
        <v>6.8704458542152791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6.0949322541478717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2.2489688048692729E-20</v>
      </c>
      <c r="AC175" s="24">
        <f t="shared" si="163"/>
        <v>6.0949322541478717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-3.694822225952521E-13</v>
      </c>
      <c r="AJ175" s="14">
        <f>AI175*VLOOKUP('Données projet'!$B$10,Paramètres!$A$1:$I$89,3,0)*VLOOKUP('Données projet'!$B$10,Paramètres!$A$1:$I$89,5,0)</f>
        <v>-3.2277966965921228E-13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298.251705538794</v>
      </c>
      <c r="AO175" s="62">
        <f t="shared" si="144"/>
        <v>313.28172726625479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6.682573150974723</v>
      </c>
      <c r="AW175" s="23">
        <f>EXP(-LN(2)/2)*AW174+(1-EXP(-LN(2)/2))/(LN(2)/2)*AQ175*AT175*VLOOKUP('Données projet'!$B$10,Paramètres!$A$1:$I$89,3,0)*0.475*44/12</f>
        <v>4.0707102897347858E-11</v>
      </c>
      <c r="AX175" s="23">
        <f t="shared" si="166"/>
        <v>6.68257315101543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5.9754143501856305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1.5902610926000682E-20</v>
      </c>
      <c r="AC176" s="24">
        <f t="shared" si="163"/>
        <v>5.9754143501856305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-3.694822225952521E-13</v>
      </c>
      <c r="AJ176" s="14">
        <f>AI176*VLOOKUP('Données projet'!$B$10,Paramètres!$A$1:$I$89,3,0)*VLOOKUP('Données projet'!$B$10,Paramètres!$A$1:$I$89,5,0)</f>
        <v>-3.2277966965921228E-13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298.251705538794</v>
      </c>
      <c r="AO176" s="62">
        <f t="shared" si="144"/>
        <v>313.28172726625479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6.4998378367400704</v>
      </c>
      <c r="AW176" s="23">
        <f>EXP(-LN(2)/2)*AW175+(1-EXP(-LN(2)/2))/(LN(2)/2)*AQ176*AT176*VLOOKUP('Données projet'!$B$10,Paramètres!$A$1:$I$89,3,0)*0.475*44/12</f>
        <v>2.8784268501173228E-11</v>
      </c>
      <c r="AX176" s="23">
        <f t="shared" si="166"/>
        <v>6.4998378367688545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5.8582401194213656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1.1244844024346365E-20</v>
      </c>
      <c r="AC177" s="24">
        <f t="shared" si="163"/>
        <v>5.8582401194213656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-3.694822225952521E-13</v>
      </c>
      <c r="AJ177" s="14">
        <f>AI177*VLOOKUP('Données projet'!$B$10,Paramètres!$A$1:$I$89,3,0)*VLOOKUP('Données projet'!$B$10,Paramètres!$A$1:$I$89,5,0)</f>
        <v>-3.2277966965921228E-13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298.251705538794</v>
      </c>
      <c r="AO177" s="62">
        <f t="shared" si="144"/>
        <v>313.28172726625479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6.3220994292827966</v>
      </c>
      <c r="AW177" s="23">
        <f>EXP(-LN(2)/2)*AW176+(1-EXP(-LN(2)/2))/(LN(2)/2)*AQ177*AT177*VLOOKUP('Données projet'!$B$10,Paramètres!$A$1:$I$89,3,0)*0.475*44/12</f>
        <v>2.0353551448673932E-11</v>
      </c>
      <c r="AX177" s="23">
        <f t="shared" si="166"/>
        <v>6.3220994293031501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5.7433636038531635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7.9513054630003411E-21</v>
      </c>
      <c r="AC178" s="24">
        <f t="shared" si="163"/>
        <v>5.7433636038531635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-3.694822225952521E-13</v>
      </c>
      <c r="AJ178" s="14">
        <f>AI178*VLOOKUP('Données projet'!$B$10,Paramètres!$A$1:$I$89,3,0)*VLOOKUP('Données projet'!$B$10,Paramètres!$A$1:$I$89,5,0)</f>
        <v>-3.2277966965921228E-13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298.251705538794</v>
      </c>
      <c r="AO178" s="62">
        <f t="shared" si="144"/>
        <v>313.28172726625479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6.1492212879242985</v>
      </c>
      <c r="AW178" s="23">
        <f>EXP(-LN(2)/2)*AW177+(1-EXP(-LN(2)/2))/(LN(2)/2)*AQ178*AT178*VLOOKUP('Données projet'!$B$10,Paramètres!$A$1:$I$89,3,0)*0.475*44/12</f>
        <v>1.4392134250586616E-11</v>
      </c>
      <c r="AX178" s="23">
        <f t="shared" si="166"/>
        <v>6.1492212879386905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5.6307397466874987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5.6224220121731823E-21</v>
      </c>
      <c r="AC179" s="24">
        <f t="shared" si="163"/>
        <v>5.6307397466874987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-3.694822225952521E-13</v>
      </c>
      <c r="AJ179" s="14">
        <f>AI179*VLOOKUP('Données projet'!$B$10,Paramètres!$A$1:$I$89,3,0)*VLOOKUP('Données projet'!$B$10,Paramètres!$A$1:$I$89,5,0)</f>
        <v>-3.2277966965921228E-13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298.251705538794</v>
      </c>
      <c r="AO179" s="62">
        <f t="shared" si="144"/>
        <v>313.28172726625479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5.9810705084325155</v>
      </c>
      <c r="AW179" s="23">
        <f>EXP(-LN(2)/2)*AW178+(1-EXP(-LN(2)/2))/(LN(2)/2)*AQ179*AT179*VLOOKUP('Données projet'!$B$10,Paramètres!$A$1:$I$89,3,0)*0.475*44/12</f>
        <v>1.0176775724336968E-11</v>
      </c>
      <c r="AX179" s="23">
        <f t="shared" si="166"/>
        <v>5.9810705084426923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5.5203243746670827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3.9756527315001706E-21</v>
      </c>
      <c r="AC180" s="24">
        <f t="shared" si="163"/>
        <v>5.5203243746670827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-3.694822225952521E-13</v>
      </c>
      <c r="AJ180" s="14">
        <f>AI180*VLOOKUP('Données projet'!$B$10,Paramètres!$A$1:$I$89,3,0)*VLOOKUP('Données projet'!$B$10,Paramètres!$A$1:$I$89,5,0)</f>
        <v>-3.2277966965921228E-13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298.251705538794</v>
      </c>
      <c r="AO180" s="62">
        <f t="shared" si="144"/>
        <v>313.28172726625479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5.8175178208486003</v>
      </c>
      <c r="AW180" s="23">
        <f>EXP(-LN(2)/2)*AW179+(1-EXP(-LN(2)/2))/(LN(2)/2)*AQ180*AT180*VLOOKUP('Données projet'!$B$10,Paramètres!$A$1:$I$89,3,0)*0.475*44/12</f>
        <v>7.1960671252933094E-12</v>
      </c>
      <c r="AX180" s="23">
        <f t="shared" si="166"/>
        <v>5.8175178208557963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5.4120741807452593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2.8112110060865912E-21</v>
      </c>
      <c r="AC181" s="24">
        <f t="shared" si="163"/>
        <v>5.4120741807452593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-3.694822225952521E-13</v>
      </c>
      <c r="AJ181" s="14">
        <f>AI181*VLOOKUP('Données projet'!$B$10,Paramètres!$A$1:$I$89,3,0)*VLOOKUP('Données projet'!$B$10,Paramètres!$A$1:$I$89,5,0)</f>
        <v>-3.2277966965921228E-13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298.251705538794</v>
      </c>
      <c r="AO181" s="62">
        <f t="shared" si="144"/>
        <v>313.28172726625479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5.6584374901075289</v>
      </c>
      <c r="AW181" s="23">
        <f>EXP(-LN(2)/2)*AW180+(1-EXP(-LN(2)/2))/(LN(2)/2)*AQ181*AT181*VLOOKUP('Données projet'!$B$10,Paramètres!$A$1:$I$89,3,0)*0.475*44/12</f>
        <v>5.0883878621684846E-12</v>
      </c>
      <c r="AX181" s="23">
        <f t="shared" si="166"/>
        <v>5.6584374901126173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5.3059467071001443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1.9878263657500853E-21</v>
      </c>
      <c r="AC182" s="24">
        <f t="shared" si="163"/>
        <v>5.3059467071001443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-3.694822225952521E-13</v>
      </c>
      <c r="AJ182" s="14">
        <f>AI182*VLOOKUP('Données projet'!$B$10,Paramètres!$A$1:$I$89,3,0)*VLOOKUP('Données projet'!$B$10,Paramètres!$A$1:$I$89,5,0)</f>
        <v>-3.2277966965921228E-13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298.251705538794</v>
      </c>
      <c r="AO182" s="62">
        <f t="shared" si="144"/>
        <v>313.28172726625479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5.5037072193762437</v>
      </c>
      <c r="AW182" s="23">
        <f>EXP(-LN(2)/2)*AW181+(1-EXP(-LN(2)/2))/(LN(2)/2)*AQ182*AT182*VLOOKUP('Données projet'!$B$10,Paramètres!$A$1:$I$89,3,0)*0.475*44/12</f>
        <v>3.5980335626466551E-12</v>
      </c>
      <c r="AX182" s="23">
        <f t="shared" si="166"/>
        <v>5.5037072193798418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5.2019003284818428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1.4056055030432956E-21</v>
      </c>
      <c r="AC183" s="24">
        <f t="shared" si="163"/>
        <v>5.2019003284818428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-3.694822225952521E-13</v>
      </c>
      <c r="AJ183" s="14">
        <f>AI183*VLOOKUP('Données projet'!$B$10,Paramètres!$A$1:$I$89,3,0)*VLOOKUP('Données projet'!$B$10,Paramètres!$A$1:$I$89,5,0)</f>
        <v>-3.2277966965921228E-13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298.251705538794</v>
      </c>
      <c r="AO183" s="62">
        <f t="shared" si="144"/>
        <v>313.28172726625479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5.3532080560350161</v>
      </c>
      <c r="AW183" s="23">
        <f>EXP(-LN(2)/2)*AW182+(1-EXP(-LN(2)/2))/(LN(2)/2)*AQ183*AT183*VLOOKUP('Données projet'!$B$10,Paramètres!$A$1:$I$89,3,0)*0.475*44/12</f>
        <v>2.5441939310842427E-12</v>
      </c>
      <c r="AX183" s="23">
        <f t="shared" si="166"/>
        <v>5.3532080560375608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5.0998942358862216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9.9391318287504264E-22</v>
      </c>
      <c r="AC184" s="24">
        <f t="shared" si="163"/>
        <v>5.0998942358862216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-3.694822225952521E-13</v>
      </c>
      <c r="AJ184" s="14">
        <f>AI184*VLOOKUP('Données projet'!$B$10,Paramètres!$A$1:$I$89,3,0)*VLOOKUP('Données projet'!$B$10,Paramètres!$A$1:$I$89,5,0)</f>
        <v>-3.2277966965921228E-13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298.251705538794</v>
      </c>
      <c r="AO184" s="62">
        <f t="shared" si="144"/>
        <v>313.28172726625479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5.2068243002297621</v>
      </c>
      <c r="AW184" s="23">
        <f>EXP(-LN(2)/2)*AW183+(1-EXP(-LN(2)/2))/(LN(2)/2)*AQ184*AT184*VLOOKUP('Données projet'!$B$10,Paramètres!$A$1:$I$89,3,0)*0.475*44/12</f>
        <v>1.799016781323328E-12</v>
      </c>
      <c r="AX184" s="23">
        <f t="shared" si="166"/>
        <v>5.2068243002315615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4.9998884205488272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7.0280275152164779E-22</v>
      </c>
      <c r="AC185" s="24">
        <f t="shared" si="163"/>
        <v>4.9998884205488272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-3.694822225952521E-13</v>
      </c>
      <c r="AJ185" s="14">
        <f>AI185*VLOOKUP('Données projet'!$B$10,Paramètres!$A$1:$I$89,3,0)*VLOOKUP('Données projet'!$B$10,Paramètres!$A$1:$I$89,5,0)</f>
        <v>-3.2277966965921228E-13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298.251705538794</v>
      </c>
      <c r="AO185" s="62">
        <f t="shared" si="144"/>
        <v>313.28172726625479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5.0644434159249894</v>
      </c>
      <c r="AW185" s="23">
        <f>EXP(-LN(2)/2)*AW184+(1-EXP(-LN(2)/2))/(LN(2)/2)*AQ185*AT185*VLOOKUP('Données projet'!$B$10,Paramètres!$A$1:$I$89,3,0)*0.475*44/12</f>
        <v>1.2720969655421216E-12</v>
      </c>
      <c r="AX185" s="23">
        <f t="shared" si="166"/>
        <v>5.0644434159262612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4.901843658252675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4.9695659143752132E-22</v>
      </c>
      <c r="AC186" s="24">
        <f t="shared" si="163"/>
        <v>4.901843658252675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-3.694822225952521E-13</v>
      </c>
      <c r="AJ186" s="14">
        <f>AI186*VLOOKUP('Données projet'!$B$10,Paramètres!$A$1:$I$89,3,0)*VLOOKUP('Données projet'!$B$10,Paramètres!$A$1:$I$89,5,0)</f>
        <v>-3.2277966965921228E-13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298.251705538794</v>
      </c>
      <c r="AO186" s="62">
        <f t="shared" si="144"/>
        <v>313.28172726625479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4.925955944389016</v>
      </c>
      <c r="AW186" s="23">
        <f>EXP(-LN(2)/2)*AW185+(1-EXP(-LN(2)/2))/(LN(2)/2)*AQ186*AT186*VLOOKUP('Données projet'!$B$10,Paramètres!$A$1:$I$89,3,0)*0.475*44/12</f>
        <v>8.9950839066166409E-13</v>
      </c>
      <c r="AX186" s="23">
        <f t="shared" si="166"/>
        <v>4.9259559443899157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4.80572149394375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3.5140137576082389E-22</v>
      </c>
      <c r="AC187" s="24">
        <f t="shared" si="163"/>
        <v>4.80572149394375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-3.694822225952521E-13</v>
      </c>
      <c r="AJ187" s="14">
        <f>AI187*VLOOKUP('Données projet'!$B$10,Paramètres!$A$1:$I$89,3,0)*VLOOKUP('Données projet'!$B$10,Paramètres!$A$1:$I$89,5,0)</f>
        <v>-3.2277966965921228E-13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298.251705538794</v>
      </c>
      <c r="AO187" s="62">
        <f t="shared" si="144"/>
        <v>313.28172726625479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4.7912554200449335</v>
      </c>
      <c r="AW187" s="23">
        <f>EXP(-LN(2)/2)*AW186+(1-EXP(-LN(2)/2))/(LN(2)/2)*AQ187*AT187*VLOOKUP('Données projet'!$B$10,Paramètres!$A$1:$I$89,3,0)*0.475*44/12</f>
        <v>6.3604848277106088E-13</v>
      </c>
      <c r="AX187" s="23">
        <f t="shared" si="166"/>
        <v>4.7912554200455695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4.7114842266481922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2.4847829571876066E-22</v>
      </c>
      <c r="AC188" s="24">
        <f t="shared" si="163"/>
        <v>4.7114842266481922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-3.694822225952521E-13</v>
      </c>
      <c r="AJ188" s="14">
        <f>AI188*VLOOKUP('Données projet'!$B$10,Paramètres!$A$1:$I$89,3,0)*VLOOKUP('Données projet'!$B$10,Paramètres!$A$1:$I$89,5,0)</f>
        <v>-3.2277966965921228E-13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298.251705538794</v>
      </c>
      <c r="AO188" s="62">
        <f t="shared" si="144"/>
        <v>313.28172726625479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4.660238288622633</v>
      </c>
      <c r="AW188" s="23">
        <f>EXP(-LN(2)/2)*AW187+(1-EXP(-LN(2)/2))/(LN(2)/2)*AQ188*AT188*VLOOKUP('Données projet'!$B$10,Paramètres!$A$1:$I$89,3,0)*0.475*44/12</f>
        <v>4.4975419533083214E-13</v>
      </c>
      <c r="AX188" s="23">
        <f t="shared" si="166"/>
        <v>4.6602382886230824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4.6190948946852428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1.7570068788041195E-22</v>
      </c>
      <c r="AC189" s="24">
        <f t="shared" si="163"/>
        <v>4.6190948946852428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-3.694822225952521E-13</v>
      </c>
      <c r="AJ189" s="14">
        <f>AI189*VLOOKUP('Données projet'!$B$10,Paramètres!$A$1:$I$89,3,0)*VLOOKUP('Données projet'!$B$10,Paramètres!$A$1:$I$89,5,0)</f>
        <v>-3.2277966965921228E-13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298.251705538794</v>
      </c>
      <c r="AO189" s="62">
        <f t="shared" si="144"/>
        <v>313.28172726625479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4.5328038275489666</v>
      </c>
      <c r="AW189" s="23">
        <f>EXP(-LN(2)/2)*AW188+(1-EXP(-LN(2)/2))/(LN(2)/2)*AQ189*AT189*VLOOKUP('Données projet'!$B$10,Paramètres!$A$1:$I$89,3,0)*0.475*44/12</f>
        <v>3.1802424138553049E-13</v>
      </c>
      <c r="AX189" s="23">
        <f t="shared" si="166"/>
        <v>4.5328038275492846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4.5285172611701592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1.2423914785938033E-22</v>
      </c>
      <c r="AC190" s="24">
        <f t="shared" si="163"/>
        <v>4.5285172611701592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-3.694822225952521E-13</v>
      </c>
      <c r="AJ190" s="14">
        <f>AI190*VLOOKUP('Données projet'!$B$10,Paramètres!$A$1:$I$89,3,0)*VLOOKUP('Données projet'!$B$10,Paramètres!$A$1:$I$89,5,0)</f>
        <v>-3.2277966965921228E-13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298.251705538794</v>
      </c>
      <c r="AO190" s="62">
        <f t="shared" si="144"/>
        <v>313.28172726625479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4.408854068514847</v>
      </c>
      <c r="AW190" s="23">
        <f>EXP(-LN(2)/2)*AW189+(1-EXP(-LN(2)/2))/(LN(2)/2)*AQ190*AT190*VLOOKUP('Données projet'!$B$10,Paramètres!$A$1:$I$89,3,0)*0.475*44/12</f>
        <v>2.248770976654161E-13</v>
      </c>
      <c r="AX190" s="23">
        <f t="shared" si="166"/>
        <v>4.4088540685150717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4.4397157998014043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8.7850343940205974E-23</v>
      </c>
      <c r="AC191" s="24">
        <f t="shared" si="163"/>
        <v>4.4397157998014043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-3.694822225952521E-13</v>
      </c>
      <c r="AJ191" s="14">
        <f>AI191*VLOOKUP('Données projet'!$B$10,Paramètres!$A$1:$I$89,3,0)*VLOOKUP('Données projet'!$B$10,Paramètres!$A$1:$I$89,5,0)</f>
        <v>-3.2277966965921228E-13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298.251705538794</v>
      </c>
      <c r="AO191" s="62">
        <f t="shared" si="144"/>
        <v>313.28172726625479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4.2882937221597492</v>
      </c>
      <c r="AW191" s="23">
        <f>EXP(-LN(2)/2)*AW190+(1-EXP(-LN(2)/2))/(LN(2)/2)*AQ191*AT191*VLOOKUP('Données projet'!$B$10,Paramètres!$A$1:$I$89,3,0)*0.475*44/12</f>
        <v>1.5901212069276527E-13</v>
      </c>
      <c r="AX191" s="23">
        <f t="shared" si="166"/>
        <v>4.2882937221599082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4.3526556809265475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6.2119573929690165E-23</v>
      </c>
      <c r="AC192" s="24">
        <f t="shared" si="163"/>
        <v>4.3526556809265475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-3.694822225952521E-13</v>
      </c>
      <c r="AJ192" s="14">
        <f>AI192*VLOOKUP('Données projet'!$B$10,Paramètres!$A$1:$I$89,3,0)*VLOOKUP('Données projet'!$B$10,Paramètres!$A$1:$I$89,5,0)</f>
        <v>-3.2277966965921228E-13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298.251705538794</v>
      </c>
      <c r="AO192" s="62">
        <f t="shared" si="144"/>
        <v>313.28172726625479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4.171030104815725</v>
      </c>
      <c r="AW192" s="23">
        <f>EXP(-LN(2)/2)*AW191+(1-EXP(-LN(2)/2))/(LN(2)/2)*AQ192*AT192*VLOOKUP('Données projet'!$B$10,Paramètres!$A$1:$I$89,3,0)*0.475*44/12</f>
        <v>1.1243854883270806E-13</v>
      </c>
      <c r="AX192" s="23">
        <f t="shared" si="166"/>
        <v>4.1710301048158378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4.2673027578813976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4.3925171970102987E-23</v>
      </c>
      <c r="AC193" s="24">
        <f t="shared" si="163"/>
        <v>4.2673027578813976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-3.694822225952521E-13</v>
      </c>
      <c r="AJ193" s="14">
        <f>AI193*VLOOKUP('Données projet'!$B$10,Paramètres!$A$1:$I$89,3,0)*VLOOKUP('Données projet'!$B$10,Paramètres!$A$1:$I$89,5,0)</f>
        <v>-3.2277966965921228E-13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298.251705538794</v>
      </c>
      <c r="AO193" s="62">
        <f t="shared" si="144"/>
        <v>313.28172726625479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4.0569730672545985</v>
      </c>
      <c r="AW193" s="23">
        <f>EXP(-LN(2)/2)*AW192+(1-EXP(-LN(2)/2))/(LN(2)/2)*AQ193*AT193*VLOOKUP('Données projet'!$B$10,Paramètres!$A$1:$I$89,3,0)*0.475*44/12</f>
        <v>7.9506060346382648E-14</v>
      </c>
      <c r="AX193" s="23">
        <f t="shared" si="166"/>
        <v>4.0569730672546784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4.1836235535970205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3.1059786964845083E-23</v>
      </c>
      <c r="AC194" s="24">
        <f t="shared" si="163"/>
        <v>4.1836235535970205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-3.694822225952521E-13</v>
      </c>
      <c r="AJ194" s="14">
        <f>AI194*VLOOKUP('Données projet'!$B$10,Paramètres!$A$1:$I$89,3,0)*VLOOKUP('Données projet'!$B$10,Paramètres!$A$1:$I$89,5,0)</f>
        <v>-3.2277966965921228E-13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298.251705538794</v>
      </c>
      <c r="AO194" s="62">
        <f t="shared" si="144"/>
        <v>313.28172726625479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3.94603492538358</v>
      </c>
      <c r="AW194" s="23">
        <f>EXP(-LN(2)/2)*AW193+(1-EXP(-LN(2)/2))/(LN(2)/2)*AQ194*AT194*VLOOKUP('Données projet'!$B$10,Paramètres!$A$1:$I$89,3,0)*0.475*44/12</f>
        <v>5.6219274416354043E-14</v>
      </c>
      <c r="AX194" s="23">
        <f t="shared" si="166"/>
        <v>3.9460349253836364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4.1015852474693855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2.1962585985051493E-23</v>
      </c>
      <c r="AC195" s="24">
        <f t="shared" si="163"/>
        <v>4.1015852474693855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-3.694822225952521E-13</v>
      </c>
      <c r="AJ195" s="14">
        <f>AI195*VLOOKUP('Données projet'!$B$10,Paramètres!$A$1:$I$89,3,0)*VLOOKUP('Données projet'!$B$10,Paramètres!$A$1:$I$89,5,0)</f>
        <v>-3.2277966965921228E-13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298.251705538794</v>
      </c>
      <c r="AO195" s="62">
        <f t="shared" si="144"/>
        <v>313.28172726625479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3.8381303928360082</v>
      </c>
      <c r="AW195" s="23">
        <f>EXP(-LN(2)/2)*AW194+(1-EXP(-LN(2)/2))/(LN(2)/2)*AQ195*AT195*VLOOKUP('Données projet'!$B$10,Paramètres!$A$1:$I$89,3,0)*0.475*44/12</f>
        <v>3.975303017319133E-14</v>
      </c>
      <c r="AX195" s="23">
        <f t="shared" si="166"/>
        <v>3.8381303928360482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4.0211556624864873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1.5529893482422541E-23</v>
      </c>
      <c r="AC196" s="24">
        <f t="shared" si="163"/>
        <v>4.0211556624864873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-3.694822225952521E-13</v>
      </c>
      <c r="AJ196" s="14">
        <f>AI196*VLOOKUP('Données projet'!$B$10,Paramètres!$A$1:$I$89,3,0)*VLOOKUP('Données projet'!$B$10,Paramètres!$A$1:$I$89,5,0)</f>
        <v>-3.2277966965921228E-13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298.251705538794</v>
      </c>
      <c r="AO196" s="62">
        <f t="shared" si="144"/>
        <v>313.28172726625479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3.7331765154054022</v>
      </c>
      <c r="AW196" s="23">
        <f>EXP(-LN(2)/2)*AW195+(1-EXP(-LN(2)/2))/(LN(2)/2)*AQ196*AT196*VLOOKUP('Données projet'!$B$10,Paramètres!$A$1:$I$89,3,0)*0.475*44/12</f>
        <v>2.8109637208177025E-14</v>
      </c>
      <c r="AX196" s="23">
        <f t="shared" si="166"/>
        <v>3.7331765154054302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3.9423032526079012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1.0981292992525747E-23</v>
      </c>
      <c r="AC197" s="24">
        <f t="shared" si="163"/>
        <v>3.9423032526079012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-3.694822225952521E-13</v>
      </c>
      <c r="AJ197" s="14">
        <f>AI197*VLOOKUP('Données projet'!$B$10,Paramètres!$A$1:$I$89,3,0)*VLOOKUP('Données projet'!$B$10,Paramètres!$A$1:$I$89,5,0)</f>
        <v>-3.2277966965921228E-13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298.251705538794</v>
      </c>
      <c r="AO197" s="62">
        <f t="shared" ref="AO197:AO203" si="205">$AO$3</f>
        <v>313.28172726625479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3.631092607272421</v>
      </c>
      <c r="AW197" s="23">
        <f>EXP(-LN(2)/2)*AW196+(1-EXP(-LN(2)/2))/(LN(2)/2)*AQ197*AT197*VLOOKUP('Données projet'!$B$10,Paramètres!$A$1:$I$89,3,0)*0.475*44/12</f>
        <v>1.9876515086595668E-14</v>
      </c>
      <c r="AX197" s="23">
        <f t="shared" si="166"/>
        <v>3.631092607272441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3.8649970903918129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7.7649467412112706E-24</v>
      </c>
      <c r="AC198" s="24">
        <f t="shared" si="163"/>
        <v>3.8649970903918129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-3.694822225952521E-13</v>
      </c>
      <c r="AJ198" s="14">
        <f>AI198*VLOOKUP('Données projet'!$B$10,Paramètres!$A$1:$I$89,3,0)*VLOOKUP('Données projet'!$B$10,Paramètres!$A$1:$I$89,5,0)</f>
        <v>-3.2277966965921228E-13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298.251705538794</v>
      </c>
      <c r="AO198" s="62">
        <f t="shared" si="205"/>
        <v>313.28172726625479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3.5318001889756956</v>
      </c>
      <c r="AW198" s="23">
        <f>EXP(-LN(2)/2)*AW197+(1-EXP(-LN(2)/2))/(LN(2)/2)*AQ198*AT198*VLOOKUP('Données projet'!$B$10,Paramètres!$A$1:$I$89,3,0)*0.475*44/12</f>
        <v>1.4054818604088516E-14</v>
      </c>
      <c r="AX198" s="23">
        <f t="shared" si="166"/>
        <v>3.5318001889757098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3.7892068548646791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5.4906464962628734E-24</v>
      </c>
      <c r="AC199" s="24">
        <f t="shared" si="163"/>
        <v>3.7892068548646791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-3.694822225952521E-13</v>
      </c>
      <c r="AJ199" s="14">
        <f>AI199*VLOOKUP('Données projet'!$B$10,Paramètres!$A$1:$I$89,3,0)*VLOOKUP('Données projet'!$B$10,Paramètres!$A$1:$I$89,5,0)</f>
        <v>-3.2277966965921228E-13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298.251705538794</v>
      </c>
      <c r="AO199" s="62">
        <f t="shared" si="205"/>
        <v>313.28172726625479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3.4352229270788555</v>
      </c>
      <c r="AW199" s="23">
        <f>EXP(-LN(2)/2)*AW198+(1-EXP(-LN(2)/2))/(LN(2)/2)*AQ199*AT199*VLOOKUP('Données projet'!$B$10,Paramètres!$A$1:$I$89,3,0)*0.475*44/12</f>
        <v>9.9382575432978357E-15</v>
      </c>
      <c r="AX199" s="23">
        <f t="shared" si="166"/>
        <v>3.4352229270788652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3.7149028196287532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3.8824733706056353E-24</v>
      </c>
      <c r="AC200" s="24">
        <f t="shared" si="163"/>
        <v>3.7149028196287532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-3.694822225952521E-13</v>
      </c>
      <c r="AJ200" s="14">
        <f>AI200*VLOOKUP('Données projet'!$B$10,Paramètres!$A$1:$I$89,3,0)*VLOOKUP('Données projet'!$B$10,Paramètres!$A$1:$I$89,5,0)</f>
        <v>-3.2277966965921228E-13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298.251705538794</v>
      </c>
      <c r="AO200" s="62">
        <f t="shared" si="205"/>
        <v>313.28172726625479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3.3412865754873615</v>
      </c>
      <c r="AW200" s="23">
        <f>EXP(-LN(2)/2)*AW199+(1-EXP(-LN(2)/2))/(LN(2)/2)*AQ200*AT200*VLOOKUP('Données projet'!$B$10,Paramètres!$A$1:$I$89,3,0)*0.475*44/12</f>
        <v>7.0274093020442586E-15</v>
      </c>
      <c r="AX200" s="23">
        <f t="shared" si="166"/>
        <v>3.3412865754873686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3.6420558412028177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2.7453232481314367E-24</v>
      </c>
      <c r="AC201" s="24">
        <f t="shared" si="163"/>
        <v>3.6420558412028177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-3.694822225952521E-13</v>
      </c>
      <c r="AJ201" s="14">
        <f>AI201*VLOOKUP('Données projet'!$B$10,Paramètres!$A$1:$I$89,3,0)*VLOOKUP('Données projet'!$B$10,Paramètres!$A$1:$I$89,5,0)</f>
        <v>-3.2277966965921228E-13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298.251705538794</v>
      </c>
      <c r="AO201" s="62">
        <f t="shared" si="205"/>
        <v>313.28172726625479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3.2499189183700352</v>
      </c>
      <c r="AW201" s="23">
        <f>EXP(-LN(2)/2)*AW200+(1-EXP(-LN(2)/2))/(LN(2)/2)*AQ201*AT201*VLOOKUP('Données projet'!$B$10,Paramètres!$A$1:$I$89,3,0)*0.475*44/12</f>
        <v>4.9691287716489186E-15</v>
      </c>
      <c r="AX201" s="23">
        <f t="shared" si="166"/>
        <v>3.2499189183700401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3.5706373475915449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1.9412366853028177E-24</v>
      </c>
      <c r="AC202" s="24">
        <f t="shared" si="163"/>
        <v>3.5706373475915449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-3.694822225952521E-13</v>
      </c>
      <c r="AJ202" s="14">
        <f>AI202*VLOOKUP('Données projet'!$B$10,Paramètres!$A$1:$I$89,3,0)*VLOOKUP('Données projet'!$B$10,Paramètres!$A$1:$I$89,5,0)</f>
        <v>-3.2277966965921228E-13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298.251705538794</v>
      </c>
      <c r="AO202" s="62">
        <f t="shared" si="205"/>
        <v>313.28172726625479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3.1610497146413983</v>
      </c>
      <c r="AW202" s="23">
        <f>EXP(-LN(2)/2)*AW201+(1-EXP(-LN(2)/2))/(LN(2)/2)*AQ202*AT202*VLOOKUP('Données projet'!$B$10,Paramètres!$A$1:$I$89,3,0)*0.475*44/12</f>
        <v>3.5137046510221297E-15</v>
      </c>
      <c r="AX202" s="23">
        <f t="shared" si="166"/>
        <v>3.1610497146414018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3.5006193270790096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1.3726616240657183E-24</v>
      </c>
      <c r="AC203" s="24">
        <f t="shared" si="163"/>
        <v>3.5006193270790096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-3.694822225952521E-13</v>
      </c>
      <c r="AJ203" s="14">
        <f>AI203*VLOOKUP('Données projet'!$B$10,Paramètres!$A$1:$I$89,3,0)*VLOOKUP('Données projet'!$B$10,Paramètres!$A$1:$I$89,5,0)</f>
        <v>-3.2277966965921228E-13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298.251705538794</v>
      </c>
      <c r="AO203" s="62">
        <f t="shared" si="205"/>
        <v>313.28172726625479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3.0746106439621492</v>
      </c>
      <c r="AW203" s="23">
        <f>EXP(-LN(2)/2)*AW202+(1-EXP(-LN(2)/2))/(LN(2)/2)*AQ203*AT203*VLOOKUP('Données projet'!$B$10,Paramètres!$A$1:$I$89,3,0)*0.475*44/12</f>
        <v>2.4845643858244597E-15</v>
      </c>
      <c r="AX203" s="23">
        <f t="shared" si="166"/>
        <v>3.0746106439621519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1.2613966317002558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E4" workbookViewId="0">
      <selection activeCell="C26" sqref="C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8.8991999999999987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1665.3673002945764</v>
      </c>
      <c r="G6" s="156">
        <f ca="1">F6*(100%-'Données projet'!$C$24)*(100%-'Données projet'!$C$25)*(100%-'Données projet'!$C$26)*(100%-'Données projet'!$C$27)</f>
        <v>1019.2047877802809</v>
      </c>
      <c r="H6" s="157">
        <f>IF(OR('Données projet'!B9="",'Données projet'!C9="",'Données projet'!C9=0%),0,AVERAGE(Calculateur!$AC$3:$AC$33)*B6)</f>
        <v>147.37236816877208</v>
      </c>
      <c r="I6" s="158">
        <f>H6*(100%-'Données projet'!$C$24)*(100%-'Données projet'!$C$25)*(100%-'Données projet'!$C$26)*(100%-'Données projet'!$C$27)</f>
        <v>90.191889319288521</v>
      </c>
      <c r="J6" s="159">
        <f>IF(OR('Données projet'!B9="",'Données projet'!C9="",'Données projet'!C9=0%),0,SUM(Calculateur!$V$3:$V$33)*VLOOKUP('Données projet'!$B$9,Paramètres!$A$1:$I$89,9,0)*B6)</f>
        <v>1691.3819519999997</v>
      </c>
      <c r="K6" s="160">
        <f>J6*(100%-'Données projet'!$C$24)*(100%-'Données projet'!$C$25)*(100%-'Données projet'!$C$26)*(100%-'Données projet'!$C$27)</f>
        <v>1035.1257546239999</v>
      </c>
      <c r="L6" s="161">
        <f ca="1">G6+I6+K6</f>
        <v>2144.5224317235693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rouge d'Amérique</v>
      </c>
      <c r="B7" s="163">
        <f>'Données projet'!D10</f>
        <v>0.37079999999999996</v>
      </c>
      <c r="C7" s="156">
        <f ca="1">IF(OR('Données projet'!B10="",'Données projet'!C10="",'Données projet'!C10=0%),0,Calculateur!AN3)</f>
        <v>298.251705538794</v>
      </c>
      <c r="D7" s="156">
        <f>IF(OR('Données projet'!B10="",'Données projet'!C10="",'Données projet'!C10=0%),0,Calculateur!AO3)</f>
        <v>313.28172726625479</v>
      </c>
      <c r="E7" s="156">
        <f t="shared" ref="E7:E15" ca="1" si="0">MIN(C7,D7)</f>
        <v>298.251705538794</v>
      </c>
      <c r="F7" s="156">
        <f t="shared" ref="F7:F15" ca="1" si="1">E7*B7</f>
        <v>110.5917324137848</v>
      </c>
      <c r="G7" s="156">
        <f ca="1">F7*(100%-'Données projet'!$C$24)*(100%-'Données projet'!$C$25)*(100%-'Données projet'!$C$26)*(100%-'Données projet'!$C$27)</f>
        <v>67.682140237236311</v>
      </c>
      <c r="H7" s="164">
        <f>IF(OR('Données projet'!B10="",'Données projet'!C10="",'Données projet'!C10=0%),0,AVERAGE(Calculateur!$AX$3:$AX$33)*B7)</f>
        <v>2.1692068340596622</v>
      </c>
      <c r="I7" s="158">
        <f>H7*(100%-'Données projet'!$C$24)*(100%-'Données projet'!$C$25)*(100%-'Données projet'!$C$26)*(100%-'Données projet'!$C$27)</f>
        <v>1.3275545824445134</v>
      </c>
      <c r="J7" s="159">
        <f>IF(OR('Données projet'!B10="",'Données projet'!C10="",'Données projet'!C10=0%),0,SUM(Calculateur!$AQ$3:$AQ$33)*VLOOKUP('Données projet'!$B$10,Paramètres!$A$1:$I$89,9,0)*B7)</f>
        <v>8.7137999999999991</v>
      </c>
      <c r="K7" s="160">
        <f>J7*(100%-'Données projet'!$C$24)*(100%-'Données projet'!$C$25)*(100%-'Données projet'!$C$26)*(100%-'Données projet'!$C$27)</f>
        <v>5.3328455999999997</v>
      </c>
      <c r="L7" s="161">
        <f t="shared" ref="L7:L15" ca="1" si="2">G7+I7+K7</f>
        <v>74.34254041968083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1775.9590327083611</v>
      </c>
      <c r="G16" s="175">
        <f t="shared" ca="1" si="3"/>
        <v>1086.8869280175172</v>
      </c>
      <c r="H16" s="176">
        <f t="shared" si="3"/>
        <v>149.54157500283173</v>
      </c>
      <c r="I16" s="176">
        <f t="shared" si="3"/>
        <v>91.519443901733041</v>
      </c>
      <c r="J16" s="177">
        <f t="shared" si="3"/>
        <v>1700.0957519999997</v>
      </c>
      <c r="K16" s="177">
        <f t="shared" si="3"/>
        <v>1040.4586002239998</v>
      </c>
      <c r="L16" s="178">
        <f t="shared" ca="1" si="3"/>
        <v>2218.8649721432503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3" zoomScale="90" zoomScaleNormal="90" workbookViewId="0">
      <selection activeCell="G63" sqref="G6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8.8991999999999987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0.37079999999999996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32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31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31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30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26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24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21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19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17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15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13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11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10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215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2022-06-28T07:07:00Z</dcterms:modified>
</cp:coreProperties>
</file>