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lena\Desktop\"/>
    </mc:Choice>
  </mc:AlternateContent>
  <xr:revisionPtr revIDLastSave="0" documentId="13_ncr:1_{2737B90A-B24B-4BCE-AA31-741120F14BD7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0" i="6" l="1"/>
  <c r="C211" i="6"/>
  <c r="C212" i="6"/>
  <c r="C213" i="6"/>
  <c r="C214" i="6"/>
  <c r="C215" i="6"/>
  <c r="C216" i="6"/>
  <c r="C209" i="6"/>
  <c r="C179" i="6"/>
  <c r="C180" i="6"/>
  <c r="C181" i="6"/>
  <c r="C182" i="6"/>
  <c r="C183" i="6"/>
  <c r="C184" i="6"/>
  <c r="C185" i="6"/>
  <c r="C186" i="6"/>
  <c r="C187" i="6"/>
  <c r="C178" i="6"/>
  <c r="C148" i="6"/>
  <c r="C149" i="6"/>
  <c r="C150" i="6"/>
  <c r="C151" i="6"/>
  <c r="C152" i="6"/>
  <c r="C153" i="6"/>
  <c r="C154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85" i="6"/>
  <c r="C55" i="6"/>
  <c r="C56" i="6"/>
  <c r="C57" i="6"/>
  <c r="C54" i="6"/>
  <c r="C24" i="6"/>
  <c r="C25" i="6"/>
  <c r="C26" i="6"/>
  <c r="C27" i="6"/>
  <c r="C28" i="6"/>
  <c r="C29" i="6"/>
  <c r="C30" i="6"/>
  <c r="C31" i="6"/>
  <c r="C32" i="6"/>
  <c r="C23" i="6"/>
  <c r="G173" i="1"/>
  <c r="G171" i="1"/>
  <c r="G169" i="1"/>
  <c r="F175" i="1"/>
  <c r="F174" i="1"/>
  <c r="F173" i="1"/>
  <c r="F171" i="1"/>
  <c r="F169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A7" i="2"/>
  <c r="EB7" i="2"/>
  <c r="EV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A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EA155" i="2"/>
  <c r="DI154" i="2"/>
  <c r="AC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AB156" i="2"/>
  <c r="DH156" i="2"/>
  <c r="EX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A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H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DG160" i="2"/>
  <c r="FS160" i="2"/>
  <c r="HI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AB161" i="2"/>
  <c r="ED160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C162" i="2"/>
  <c r="DI161" i="2"/>
  <c r="EY161" i="2"/>
  <c r="EW162" i="2"/>
  <c r="HG162" i="2"/>
  <c r="EB162" i="2"/>
  <c r="HH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EA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DI163" i="2"/>
  <c r="DH164" i="2"/>
  <c r="FS164" i="2"/>
  <c r="EA164" i="2"/>
  <c r="EX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X167" i="2"/>
  <c r="DG167" i="2"/>
  <c r="HH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V168" i="2"/>
  <c r="EY168" i="2" s="1"/>
  <c r="EB168" i="2"/>
  <c r="DG168" i="2"/>
  <c r="DI167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EX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D171" i="2"/>
  <c r="EB172" i="2"/>
  <c r="EA172" i="2"/>
  <c r="EV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D172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A175" i="2"/>
  <c r="AA175" i="2"/>
  <c r="EW175" i="2"/>
  <c r="EB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W178" i="2"/>
  <c r="EA178" i="2"/>
  <c r="FQ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A179" i="2"/>
  <c r="EB179" i="2"/>
  <c r="DF179" i="2"/>
  <c r="HI179" i="2"/>
  <c r="EV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B185" i="2"/>
  <c r="EW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A186" i="2"/>
  <c r="ED185" i="2"/>
  <c r="HH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G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D189" i="2"/>
  <c r="EB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I191" i="2"/>
  <c r="HH191" i="2"/>
  <c r="EC191" i="2"/>
  <c r="EX191" i="2"/>
  <c r="EY191" i="2" s="1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V192" i="2"/>
  <c r="EB192" i="2"/>
  <c r="EW192" i="2"/>
  <c r="HG192" i="2"/>
  <c r="HH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ED194" i="2"/>
  <c r="DH195" i="2"/>
  <c r="EX195" i="2"/>
  <c r="EB195" i="2"/>
  <c r="HI195" i="2"/>
  <c r="AA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Y196" i="2"/>
  <c r="EC197" i="2"/>
  <c r="HG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W198" i="2"/>
  <c r="EV198" i="2"/>
  <c r="EY198" i="2" s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A199" i="2"/>
  <c r="EB199" i="2"/>
  <c r="EW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A201" i="2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ED201" i="2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EI195" i="2" a="1"/>
  <c r="EI195" i="2" s="1"/>
  <c r="AH151" i="2" a="1"/>
  <c r="AH151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65" i="2" l="1" a="1"/>
  <c r="DN65" i="2" s="1"/>
  <c r="DN31" i="2" a="1"/>
  <c r="DN31" i="2" s="1"/>
  <c r="DN49" i="2" a="1"/>
  <c r="DN49" i="2" s="1"/>
  <c r="DN115" i="2" a="1"/>
  <c r="DN115" i="2" s="1"/>
  <c r="DN132" i="2" a="1"/>
  <c r="DN132" i="2" s="1"/>
  <c r="DN176" i="2" a="1"/>
  <c r="DN176" i="2" s="1"/>
  <c r="DN70" i="2" a="1"/>
  <c r="DN70" i="2" s="1"/>
  <c r="DN167" i="2" a="1"/>
  <c r="DN167" i="2" s="1"/>
  <c r="DN164" i="2" a="1"/>
  <c r="DN164" i="2" s="1"/>
  <c r="DN103" i="2" a="1"/>
  <c r="DN103" i="2" s="1"/>
  <c r="DN150" i="2" a="1"/>
  <c r="DN150" i="2" s="1"/>
  <c r="DN50" i="2" a="1"/>
  <c r="DN50" i="2" s="1"/>
  <c r="DN30" i="2" a="1"/>
  <c r="DN30" i="2" s="1"/>
  <c r="DN55" i="2" a="1"/>
  <c r="DN55" i="2" s="1"/>
  <c r="DN16" i="2" a="1"/>
  <c r="DN16" i="2" s="1"/>
  <c r="DN38" i="2" a="1"/>
  <c r="DN38" i="2" s="1"/>
  <c r="DN168" i="2" a="1"/>
  <c r="DN168" i="2" s="1"/>
  <c r="DN66" i="2" a="1"/>
  <c r="DN66" i="2" s="1"/>
  <c r="DN41" i="2" a="1"/>
  <c r="DN41" i="2" s="1"/>
  <c r="DN190" i="2" a="1"/>
  <c r="DN190" i="2" s="1"/>
  <c r="DN46" i="2" a="1"/>
  <c r="DN46" i="2" s="1"/>
  <c r="DN133" i="2" a="1"/>
  <c r="DN133" i="2" s="1"/>
  <c r="DN110" i="2" a="1"/>
  <c r="DN110" i="2" s="1"/>
  <c r="DN162" i="2" a="1"/>
  <c r="DN162" i="2" s="1"/>
  <c r="DN123" i="2" a="1"/>
  <c r="DN123" i="2" s="1"/>
  <c r="DN86" i="2" a="1"/>
  <c r="DN86" i="2" s="1"/>
  <c r="DN63" i="2" a="1"/>
  <c r="DN63" i="2" s="1"/>
  <c r="DN114" i="2" a="1"/>
  <c r="DN114" i="2" s="1"/>
  <c r="DN188" i="2" a="1"/>
  <c r="DN188" i="2" s="1"/>
  <c r="DN153" i="2" a="1"/>
  <c r="DN153" i="2" s="1"/>
  <c r="DN113" i="2" a="1"/>
  <c r="DN113" i="2" s="1"/>
  <c r="DN186" i="2" a="1"/>
  <c r="DN186" i="2" s="1"/>
  <c r="DN170" i="2" a="1"/>
  <c r="DN170" i="2" s="1"/>
  <c r="DN25" i="2" a="1"/>
  <c r="DN25" i="2" s="1"/>
  <c r="DN124" i="2" a="1"/>
  <c r="DN124" i="2" s="1"/>
  <c r="DN135" i="2" a="1"/>
  <c r="DN135" i="2" s="1"/>
  <c r="DN80" i="2" a="1"/>
  <c r="DN80" i="2" s="1"/>
  <c r="DN192" i="2" a="1"/>
  <c r="DN192" i="2" s="1"/>
  <c r="DN177" i="2" a="1"/>
  <c r="DN177" i="2" s="1"/>
  <c r="DN129" i="2" a="1"/>
  <c r="DN129" i="2" s="1"/>
  <c r="DN152" i="2" a="1"/>
  <c r="DN152" i="2" s="1"/>
  <c r="DN184" i="2" a="1"/>
  <c r="DN184" i="2" s="1"/>
  <c r="DN43" i="2" a="1"/>
  <c r="DN43" i="2" s="1"/>
  <c r="DN155" i="2" a="1"/>
  <c r="DN155" i="2" s="1"/>
  <c r="DN56" i="2" a="1"/>
  <c r="DN56" i="2" s="1"/>
  <c r="DN29" i="2" a="1"/>
  <c r="DN29" i="2" s="1"/>
  <c r="DN137" i="2" a="1"/>
  <c r="DN137" i="2" s="1"/>
  <c r="CS116" i="2" a="1"/>
  <c r="CS116" i="2" s="1"/>
  <c r="CS77" i="2" a="1"/>
  <c r="CS77" i="2" s="1"/>
  <c r="CS137" i="2" a="1"/>
  <c r="CS137" i="2" s="1"/>
  <c r="CS52" i="2" a="1"/>
  <c r="CS52" i="2" s="1"/>
  <c r="CS161" i="2" a="1"/>
  <c r="CS161" i="2" s="1"/>
  <c r="CS120" i="2" a="1"/>
  <c r="CS120" i="2" s="1"/>
  <c r="CS129" i="2" a="1"/>
  <c r="CS129" i="2" s="1"/>
  <c r="FR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32" i="2" l="1"/>
  <c r="CD69" i="2"/>
  <c r="CD60" i="2"/>
  <c r="CD198" i="2"/>
  <c r="CD167" i="2"/>
  <c r="CD83" i="2"/>
  <c r="CD79" i="2"/>
  <c r="CD199" i="2"/>
  <c r="CD127" i="2"/>
  <c r="CD186" i="2"/>
  <c r="CD149" i="2"/>
  <c r="CD201" i="2"/>
  <c r="CD66" i="2"/>
  <c r="CD44" i="2"/>
  <c r="CD119" i="2"/>
  <c r="CD122" i="2"/>
  <c r="CD27" i="2"/>
  <c r="CD92" i="2"/>
  <c r="CD15" i="2"/>
  <c r="CD75" i="2"/>
  <c r="CD82" i="2"/>
  <c r="CD110" i="2"/>
  <c r="CD125" i="2"/>
  <c r="CD177" i="2"/>
  <c r="CD131" i="2"/>
  <c r="CD10" i="2"/>
  <c r="CD188" i="2"/>
  <c r="CD9" i="2"/>
  <c r="CD183" i="2"/>
  <c r="CD147" i="2"/>
  <c r="CD42" i="2"/>
  <c r="CD168" i="2"/>
  <c r="CD178" i="2"/>
  <c r="CD80" i="2"/>
  <c r="CD14" i="2"/>
  <c r="CD103" i="2"/>
  <c r="CD124" i="2"/>
  <c r="CD23" i="2"/>
  <c r="CD35" i="2"/>
  <c r="CD135" i="2"/>
  <c r="CD173" i="2"/>
  <c r="CD118" i="2"/>
  <c r="CD68" i="2"/>
  <c r="CD95" i="2"/>
  <c r="CD196" i="2"/>
  <c r="CD182" i="2"/>
  <c r="CD101" i="2"/>
  <c r="CD203" i="2"/>
  <c r="CD22" i="2"/>
  <c r="CD111" i="2"/>
  <c r="CD85" i="2"/>
  <c r="CD64" i="2"/>
  <c r="CD26" i="2"/>
  <c r="CD112" i="2"/>
  <c r="CD163" i="2"/>
  <c r="CD108" i="2"/>
  <c r="CD70" i="2"/>
  <c r="CD91" i="2"/>
  <c r="CD117" i="2"/>
  <c r="CD105" i="2"/>
  <c r="CD90" i="2"/>
  <c r="CD113" i="2"/>
  <c r="CD128" i="2"/>
  <c r="CD72" i="2"/>
  <c r="CD195" i="2"/>
  <c r="CD192" i="2"/>
  <c r="CD109" i="2"/>
  <c r="CD13" i="2"/>
  <c r="CD48" i="2"/>
  <c r="CD37" i="2"/>
  <c r="CD139" i="2"/>
  <c r="CD100" i="2"/>
  <c r="CD174" i="2"/>
  <c r="CD8" i="2"/>
  <c r="CD76" i="2"/>
  <c r="CD12" i="2"/>
  <c r="CD133" i="2"/>
  <c r="CD158" i="2"/>
  <c r="CD179" i="2"/>
  <c r="CD34" i="2"/>
  <c r="CD121" i="2"/>
  <c r="CD116" i="2"/>
  <c r="CD189" i="2"/>
  <c r="CD47" i="2"/>
  <c r="CD172" i="2"/>
  <c r="CD148" i="2"/>
  <c r="CD52" i="2"/>
  <c r="CD24" i="2"/>
  <c r="CD58" i="2"/>
  <c r="CD36" i="2"/>
  <c r="CD126" i="2"/>
  <c r="CD20" i="2"/>
  <c r="CD71" i="2"/>
  <c r="CD160" i="2"/>
  <c r="CD57" i="2"/>
  <c r="CD146" i="2"/>
  <c r="CD51" i="2"/>
  <c r="CD45" i="2"/>
  <c r="CD123" i="2"/>
  <c r="CD193" i="2"/>
  <c r="CD151" i="2"/>
  <c r="CD104" i="2"/>
  <c r="CD65" i="2"/>
  <c r="CD67" i="2"/>
  <c r="CD40" i="2"/>
  <c r="CD43" i="2"/>
  <c r="CD59" i="2"/>
  <c r="CD114" i="2"/>
  <c r="CD5" i="2"/>
  <c r="CD171" i="2"/>
  <c r="CD31" i="2"/>
  <c r="CD77" i="2"/>
  <c r="CD180" i="2"/>
  <c r="CD63" i="2"/>
  <c r="CD86" i="2"/>
  <c r="CD202" i="2"/>
  <c r="CD185" i="2"/>
  <c r="CD144" i="2"/>
  <c r="CD153" i="2"/>
  <c r="CD78" i="2"/>
  <c r="CD6" i="2"/>
  <c r="CD166" i="2"/>
  <c r="CD38" i="2"/>
  <c r="CD89" i="2"/>
  <c r="CD16" i="2"/>
  <c r="CD30" i="2"/>
  <c r="CD33" i="2"/>
  <c r="CD140" i="2"/>
  <c r="CD130" i="2"/>
  <c r="CD169" i="2"/>
  <c r="CD81" i="2"/>
  <c r="CD106" i="2"/>
  <c r="CD142" i="2"/>
  <c r="CD53" i="2"/>
  <c r="CD94" i="2"/>
  <c r="CD175" i="2"/>
  <c r="CD152" i="2"/>
  <c r="CD162" i="2"/>
  <c r="CD49" i="2"/>
  <c r="CD73" i="2"/>
  <c r="CD165" i="2"/>
  <c r="CD97" i="2"/>
  <c r="CD93" i="2"/>
  <c r="CD156" i="2"/>
  <c r="CD176" i="2"/>
  <c r="CD54" i="2"/>
  <c r="CD137" i="2"/>
  <c r="CD74" i="2"/>
  <c r="CD11" i="2"/>
  <c r="CD29" i="2"/>
  <c r="CD21" i="2"/>
  <c r="CD55" i="2"/>
  <c r="CD187" i="2"/>
  <c r="CD120" i="2"/>
  <c r="CD3" i="2"/>
  <c r="C9" i="4" s="1"/>
  <c r="E9" i="4" s="1"/>
  <c r="F9" i="4" s="1"/>
  <c r="G9" i="4" s="1"/>
  <c r="L9" i="4" s="1"/>
  <c r="CD50" i="2"/>
  <c r="CD56" i="2"/>
  <c r="CD155" i="2"/>
  <c r="CD150" i="2"/>
  <c r="CD4" i="2"/>
  <c r="CD170" i="2"/>
  <c r="CD41" i="2"/>
  <c r="CD87" i="2"/>
  <c r="CD18" i="2"/>
  <c r="CD129" i="2"/>
  <c r="CD184" i="2"/>
  <c r="CD200" i="2"/>
  <c r="CD28" i="2"/>
  <c r="CD143" i="2"/>
  <c r="CD62" i="2"/>
  <c r="CD99" i="2"/>
  <c r="CD88" i="2"/>
  <c r="CD194" i="2"/>
  <c r="CD25" i="2"/>
  <c r="CD102" i="2"/>
  <c r="CD61" i="2"/>
  <c r="CD132" i="2"/>
  <c r="CD154" i="2"/>
  <c r="CD136" i="2"/>
  <c r="CD138" i="2"/>
  <c r="CD197" i="2"/>
  <c r="CD141" i="2"/>
  <c r="CD190" i="2"/>
  <c r="CD115" i="2"/>
  <c r="CD134" i="2"/>
  <c r="CD161" i="2"/>
  <c r="CD46" i="2"/>
  <c r="CD157" i="2"/>
  <c r="CD145" i="2"/>
  <c r="CD19" i="2"/>
  <c r="CD191" i="2"/>
  <c r="CD7" i="2"/>
  <c r="CD164" i="2"/>
  <c r="CD107" i="2"/>
  <c r="CD98" i="2"/>
  <c r="CD159" i="2"/>
  <c r="CD181" i="2"/>
  <c r="CD17" i="2"/>
  <c r="CD84" i="2"/>
  <c r="CD96" i="2"/>
  <c r="CD39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<sst xmlns="http://schemas.openxmlformats.org/spreadsheetml/2006/main" count="1176" uniqueCount="324">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</sst>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2.6226570787660513</c:v>
                </c:pt>
                <c:pt idx="2">
                  <c:v>3.3074676524347191</c:v>
                </c:pt>
                <c:pt idx="3">
                  <c:v>4.1717902478374764</c:v>
                </c:pt>
                <c:pt idx="4">
                  <c:v>5.2628537100246024</c:v>
                </c:pt>
                <c:pt idx="5">
                  <c:v>6.6403550855833053</c:v>
                </c:pt>
                <c:pt idx="6">
                  <c:v>8.3797615911680001</c:v>
                </c:pt>
                <c:pt idx="7">
                  <c:v>10.576489592474234</c:v>
                </c:pt>
                <c:pt idx="8">
                  <c:v>13.351194149895173</c:v>
                </c:pt>
                <c:pt idx="9">
                  <c:v>16.856465036001829</c:v>
                </c:pt>
                <c:pt idx="10">
                  <c:v>21.285304159707806</c:v>
                </c:pt>
                <c:pt idx="11">
                  <c:v>26.881859514119139</c:v>
                </c:pt>
                <c:pt idx="12">
                  <c:v>33.955017772055356</c:v>
                </c:pt>
                <c:pt idx="13">
                  <c:v>42.895618681292397</c:v>
                </c:pt>
                <c:pt idx="14">
                  <c:v>54.198258590746377</c:v>
                </c:pt>
                <c:pt idx="15">
                  <c:v>68.488909353343658</c:v>
                </c:pt>
                <c:pt idx="16">
                  <c:v>62.361466590328156</c:v>
                </c:pt>
                <c:pt idx="17">
                  <c:v>83.211344052224646</c:v>
                </c:pt>
                <c:pt idx="18">
                  <c:v>103.92838758980967</c:v>
                </c:pt>
                <c:pt idx="19">
                  <c:v>124.54300535423552</c:v>
                </c:pt>
                <c:pt idx="20">
                  <c:v>145.07460486529598</c:v>
                </c:pt>
                <c:pt idx="21">
                  <c:v>117.79987679600281</c:v>
                </c:pt>
                <c:pt idx="22">
                  <c:v>140.12550916282296</c:v>
                </c:pt>
                <c:pt idx="23">
                  <c:v>162.36560837552486</c:v>
                </c:pt>
                <c:pt idx="24">
                  <c:v>184.5335587844996</c:v>
                </c:pt>
                <c:pt idx="25">
                  <c:v>206.63925413557965</c:v>
                </c:pt>
                <c:pt idx="26">
                  <c:v>178.2065931117728</c:v>
                </c:pt>
                <c:pt idx="27">
                  <c:v>198.92636489646625</c:v>
                </c:pt>
                <c:pt idx="28">
                  <c:v>219.5960728520653</c:v>
                </c:pt>
                <c:pt idx="29">
                  <c:v>240.22109256685007</c:v>
                </c:pt>
                <c:pt idx="30">
                  <c:v>260.80580020638388</c:v>
                </c:pt>
                <c:pt idx="31">
                  <c:v>230.78777111964931</c:v>
                </c:pt>
                <c:pt idx="32">
                  <c:v>249.64598194061804</c:v>
                </c:pt>
                <c:pt idx="33">
                  <c:v>268.47188986404808</c:v>
                </c:pt>
                <c:pt idx="34">
                  <c:v>287.26807832489447</c:v>
                </c:pt>
                <c:pt idx="35">
                  <c:v>306.03676500452588</c:v>
                </c:pt>
                <c:pt idx="36">
                  <c:v>274.04412300873832</c:v>
                </c:pt>
                <c:pt idx="37">
                  <c:v>290.74577498968887</c:v>
                </c:pt>
                <c:pt idx="38">
                  <c:v>307.42599859997205</c:v>
                </c:pt>
                <c:pt idx="39">
                  <c:v>324.0861199880448</c:v>
                </c:pt>
                <c:pt idx="40">
                  <c:v>340.72731782352463</c:v>
                </c:pt>
                <c:pt idx="41">
                  <c:v>306.38408652237484</c:v>
                </c:pt>
                <c:pt idx="42">
                  <c:v>320.6168590632679</c:v>
                </c:pt>
                <c:pt idx="43">
                  <c:v>334.83565591359422</c:v>
                </c:pt>
                <c:pt idx="44">
                  <c:v>349.04115416302778</c:v>
                </c:pt>
                <c:pt idx="45">
                  <c:v>363.23397128485459</c:v>
                </c:pt>
                <c:pt idx="46">
                  <c:v>337.6084846109411</c:v>
                </c:pt>
                <c:pt idx="47">
                  <c:v>350.08007582809643</c:v>
                </c:pt>
                <c:pt idx="48">
                  <c:v>362.54192422951866</c:v>
                </c:pt>
                <c:pt idx="49">
                  <c:v>374.99441195677679</c:v>
                </c:pt>
                <c:pt idx="50">
                  <c:v>387.43789369626387</c:v>
                </c:pt>
                <c:pt idx="51">
                  <c:v>368.42340983207049</c:v>
                </c:pt>
                <c:pt idx="52">
                  <c:v>378.79752673207048</c:v>
                </c:pt>
                <c:pt idx="53">
                  <c:v>389.16546165993583</c:v>
                </c:pt>
                <c:pt idx="54">
                  <c:v>399.52740258860331</c:v>
                </c:pt>
                <c:pt idx="55">
                  <c:v>409.88352694182026</c:v>
                </c:pt>
                <c:pt idx="56">
                  <c:v>396.41943892845512</c:v>
                </c:pt>
                <c:pt idx="57">
                  <c:v>405.39657623414723</c:v>
                </c:pt>
                <c:pt idx="58">
                  <c:v>414.36941703418364</c:v>
                </c:pt>
                <c:pt idx="59">
                  <c:v>423.33806752801564</c:v>
                </c:pt>
                <c:pt idx="60">
                  <c:v>432.30262904622094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1.4446494747924661</c:v>
                </c:pt>
                <c:pt idx="2">
                  <c:v>1.7032179941020262</c:v>
                </c:pt>
                <c:pt idx="3">
                  <c:v>2.0082412457544763</c:v>
                </c:pt>
                <c:pt idx="4">
                  <c:v>2.3680951937653405</c:v>
                </c:pt>
                <c:pt idx="5">
                  <c:v>2.7926710865029833</c:v>
                </c:pt>
                <c:pt idx="6">
                  <c:v>3.2936504415475194</c:v>
                </c:pt>
                <c:pt idx="7">
                  <c:v>3.8848300775960793</c:v>
                </c:pt>
                <c:pt idx="8">
                  <c:v>4.5825063262069596</c:v>
                </c:pt>
                <c:pt idx="9">
                  <c:v>5.4059292268305654</c:v>
                </c:pt>
                <c:pt idx="10">
                  <c:v>6.377839485521748</c:v>
                </c:pt>
                <c:pt idx="11">
                  <c:v>7.5251033172333761</c:v>
                </c:pt>
                <c:pt idx="12">
                  <c:v>8.8794630602777733</c:v>
                </c:pt>
                <c:pt idx="13">
                  <c:v>10.478424728298359</c:v>
                </c:pt>
                <c:pt idx="14">
                  <c:v>12.366307543331528</c:v>
                </c:pt>
                <c:pt idx="15">
                  <c:v>14.595485083876353</c:v>
                </c:pt>
                <c:pt idx="16">
                  <c:v>17.227853115323715</c:v>
                </c:pt>
                <c:pt idx="17">
                  <c:v>20.336565601761166</c:v>
                </c:pt>
                <c:pt idx="18">
                  <c:v>24.008088011793529</c:v>
                </c:pt>
                <c:pt idx="19">
                  <c:v>28.34462604420094</c:v>
                </c:pt>
                <c:pt idx="20">
                  <c:v>33.466998569717767</c:v>
                </c:pt>
                <c:pt idx="21">
                  <c:v>39.518036218216324</c:v>
                </c:pt>
                <c:pt idx="22">
                  <c:v>46.666601997687287</c:v>
                </c:pt>
                <c:pt idx="23">
                  <c:v>55.112348040911343</c:v>
                </c:pt>
                <c:pt idx="24">
                  <c:v>65.091343544944792</c:v>
                </c:pt>
                <c:pt idx="25">
                  <c:v>76.882733798474405</c:v>
                </c:pt>
                <c:pt idx="26">
                  <c:v>90.816619594682138</c:v>
                </c:pt>
                <c:pt idx="27">
                  <c:v>107.28338114591146</c:v>
                </c:pt>
                <c:pt idx="28">
                  <c:v>126.74471185035777</c:v>
                </c:pt>
                <c:pt idx="29">
                  <c:v>149.74667609401612</c:v>
                </c:pt>
                <c:pt idx="30">
                  <c:v>176.93516310576453</c:v>
                </c:pt>
                <c:pt idx="31">
                  <c:v>146.43353271796309</c:v>
                </c:pt>
                <c:pt idx="32">
                  <c:v>156.61609434461207</c:v>
                </c:pt>
                <c:pt idx="33">
                  <c:v>166.78293977832863</c:v>
                </c:pt>
                <c:pt idx="34">
                  <c:v>176.93516310576453</c:v>
                </c:pt>
                <c:pt idx="35">
                  <c:v>187.07372242622981</c:v>
                </c:pt>
                <c:pt idx="36">
                  <c:v>197.19946337106239</c:v>
                </c:pt>
                <c:pt idx="37">
                  <c:v>207.31313753029789</c:v>
                </c:pt>
                <c:pt idx="38">
                  <c:v>217.41541708927389</c:v>
                </c:pt>
                <c:pt idx="39">
                  <c:v>227.50690659831915</c:v>
                </c:pt>
                <c:pt idx="40">
                  <c:v>237.58815254200749</c:v>
                </c:pt>
                <c:pt idx="41">
                  <c:v>207.31313753029789</c:v>
                </c:pt>
                <c:pt idx="42">
                  <c:v>217.41541708927389</c:v>
                </c:pt>
                <c:pt idx="43">
                  <c:v>227.50690659831915</c:v>
                </c:pt>
                <c:pt idx="44">
                  <c:v>237.58815254200749</c:v>
                </c:pt>
                <c:pt idx="45">
                  <c:v>247.65965119723435</c:v>
                </c:pt>
                <c:pt idx="46">
                  <c:v>257.72185514470988</c:v>
                </c:pt>
                <c:pt idx="47">
                  <c:v>267.77517870928631</c:v>
                </c:pt>
                <c:pt idx="48">
                  <c:v>277.82000253977031</c:v>
                </c:pt>
                <c:pt idx="49">
                  <c:v>287.85667749117107</c:v>
                </c:pt>
                <c:pt idx="50">
                  <c:v>297.88552793675632</c:v>
                </c:pt>
                <c:pt idx="51">
                  <c:v>267.77517870928631</c:v>
                </c:pt>
                <c:pt idx="52">
                  <c:v>277.82000253977031</c:v>
                </c:pt>
                <c:pt idx="53">
                  <c:v>287.85667749117107</c:v>
                </c:pt>
                <c:pt idx="54">
                  <c:v>297.88552793675632</c:v>
                </c:pt>
                <c:pt idx="55">
                  <c:v>307.90685461043864</c:v>
                </c:pt>
                <c:pt idx="56">
                  <c:v>317.92093705953039</c:v>
                </c:pt>
                <c:pt idx="57">
                  <c:v>327.92803577212442</c:v>
                </c:pt>
                <c:pt idx="58">
                  <c:v>337.92839403108081</c:v>
                </c:pt>
                <c:pt idx="59">
                  <c:v>347.92223953697521</c:v>
                </c:pt>
                <c:pt idx="60">
                  <c:v>357.90978583474595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608.0026257927675</c:v>
                </c:pt>
                <c:pt idx="97">
                  <c:v>618.3074928990726</c:v>
                </c:pt>
                <c:pt idx="98">
                  <c:v>628.60880146856755</c:v>
                </c:pt>
                <c:pt idx="99">
                  <c:v>638.90661802503575</c:v>
                </c:pt>
                <c:pt idx="100">
                  <c:v>649.20100677344124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3.5461991231226953</c:v>
                </c:pt>
                <c:pt idx="2">
                  <c:v>4.3614421623073083</c:v>
                </c:pt>
                <c:pt idx="3">
                  <c:v>5.3648076300786123</c:v>
                </c:pt>
                <c:pt idx="4">
                  <c:v>6.599858991574667</c:v>
                </c:pt>
                <c:pt idx="5">
                  <c:v>8.1202808119577643</c:v>
                </c:pt>
                <c:pt idx="6">
                  <c:v>9.9922373337011123</c:v>
                </c:pt>
                <c:pt idx="7">
                  <c:v>12.297282221648215</c:v>
                </c:pt>
                <c:pt idx="8">
                  <c:v>15.135948605306281</c:v>
                </c:pt>
                <c:pt idx="9">
                  <c:v>18.632178871024148</c:v>
                </c:pt>
                <c:pt idx="10">
                  <c:v>22.938791115606964</c:v>
                </c:pt>
                <c:pt idx="11">
                  <c:v>28.244225449910545</c:v>
                </c:pt>
                <c:pt idx="12">
                  <c:v>34.780870515742855</c:v>
                </c:pt>
                <c:pt idx="13">
                  <c:v>42.835341222989307</c:v>
                </c:pt>
                <c:pt idx="14">
                  <c:v>52.761166004833903</c:v>
                </c:pt>
                <c:pt idx="15">
                  <c:v>64.994449757153745</c:v>
                </c:pt>
                <c:pt idx="16">
                  <c:v>80.073211932681616</c:v>
                </c:pt>
                <c:pt idx="17">
                  <c:v>98.661264009590909</c:v>
                </c:pt>
                <c:pt idx="18">
                  <c:v>121.57769417732584</c:v>
                </c:pt>
                <c:pt idx="19">
                  <c:v>149.83327876735424</c:v>
                </c:pt>
                <c:pt idx="20">
                  <c:v>184.67545106520129</c:v>
                </c:pt>
                <c:pt idx="21">
                  <c:v>187.63434114282643</c:v>
                </c:pt>
                <c:pt idx="22">
                  <c:v>205.36547560924757</c:v>
                </c:pt>
                <c:pt idx="23">
                  <c:v>223.06121707206464</c:v>
                </c:pt>
                <c:pt idx="24">
                  <c:v>240.72476870476396</c:v>
                </c:pt>
                <c:pt idx="25">
                  <c:v>258.35882487470553</c:v>
                </c:pt>
                <c:pt idx="26">
                  <c:v>212.25116945838488</c:v>
                </c:pt>
                <c:pt idx="27">
                  <c:v>234.84031938684811</c:v>
                </c:pt>
                <c:pt idx="28">
                  <c:v>257.37988829082747</c:v>
                </c:pt>
                <c:pt idx="29">
                  <c:v>279.87482760648749</c:v>
                </c:pt>
                <c:pt idx="30">
                  <c:v>302.32922742731353</c:v>
                </c:pt>
                <c:pt idx="31">
                  <c:v>260.31644680274297</c:v>
                </c:pt>
                <c:pt idx="32">
                  <c:v>286.71289756401148</c:v>
                </c:pt>
                <c:pt idx="33">
                  <c:v>313.0549809645762</c:v>
                </c:pt>
                <c:pt idx="34">
                  <c:v>339.34791173849402</c:v>
                </c:pt>
                <c:pt idx="35">
                  <c:v>365.59603057312432</c:v>
                </c:pt>
                <c:pt idx="36">
                  <c:v>324.74652056657857</c:v>
                </c:pt>
                <c:pt idx="37">
                  <c:v>351.99124877758794</c:v>
                </c:pt>
                <c:pt idx="38">
                  <c:v>379.18975861187067</c:v>
                </c:pt>
                <c:pt idx="39">
                  <c:v>406.34582799666504</c:v>
                </c:pt>
                <c:pt idx="40">
                  <c:v>433.46268897597173</c:v>
                </c:pt>
                <c:pt idx="41">
                  <c:v>393.25780591844017</c:v>
                </c:pt>
                <c:pt idx="42">
                  <c:v>420.87740681048808</c:v>
                </c:pt>
                <c:pt idx="43">
                  <c:v>448.45798691336608</c:v>
                </c:pt>
                <c:pt idx="44">
                  <c:v>476.00228064250132</c:v>
                </c:pt>
                <c:pt idx="45">
                  <c:v>503.51268042628857</c:v>
                </c:pt>
                <c:pt idx="46">
                  <c:v>462.47612719521197</c:v>
                </c:pt>
                <c:pt idx="47">
                  <c:v>489.03761244496349</c:v>
                </c:pt>
                <c:pt idx="48">
                  <c:v>515.56850235292211</c:v>
                </c:pt>
                <c:pt idx="49">
                  <c:v>542.07059084014929</c:v>
                </c:pt>
                <c:pt idx="50">
                  <c:v>568.54548230183116</c:v>
                </c:pt>
                <c:pt idx="51">
                  <c:v>525.6907895774126</c:v>
                </c:pt>
                <c:pt idx="52">
                  <c:v>550.25657293737629</c:v>
                </c:pt>
                <c:pt idx="53">
                  <c:v>574.79937021048397</c:v>
                </c:pt>
                <c:pt idx="54">
                  <c:v>599.32029978049241</c:v>
                </c:pt>
                <c:pt idx="55">
                  <c:v>623.82038115605371</c:v>
                </c:pt>
                <c:pt idx="56">
                  <c:v>579.12815181795861</c:v>
                </c:pt>
                <c:pt idx="57">
                  <c:v>601.72317459212707</c:v>
                </c:pt>
                <c:pt idx="58">
                  <c:v>624.30057291701291</c:v>
                </c:pt>
                <c:pt idx="59">
                  <c:v>646.86107315743232</c:v>
                </c:pt>
                <c:pt idx="60">
                  <c:v>669.40534693696065</c:v>
                </c:pt>
                <c:pt idx="61">
                  <c:v>623.34018174077721</c:v>
                </c:pt>
                <c:pt idx="62">
                  <c:v>644.46180257862602</c:v>
                </c:pt>
                <c:pt idx="63">
                  <c:v>665.56914225443347</c:v>
                </c:pt>
                <c:pt idx="64">
                  <c:v>686.66271693662009</c:v>
                </c:pt>
                <c:pt idx="65">
                  <c:v>707.74300853048999</c:v>
                </c:pt>
                <c:pt idx="66">
                  <c:v>660.29361735412601</c:v>
                </c:pt>
                <c:pt idx="67">
                  <c:v>679.95258814155022</c:v>
                </c:pt>
                <c:pt idx="68">
                  <c:v>699.59989563654983</c:v>
                </c:pt>
                <c:pt idx="69">
                  <c:v>719.23591316842533</c:v>
                </c:pt>
                <c:pt idx="70">
                  <c:v>738.86099204141294</c:v>
                </c:pt>
                <c:pt idx="71">
                  <c:v>690.01727619637393</c:v>
                </c:pt>
                <c:pt idx="72">
                  <c:v>708.22195528108148</c:v>
                </c:pt>
                <c:pt idx="73">
                  <c:v>726.4170710774639</c:v>
                </c:pt>
                <c:pt idx="74">
                  <c:v>744.60289662519608</c:v>
                </c:pt>
                <c:pt idx="75">
                  <c:v>762.77969055283802</c:v>
                </c:pt>
                <c:pt idx="76">
                  <c:v>713.01105942431741</c:v>
                </c:pt>
                <c:pt idx="77">
                  <c:v>730.24642909137185</c:v>
                </c:pt>
                <c:pt idx="78">
                  <c:v>747.47351071244827</c:v>
                </c:pt>
                <c:pt idx="79">
                  <c:v>764.69252202693053</c:v>
                </c:pt>
                <c:pt idx="80">
                  <c:v>781.90367017839083</c:v>
                </c:pt>
                <c:pt idx="81">
                  <c:v>731.20370455522072</c:v>
                </c:pt>
                <c:pt idx="82">
                  <c:v>747.47351071244827</c:v>
                </c:pt>
                <c:pt idx="83">
                  <c:v>763.73611844047809</c:v>
                </c:pt>
                <c:pt idx="84">
                  <c:v>779.99170247220309</c:v>
                </c:pt>
                <c:pt idx="85">
                  <c:v>796.24042967044272</c:v>
                </c:pt>
                <c:pt idx="86">
                  <c:v>744.60289662519608</c:v>
                </c:pt>
                <c:pt idx="87">
                  <c:v>759.91026073447267</c:v>
                </c:pt>
                <c:pt idx="88">
                  <c:v>775.21136745439014</c:v>
                </c:pt>
                <c:pt idx="89">
                  <c:v>790.50635758713588</c:v>
                </c:pt>
                <c:pt idx="90">
                  <c:v>805.7953660469517</c:v>
                </c:pt>
                <c:pt idx="91">
                  <c:v>753.6924069095304</c:v>
                </c:pt>
                <c:pt idx="92">
                  <c:v>768.51789405326542</c:v>
                </c:pt>
                <c:pt idx="93">
                  <c:v>783.33758384194982</c:v>
                </c:pt>
                <c:pt idx="94">
                  <c:v>798.15160131409846</c:v>
                </c:pt>
                <c:pt idx="95">
                  <c:v>812.96006649231458</c:v>
                </c:pt>
                <c:pt idx="96">
                  <c:v>761.34500308053305</c:v>
                </c:pt>
                <c:pt idx="97">
                  <c:v>774.25522891188473</c:v>
                </c:pt>
                <c:pt idx="98">
                  <c:v>787.16109422038608</c:v>
                </c:pt>
                <c:pt idx="99">
                  <c:v>800.06268052225869</c:v>
                </c:pt>
                <c:pt idx="100">
                  <c:v>812.96006649231424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2.5306217639403932</c:v>
                </c:pt>
                <c:pt idx="2">
                  <c:v>2.9172207570325672</c:v>
                </c:pt>
                <c:pt idx="3">
                  <c:v>3.3630927689110268</c:v>
                </c:pt>
                <c:pt idx="4">
                  <c:v>3.8773563467113861</c:v>
                </c:pt>
                <c:pt idx="5">
                  <c:v>4.4705372894252715</c:v>
                </c:pt>
                <c:pt idx="6">
                  <c:v>5.1547864684478117</c:v>
                </c:pt>
                <c:pt idx="7">
                  <c:v>5.9441314553665761</c:v>
                </c:pt>
                <c:pt idx="8">
                  <c:v>6.8547672172727552</c:v>
                </c:pt>
                <c:pt idx="9">
                  <c:v>7.9053919602337386</c:v>
                </c:pt>
                <c:pt idx="10">
                  <c:v>9.117595150129306</c:v>
                </c:pt>
                <c:pt idx="11">
                  <c:v>10.516305836895535</c:v>
                </c:pt>
                <c:pt idx="12">
                  <c:v>12.130310676562779</c:v>
                </c:pt>
                <c:pt idx="13">
                  <c:v>13.992852512182466</c:v>
                </c:pt>
                <c:pt idx="14">
                  <c:v>16.142322070891733</c:v>
                </c:pt>
                <c:pt idx="15">
                  <c:v>18.623057295923864</c:v>
                </c:pt>
                <c:pt idx="16">
                  <c:v>21.486267100938448</c:v>
                </c:pt>
                <c:pt idx="17">
                  <c:v>24.7910989577524</c:v>
                </c:pt>
                <c:pt idx="18">
                  <c:v>28.605872763094592</c:v>
                </c:pt>
                <c:pt idx="19">
                  <c:v>33.009506939823325</c:v>
                </c:pt>
                <c:pt idx="20">
                  <c:v>38.093166787700049</c:v>
                </c:pt>
                <c:pt idx="21">
                  <c:v>43.962169794584405</c:v>
                </c:pt>
                <c:pt idx="22">
                  <c:v>50.738188050641945</c:v>
                </c:pt>
                <c:pt idx="23">
                  <c:v>58.561794191367277</c:v>
                </c:pt>
                <c:pt idx="24">
                  <c:v>67.595404563615133</c:v>
                </c:pt>
                <c:pt idx="25">
                  <c:v>78.026681717112226</c:v>
                </c:pt>
                <c:pt idx="26">
                  <c:v>90.526413145957463</c:v>
                </c:pt>
                <c:pt idx="27">
                  <c:v>102.98287489084596</c:v>
                </c:pt>
                <c:pt idx="28">
                  <c:v>115.40204957981786</c:v>
                </c:pt>
                <c:pt idx="29">
                  <c:v>127.78852186744196</c:v>
                </c:pt>
                <c:pt idx="30">
                  <c:v>140.14591229472146</c:v>
                </c:pt>
                <c:pt idx="31">
                  <c:v>131.16146937116449</c:v>
                </c:pt>
                <c:pt idx="32">
                  <c:v>144.63288785558254</c:v>
                </c:pt>
                <c:pt idx="33">
                  <c:v>158.07427982969338</c:v>
                </c:pt>
                <c:pt idx="34">
                  <c:v>171.48856021442305</c:v>
                </c:pt>
                <c:pt idx="35">
                  <c:v>184.87814990346817</c:v>
                </c:pt>
                <c:pt idx="36">
                  <c:v>160.31180519707939</c:v>
                </c:pt>
                <c:pt idx="37">
                  <c:v>174.83818688959886</c:v>
                </c:pt>
                <c:pt idx="38">
                  <c:v>189.33622166833575</c:v>
                </c:pt>
                <c:pt idx="39">
                  <c:v>203.8083868405364</c:v>
                </c:pt>
                <c:pt idx="40">
                  <c:v>218.25677877090342</c:v>
                </c:pt>
                <c:pt idx="41">
                  <c:v>194.16304064471558</c:v>
                </c:pt>
                <c:pt idx="42">
                  <c:v>208.99762497430493</c:v>
                </c:pt>
                <c:pt idx="43">
                  <c:v>223.807910918391</c:v>
                </c:pt>
                <c:pt idx="44">
                  <c:v>238.59573324490532</c:v>
                </c:pt>
                <c:pt idx="45">
                  <c:v>253.36268056439769</c:v>
                </c:pt>
                <c:pt idx="46">
                  <c:v>229.72564155690716</c:v>
                </c:pt>
                <c:pt idx="47">
                  <c:v>244.87415180265498</c:v>
                </c:pt>
                <c:pt idx="48">
                  <c:v>260.00137265549091</c:v>
                </c:pt>
                <c:pt idx="49">
                  <c:v>275.10871731201564</c:v>
                </c:pt>
                <c:pt idx="50">
                  <c:v>290.19743103031288</c:v>
                </c:pt>
                <c:pt idx="51">
                  <c:v>267.37321139326588</c:v>
                </c:pt>
                <c:pt idx="52">
                  <c:v>283.20734332387497</c:v>
                </c:pt>
                <c:pt idx="53">
                  <c:v>299.02165093044317</c:v>
                </c:pt>
                <c:pt idx="54">
                  <c:v>314.81733022074968</c:v>
                </c:pt>
                <c:pt idx="55">
                  <c:v>330.5954473741902</c:v>
                </c:pt>
                <c:pt idx="56">
                  <c:v>307.47274922302034</c:v>
                </c:pt>
                <c:pt idx="57">
                  <c:v>322.89198679446821</c:v>
                </c:pt>
                <c:pt idx="58">
                  <c:v>338.29494871140372</c:v>
                </c:pt>
                <c:pt idx="59">
                  <c:v>353.68248030482658</c:v>
                </c:pt>
                <c:pt idx="60">
                  <c:v>369.05534734862982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1.469268803217755</c:v>
                </c:pt>
                <c:pt idx="2">
                  <c:v>1.8614106998188911</c:v>
                </c:pt>
                <c:pt idx="3">
                  <c:v>2.3586367320092809</c:v>
                </c:pt>
                <c:pt idx="4">
                  <c:v>2.9892140597628476</c:v>
                </c:pt>
                <c:pt idx="5">
                  <c:v>3.789040668470133</c:v>
                </c:pt>
                <c:pt idx="6">
                  <c:v>4.8037121528179325</c:v>
                </c:pt>
                <c:pt idx="7">
                  <c:v>6.0911499903662616</c:v>
                </c:pt>
                <c:pt idx="8">
                  <c:v>7.7249442732654678</c:v>
                </c:pt>
                <c:pt idx="9">
                  <c:v>9.7986056465425602</c:v>
                </c:pt>
                <c:pt idx="10">
                  <c:v>12.430974419066542</c:v>
                </c:pt>
                <c:pt idx="11">
                  <c:v>15.773102606404407</c:v>
                </c:pt>
                <c:pt idx="12">
                  <c:v>20.017011033425529</c:v>
                </c:pt>
                <c:pt idx="13">
                  <c:v>25.406833668647831</c:v>
                </c:pt>
                <c:pt idx="14">
                  <c:v>32.25300158460319</c:v>
                </c:pt>
                <c:pt idx="15">
                  <c:v>40.950297630731676</c:v>
                </c:pt>
                <c:pt idx="16">
                  <c:v>62.100043830378404</c:v>
                </c:pt>
                <c:pt idx="17">
                  <c:v>83.059783755906594</c:v>
                </c:pt>
                <c:pt idx="18">
                  <c:v>103.88499916789719</c:v>
                </c:pt>
                <c:pt idx="19">
                  <c:v>124.60666249750251</c:v>
                </c:pt>
                <c:pt idx="20">
                  <c:v>145.24448744581247</c:v>
                </c:pt>
                <c:pt idx="21">
                  <c:v>128.85628453370961</c:v>
                </c:pt>
                <c:pt idx="22">
                  <c:v>155.82469609939704</c:v>
                </c:pt>
                <c:pt idx="23">
                  <c:v>182.68196779156236</c:v>
                </c:pt>
                <c:pt idx="24">
                  <c:v>209.44676856898141</c:v>
                </c:pt>
                <c:pt idx="25">
                  <c:v>236.13258605094427</c:v>
                </c:pt>
                <c:pt idx="26">
                  <c:v>199.13320991348715</c:v>
                </c:pt>
                <c:pt idx="27">
                  <c:v>228.8964750297209</c:v>
                </c:pt>
                <c:pt idx="28">
                  <c:v>258.57114022229695</c:v>
                </c:pt>
                <c:pt idx="29">
                  <c:v>288.16880248415811</c:v>
                </c:pt>
                <c:pt idx="30">
                  <c:v>317.69847869820859</c:v>
                </c:pt>
                <c:pt idx="31">
                  <c:v>281.15529641961587</c:v>
                </c:pt>
                <c:pt idx="32">
                  <c:v>310.88957110362543</c:v>
                </c:pt>
                <c:pt idx="33">
                  <c:v>340.5607294191388</c:v>
                </c:pt>
                <c:pt idx="34">
                  <c:v>370.17503831519883</c:v>
                </c:pt>
                <c:pt idx="35">
                  <c:v>399.73768031606465</c:v>
                </c:pt>
                <c:pt idx="36">
                  <c:v>361.31524417862607</c:v>
                </c:pt>
                <c:pt idx="37">
                  <c:v>388.82217617874659</c:v>
                </c:pt>
                <c:pt idx="38">
                  <c:v>416.28688101893516</c:v>
                </c:pt>
                <c:pt idx="39">
                  <c:v>443.7125332722058</c:v>
                </c:pt>
                <c:pt idx="40">
                  <c:v>471.1018833558872</c:v>
                </c:pt>
                <c:pt idx="41">
                  <c:v>430.00440790035367</c:v>
                </c:pt>
                <c:pt idx="42">
                  <c:v>454.59743907080411</c:v>
                </c:pt>
                <c:pt idx="43">
                  <c:v>479.16204783430902</c:v>
                </c:pt>
                <c:pt idx="44">
                  <c:v>503.69989470708992</c:v>
                </c:pt>
                <c:pt idx="45">
                  <c:v>528.21246537398554</c:v>
                </c:pt>
                <c:pt idx="46">
                  <c:v>494.15007541499972</c:v>
                </c:pt>
                <c:pt idx="47">
                  <c:v>516.23992884068559</c:v>
                </c:pt>
                <c:pt idx="48">
                  <c:v>538.30984418974776</c:v>
                </c:pt>
                <c:pt idx="49">
                  <c:v>560.36075313029983</c:v>
                </c:pt>
                <c:pt idx="50">
                  <c:v>582.39350809502037</c:v>
                </c:pt>
                <c:pt idx="51">
                  <c:v>554.38267399725669</c:v>
                </c:pt>
                <c:pt idx="52">
                  <c:v>573.99327651089095</c:v>
                </c:pt>
                <c:pt idx="53">
                  <c:v>593.58989511894561</c:v>
                </c:pt>
                <c:pt idx="54">
                  <c:v>613.17305607102821</c:v>
                </c:pt>
                <c:pt idx="55">
                  <c:v>632.74324929160707</c:v>
                </c:pt>
                <c:pt idx="56">
                  <c:v>608.69806541499895</c:v>
                </c:pt>
                <c:pt idx="57">
                  <c:v>625.66217100137249</c:v>
                </c:pt>
                <c:pt idx="58">
                  <c:v>642.61675865903692</c:v>
                </c:pt>
                <c:pt idx="59">
                  <c:v>659.56211468201616</c:v>
                </c:pt>
                <c:pt idx="60">
                  <c:v>676.49850946567312</c:v>
                </c:pt>
                <c:pt idx="61">
                  <c:v>2.8030510891776262E-12</c:v>
                </c:pt>
                <c:pt idx="62">
                  <c:v>2.8030510891776262E-12</c:v>
                </c:pt>
                <c:pt idx="63">
                  <c:v>2.8030510891776262E-12</c:v>
                </c:pt>
                <c:pt idx="64">
                  <c:v>2.8030510891776262E-12</c:v>
                </c:pt>
                <c:pt idx="65">
                  <c:v>2.8030510891776262E-12</c:v>
                </c:pt>
                <c:pt idx="66">
                  <c:v>2.8030510891776262E-12</c:v>
                </c:pt>
                <c:pt idx="67">
                  <c:v>2.8030510891776262E-12</c:v>
                </c:pt>
                <c:pt idx="68">
                  <c:v>2.8030510891776262E-12</c:v>
                </c:pt>
                <c:pt idx="69">
                  <c:v>2.8030510891776262E-12</c:v>
                </c:pt>
                <c:pt idx="70">
                  <c:v>2.8030510891776262E-12</c:v>
                </c:pt>
                <c:pt idx="71">
                  <c:v>2.8030510891776262E-12</c:v>
                </c:pt>
                <c:pt idx="72">
                  <c:v>2.8030510891776262E-12</c:v>
                </c:pt>
                <c:pt idx="73">
                  <c:v>2.8030510891776262E-12</c:v>
                </c:pt>
                <c:pt idx="74">
                  <c:v>2.8030510891776262E-12</c:v>
                </c:pt>
                <c:pt idx="75">
                  <c:v>2.8030510891776262E-12</c:v>
                </c:pt>
                <c:pt idx="76">
                  <c:v>2.8030510891776262E-12</c:v>
                </c:pt>
                <c:pt idx="77">
                  <c:v>2.8030510891776262E-12</c:v>
                </c:pt>
                <c:pt idx="78">
                  <c:v>2.8030510891776262E-12</c:v>
                </c:pt>
                <c:pt idx="79">
                  <c:v>2.8030510891776262E-12</c:v>
                </c:pt>
                <c:pt idx="80">
                  <c:v>2.8030510891776262E-12</c:v>
                </c:pt>
                <c:pt idx="81">
                  <c:v>2.8030510891776262E-12</c:v>
                </c:pt>
                <c:pt idx="82">
                  <c:v>2.8030510891776262E-12</c:v>
                </c:pt>
                <c:pt idx="83">
                  <c:v>2.8030510891776262E-12</c:v>
                </c:pt>
                <c:pt idx="84">
                  <c:v>2.8030510891776262E-12</c:v>
                </c:pt>
                <c:pt idx="85">
                  <c:v>2.8030510891776262E-12</c:v>
                </c:pt>
                <c:pt idx="86">
                  <c:v>2.8030510891776262E-12</c:v>
                </c:pt>
                <c:pt idx="87">
                  <c:v>2.8030510891776262E-12</c:v>
                </c:pt>
                <c:pt idx="88">
                  <c:v>2.8030510891776262E-12</c:v>
                </c:pt>
                <c:pt idx="89">
                  <c:v>2.8030510891776262E-12</c:v>
                </c:pt>
                <c:pt idx="90">
                  <c:v>2.8030510891776262E-12</c:v>
                </c:pt>
                <c:pt idx="91">
                  <c:v>2.8030510891776262E-12</c:v>
                </c:pt>
                <c:pt idx="92">
                  <c:v>2.8030510891776262E-12</c:v>
                </c:pt>
                <c:pt idx="93">
                  <c:v>2.8030510891776262E-12</c:v>
                </c:pt>
                <c:pt idx="94">
                  <c:v>2.8030510891776262E-12</c:v>
                </c:pt>
                <c:pt idx="95">
                  <c:v>2.8030510891776262E-12</c:v>
                </c:pt>
                <c:pt idx="96">
                  <c:v>2.8030510891776262E-12</c:v>
                </c:pt>
                <c:pt idx="97">
                  <c:v>2.8030510891776262E-12</c:v>
                </c:pt>
                <c:pt idx="98">
                  <c:v>2.8030510891776262E-12</c:v>
                </c:pt>
                <c:pt idx="99">
                  <c:v>2.8030510891776262E-12</c:v>
                </c:pt>
                <c:pt idx="100">
                  <c:v>2.8030510891776262E-12</c:v>
                </c:pt>
                <c:pt idx="101">
                  <c:v>2.8030510891776262E-12</c:v>
                </c:pt>
                <c:pt idx="102">
                  <c:v>2.8030510891776262E-12</c:v>
                </c:pt>
                <c:pt idx="103">
                  <c:v>2.8030510891776262E-12</c:v>
                </c:pt>
                <c:pt idx="104">
                  <c:v>2.8030510891776262E-12</c:v>
                </c:pt>
                <c:pt idx="105">
                  <c:v>2.8030510891776262E-12</c:v>
                </c:pt>
                <c:pt idx="106">
                  <c:v>2.8030510891776262E-12</c:v>
                </c:pt>
                <c:pt idx="107">
                  <c:v>2.8030510891776262E-12</c:v>
                </c:pt>
                <c:pt idx="108">
                  <c:v>2.8030510891776262E-12</c:v>
                </c:pt>
                <c:pt idx="109">
                  <c:v>2.8030510891776262E-12</c:v>
                </c:pt>
                <c:pt idx="110">
                  <c:v>2.8030510891776262E-12</c:v>
                </c:pt>
                <c:pt idx="111">
                  <c:v>2.8030510891776262E-12</c:v>
                </c:pt>
                <c:pt idx="112">
                  <c:v>2.8030510891776262E-12</c:v>
                </c:pt>
                <c:pt idx="113">
                  <c:v>2.8030510891776262E-12</c:v>
                </c:pt>
                <c:pt idx="114">
                  <c:v>2.8030510891776262E-12</c:v>
                </c:pt>
                <c:pt idx="115">
                  <c:v>2.8030510891776262E-12</c:v>
                </c:pt>
                <c:pt idx="116">
                  <c:v>2.8030510891776262E-12</c:v>
                </c:pt>
                <c:pt idx="117">
                  <c:v>2.8030510891776262E-12</c:v>
                </c:pt>
                <c:pt idx="118">
                  <c:v>2.8030510891776262E-12</c:v>
                </c:pt>
                <c:pt idx="119">
                  <c:v>2.8030510891776262E-12</c:v>
                </c:pt>
                <c:pt idx="120">
                  <c:v>2.8030510891776262E-12</c:v>
                </c:pt>
                <c:pt idx="121">
                  <c:v>2.8030510891776262E-12</c:v>
                </c:pt>
                <c:pt idx="122">
                  <c:v>2.8030510891776262E-12</c:v>
                </c:pt>
                <c:pt idx="123">
                  <c:v>2.8030510891776262E-12</c:v>
                </c:pt>
                <c:pt idx="124">
                  <c:v>2.8030510891776262E-12</c:v>
                </c:pt>
                <c:pt idx="125">
                  <c:v>2.8030510891776262E-12</c:v>
                </c:pt>
                <c:pt idx="126">
                  <c:v>2.8030510891776262E-12</c:v>
                </c:pt>
                <c:pt idx="127">
                  <c:v>2.8030510891776262E-12</c:v>
                </c:pt>
                <c:pt idx="128">
                  <c:v>2.8030510891776262E-12</c:v>
                </c:pt>
                <c:pt idx="129">
                  <c:v>2.8030510891776262E-12</c:v>
                </c:pt>
                <c:pt idx="130">
                  <c:v>2.8030510891776262E-12</c:v>
                </c:pt>
                <c:pt idx="131">
                  <c:v>2.8030510891776262E-12</c:v>
                </c:pt>
                <c:pt idx="132">
                  <c:v>2.8030510891776262E-12</c:v>
                </c:pt>
                <c:pt idx="133">
                  <c:v>2.8030510891776262E-12</c:v>
                </c:pt>
                <c:pt idx="134">
                  <c:v>2.8030510891776262E-12</c:v>
                </c:pt>
                <c:pt idx="135">
                  <c:v>2.8030510891776262E-12</c:v>
                </c:pt>
                <c:pt idx="136">
                  <c:v>2.8030510891776262E-12</c:v>
                </c:pt>
                <c:pt idx="137">
                  <c:v>2.8030510891776262E-12</c:v>
                </c:pt>
                <c:pt idx="138">
                  <c:v>2.8030510891776262E-12</c:v>
                </c:pt>
                <c:pt idx="139">
                  <c:v>2.8030510891776262E-12</c:v>
                </c:pt>
                <c:pt idx="140">
                  <c:v>2.8030510891776262E-12</c:v>
                </c:pt>
                <c:pt idx="141">
                  <c:v>2.8030510891776262E-12</c:v>
                </c:pt>
                <c:pt idx="142">
                  <c:v>2.8030510891776262E-12</c:v>
                </c:pt>
                <c:pt idx="143">
                  <c:v>2.8030510891776262E-12</c:v>
                </c:pt>
                <c:pt idx="144">
                  <c:v>2.8030510891776262E-12</c:v>
                </c:pt>
                <c:pt idx="145">
                  <c:v>2.8030510891776262E-12</c:v>
                </c:pt>
                <c:pt idx="146">
                  <c:v>2.8030510891776262E-12</c:v>
                </c:pt>
                <c:pt idx="147">
                  <c:v>2.8030510891776262E-12</c:v>
                </c:pt>
                <c:pt idx="148">
                  <c:v>2.8030510891776262E-12</c:v>
                </c:pt>
                <c:pt idx="149">
                  <c:v>2.8030510891776262E-12</c:v>
                </c:pt>
                <c:pt idx="150">
                  <c:v>2.8030510891776262E-12</c:v>
                </c:pt>
                <c:pt idx="151">
                  <c:v>2.8030510891776262E-12</c:v>
                </c:pt>
                <c:pt idx="152">
                  <c:v>2.8030510891776262E-12</c:v>
                </c:pt>
                <c:pt idx="153">
                  <c:v>2.8030510891776262E-12</c:v>
                </c:pt>
                <c:pt idx="154">
                  <c:v>2.8030510891776262E-12</c:v>
                </c:pt>
                <c:pt idx="155">
                  <c:v>2.8030510891776262E-12</c:v>
                </c:pt>
                <c:pt idx="156">
                  <c:v>2.8030510891776262E-12</c:v>
                </c:pt>
                <c:pt idx="157">
                  <c:v>2.8030510891776262E-12</c:v>
                </c:pt>
                <c:pt idx="158">
                  <c:v>2.8030510891776262E-12</c:v>
                </c:pt>
                <c:pt idx="159">
                  <c:v>2.8030510891776262E-12</c:v>
                </c:pt>
                <c:pt idx="160">
                  <c:v>2.8030510891776262E-12</c:v>
                </c:pt>
                <c:pt idx="161">
                  <c:v>2.8030510891776262E-12</c:v>
                </c:pt>
                <c:pt idx="162">
                  <c:v>2.8030510891776262E-12</c:v>
                </c:pt>
                <c:pt idx="163">
                  <c:v>2.8030510891776262E-12</c:v>
                </c:pt>
                <c:pt idx="164">
                  <c:v>2.8030510891776262E-12</c:v>
                </c:pt>
                <c:pt idx="165">
                  <c:v>2.8030510891776262E-12</c:v>
                </c:pt>
                <c:pt idx="166">
                  <c:v>2.8030510891776262E-12</c:v>
                </c:pt>
                <c:pt idx="167">
                  <c:v>2.8030510891776262E-12</c:v>
                </c:pt>
                <c:pt idx="168">
                  <c:v>2.8030510891776262E-12</c:v>
                </c:pt>
                <c:pt idx="169">
                  <c:v>2.8030510891776262E-12</c:v>
                </c:pt>
                <c:pt idx="170">
                  <c:v>2.8030510891776262E-12</c:v>
                </c:pt>
                <c:pt idx="171">
                  <c:v>2.8030510891776262E-12</c:v>
                </c:pt>
                <c:pt idx="172">
                  <c:v>2.8030510891776262E-12</c:v>
                </c:pt>
                <c:pt idx="173">
                  <c:v>2.8030510891776262E-12</c:v>
                </c:pt>
                <c:pt idx="174">
                  <c:v>2.8030510891776262E-12</c:v>
                </c:pt>
                <c:pt idx="175">
                  <c:v>2.8030510891776262E-12</c:v>
                </c:pt>
                <c:pt idx="176">
                  <c:v>2.8030510891776262E-12</c:v>
                </c:pt>
                <c:pt idx="177">
                  <c:v>2.8030510891776262E-12</c:v>
                </c:pt>
                <c:pt idx="178">
                  <c:v>2.8030510891776262E-12</c:v>
                </c:pt>
                <c:pt idx="179">
                  <c:v>2.8030510891776262E-12</c:v>
                </c:pt>
                <c:pt idx="180">
                  <c:v>2.8030510891776262E-12</c:v>
                </c:pt>
                <c:pt idx="181">
                  <c:v>2.8030510891776262E-12</c:v>
                </c:pt>
                <c:pt idx="182">
                  <c:v>2.8030510891776262E-12</c:v>
                </c:pt>
                <c:pt idx="183">
                  <c:v>2.8030510891776262E-12</c:v>
                </c:pt>
                <c:pt idx="184">
                  <c:v>2.8030510891776262E-12</c:v>
                </c:pt>
                <c:pt idx="185">
                  <c:v>2.8030510891776262E-12</c:v>
                </c:pt>
                <c:pt idx="186">
                  <c:v>2.8030510891776262E-12</c:v>
                </c:pt>
                <c:pt idx="187">
                  <c:v>2.8030510891776262E-12</c:v>
                </c:pt>
                <c:pt idx="188">
                  <c:v>2.8030510891776262E-12</c:v>
                </c:pt>
                <c:pt idx="189">
                  <c:v>2.8030510891776262E-12</c:v>
                </c:pt>
                <c:pt idx="190">
                  <c:v>2.8030510891776262E-12</c:v>
                </c:pt>
                <c:pt idx="191">
                  <c:v>2.8030510891776262E-12</c:v>
                </c:pt>
                <c:pt idx="192">
                  <c:v>2.8030510891776262E-12</c:v>
                </c:pt>
                <c:pt idx="193">
                  <c:v>2.8030510891776262E-12</c:v>
                </c:pt>
                <c:pt idx="194">
                  <c:v>2.8030510891776262E-12</c:v>
                </c:pt>
                <c:pt idx="195">
                  <c:v>2.8030510891776262E-12</c:v>
                </c:pt>
                <c:pt idx="196">
                  <c:v>2.8030510891776262E-12</c:v>
                </c:pt>
                <c:pt idx="197">
                  <c:v>2.8030510891776262E-12</c:v>
                </c:pt>
                <c:pt idx="198">
                  <c:v>2.8030510891776262E-12</c:v>
                </c:pt>
                <c:pt idx="199">
                  <c:v>2.8030510891776262E-12</c:v>
                </c:pt>
                <c:pt idx="200">
                  <c:v>2.8030510891776262E-12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2.2832237417933063</c:v>
                </c:pt>
                <c:pt idx="2">
                  <c:v>2.6028913722005647</c:v>
                </c:pt>
                <c:pt idx="3">
                  <c:v>2.967475287595617</c:v>
                </c:pt>
                <c:pt idx="4">
                  <c:v>3.3833079902291661</c:v>
                </c:pt>
                <c:pt idx="5">
                  <c:v>3.8576175953034837</c:v>
                </c:pt>
                <c:pt idx="6">
                  <c:v>4.3986548719335623</c:v>
                </c:pt>
                <c:pt idx="7">
                  <c:v>5.0158383537721276</c:v>
                </c:pt>
                <c:pt idx="8">
                  <c:v>5.719920095886426</c:v>
                </c:pt>
                <c:pt idx="9">
                  <c:v>6.5231750227195286</c:v>
                </c:pt>
                <c:pt idx="10">
                  <c:v>7.4396172329532817</c:v>
                </c:pt>
                <c:pt idx="11">
                  <c:v>8.4852471083817296</c:v>
                </c:pt>
                <c:pt idx="12">
                  <c:v>9.6783336241582294</c:v>
                </c:pt>
                <c:pt idx="13">
                  <c:v>11.03973688689625</c:v>
                </c:pt>
                <c:pt idx="14">
                  <c:v>12.593276646406482</c:v>
                </c:pt>
                <c:pt idx="15">
                  <c:v>14.366153349292938</c:v>
                </c:pt>
                <c:pt idx="16">
                  <c:v>16.389429243023422</c:v>
                </c:pt>
                <c:pt idx="17">
                  <c:v>18.698578114381068</c:v>
                </c:pt>
                <c:pt idx="18">
                  <c:v>21.334113475779002</c:v>
                </c:pt>
                <c:pt idx="19">
                  <c:v>24.342306418954028</c:v>
                </c:pt>
                <c:pt idx="20">
                  <c:v>27.776005963415486</c:v>
                </c:pt>
                <c:pt idx="21">
                  <c:v>31.69557656573016</c:v>
                </c:pt>
                <c:pt idx="22">
                  <c:v>36.169969558473291</c:v>
                </c:pt>
                <c:pt idx="23">
                  <c:v>41.277947692447448</c:v>
                </c:pt>
                <c:pt idx="24">
                  <c:v>47.109484706017014</c:v>
                </c:pt>
                <c:pt idx="25">
                  <c:v>53.767364990836569</c:v>
                </c:pt>
                <c:pt idx="26">
                  <c:v>62.111611813038422</c:v>
                </c:pt>
                <c:pt idx="27">
                  <c:v>70.426719200886225</c:v>
                </c:pt>
                <c:pt idx="28">
                  <c:v>78.716623217842255</c:v>
                </c:pt>
                <c:pt idx="29">
                  <c:v>86.98435916025754</c:v>
                </c:pt>
                <c:pt idx="30">
                  <c:v>95.232335887831638</c:v>
                </c:pt>
                <c:pt idx="31">
                  <c:v>103.80507195429509</c:v>
                </c:pt>
                <c:pt idx="32">
                  <c:v>112.36031128680618</c:v>
                </c:pt>
                <c:pt idx="33">
                  <c:v>120.89957623101223</c:v>
                </c:pt>
                <c:pt idx="34">
                  <c:v>129.42415599562852</c:v>
                </c:pt>
                <c:pt idx="35">
                  <c:v>137.935155713125</c:v>
                </c:pt>
                <c:pt idx="36">
                  <c:v>124.99313535308771</c:v>
                </c:pt>
                <c:pt idx="37">
                  <c:v>134.19192451868898</c:v>
                </c:pt>
                <c:pt idx="38">
                  <c:v>143.37551610986998</c:v>
                </c:pt>
                <c:pt idx="39">
                  <c:v>152.54502212010507</c:v>
                </c:pt>
                <c:pt idx="40">
                  <c:v>161.70140970029561</c:v>
                </c:pt>
                <c:pt idx="41">
                  <c:v>147.45253056632171</c:v>
                </c:pt>
                <c:pt idx="42">
                  <c:v>156.95523591038764</c:v>
                </c:pt>
                <c:pt idx="43">
                  <c:v>166.44428617991454</c:v>
                </c:pt>
                <c:pt idx="44">
                  <c:v>175.92057051227539</c:v>
                </c:pt>
                <c:pt idx="45">
                  <c:v>185.38487428970882</c:v>
                </c:pt>
                <c:pt idx="46">
                  <c:v>171.18397278750868</c:v>
                </c:pt>
                <c:pt idx="47">
                  <c:v>180.65417444870982</c:v>
                </c:pt>
                <c:pt idx="48">
                  <c:v>190.11275476660671</c:v>
                </c:pt>
                <c:pt idx="49">
                  <c:v>199.56037406867503</c:v>
                </c:pt>
                <c:pt idx="50">
                  <c:v>208.99762497430484</c:v>
                </c:pt>
                <c:pt idx="51">
                  <c:v>194.83789604306438</c:v>
                </c:pt>
                <c:pt idx="52">
                  <c:v>204.2802608972853</c:v>
                </c:pt>
                <c:pt idx="53">
                  <c:v>213.71253139667144</c:v>
                </c:pt>
                <c:pt idx="54">
                  <c:v>223.1352163160966</c:v>
                </c:pt>
                <c:pt idx="55">
                  <c:v>232.54877790391356</c:v>
                </c:pt>
                <c:pt idx="56">
                  <c:v>218.08851241049024</c:v>
                </c:pt>
                <c:pt idx="57">
                  <c:v>227.17069153766127</c:v>
                </c:pt>
                <c:pt idx="58">
                  <c:v>236.24455995422252</c:v>
                </c:pt>
                <c:pt idx="59">
                  <c:v>245.31048218883168</c:v>
                </c:pt>
                <c:pt idx="60">
                  <c:v>254.36879359828689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G204" sqref="G204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5</v>
      </c>
      <c r="C9" s="35">
        <v>0.10340000000000001</v>
      </c>
      <c r="D9" s="36">
        <f t="shared" ref="D9:D18" si="0">C9*$C$5</f>
        <v>0.41360000000000002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164</v>
      </c>
      <c r="C10" s="35">
        <v>3.4500000000000003E-2</v>
      </c>
      <c r="D10" s="36">
        <f t="shared" si="0"/>
        <v>0.13800000000000001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14</v>
      </c>
      <c r="C11" s="35">
        <v>0.70689999999999997</v>
      </c>
      <c r="D11" s="36">
        <f t="shared" si="0"/>
        <v>2.8275999999999999</v>
      </c>
      <c r="E11" s="37">
        <v>100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16</v>
      </c>
      <c r="C12" s="35">
        <v>3.4500000000000003E-2</v>
      </c>
      <c r="D12" s="36">
        <f t="shared" si="0"/>
        <v>0.13800000000000001</v>
      </c>
      <c r="E12" s="37">
        <v>100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25</v>
      </c>
      <c r="C13" s="35">
        <v>0.05</v>
      </c>
      <c r="D13" s="36">
        <f t="shared" si="0"/>
        <v>0.2</v>
      </c>
      <c r="E13" s="37">
        <v>60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156</v>
      </c>
      <c r="C14" s="35">
        <v>0.05</v>
      </c>
      <c r="D14" s="36">
        <f t="shared" si="0"/>
        <v>0.2</v>
      </c>
      <c r="E14" s="37">
        <v>60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29</v>
      </c>
      <c r="C15" s="35">
        <v>0.02</v>
      </c>
      <c r="D15" s="36">
        <f t="shared" si="0"/>
        <v>0.08</v>
      </c>
      <c r="E15" s="37">
        <v>60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0.99930000000000008</v>
      </c>
      <c r="D19" s="41">
        <f>SUM(D9:D18)</f>
        <v>3.9972000000000003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Bouleau verruqueux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15</v>
      </c>
      <c r="B36" s="63">
        <v>37</v>
      </c>
      <c r="C36" s="63">
        <v>1</v>
      </c>
      <c r="D36" s="63">
        <v>15</v>
      </c>
      <c r="E36" s="54">
        <v>0</v>
      </c>
      <c r="F36" s="54"/>
      <c r="G36" s="54"/>
      <c r="H36" s="54">
        <v>1</v>
      </c>
      <c r="I36" s="52">
        <f>IFERROR(B36/A36,"")</f>
        <v>2.4666666666666668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20</v>
      </c>
      <c r="B37" s="63">
        <v>80</v>
      </c>
      <c r="C37" s="63">
        <v>2</v>
      </c>
      <c r="D37" s="63">
        <v>28</v>
      </c>
      <c r="E37" s="54">
        <v>0</v>
      </c>
      <c r="F37" s="54"/>
      <c r="G37" s="54"/>
      <c r="H37" s="54">
        <v>1</v>
      </c>
      <c r="I37" s="56">
        <f t="shared" ref="I37:I55" si="1">IF(A37&lt;&gt;0,(B37-(B36-D36))/(A37-A36),"")</f>
        <v>11.6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25</v>
      </c>
      <c r="B38" s="63">
        <v>115</v>
      </c>
      <c r="C38" s="63">
        <v>3</v>
      </c>
      <c r="D38" s="63">
        <v>28</v>
      </c>
      <c r="E38" s="54">
        <v>0</v>
      </c>
      <c r="F38" s="54"/>
      <c r="G38" s="54"/>
      <c r="H38" s="54">
        <v>1</v>
      </c>
      <c r="I38" s="56">
        <f t="shared" si="1"/>
        <v>12.6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146</v>
      </c>
      <c r="C39" s="63">
        <v>4</v>
      </c>
      <c r="D39" s="63">
        <v>28</v>
      </c>
      <c r="E39" s="54">
        <v>0.2</v>
      </c>
      <c r="F39" s="54"/>
      <c r="G39" s="54"/>
      <c r="H39" s="54">
        <v>0.8</v>
      </c>
      <c r="I39" s="52">
        <f t="shared" si="1"/>
        <v>11.8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35</v>
      </c>
      <c r="B40" s="63">
        <v>172</v>
      </c>
      <c r="C40" s="63">
        <v>5</v>
      </c>
      <c r="D40" s="63">
        <v>28</v>
      </c>
      <c r="E40" s="54">
        <v>0.2</v>
      </c>
      <c r="F40" s="54"/>
      <c r="G40" s="54"/>
      <c r="H40" s="54">
        <v>0.8</v>
      </c>
      <c r="I40" s="52">
        <f t="shared" si="1"/>
        <v>10.8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40</v>
      </c>
      <c r="B41" s="63">
        <v>192</v>
      </c>
      <c r="C41" s="63">
        <v>6</v>
      </c>
      <c r="D41" s="63">
        <v>28</v>
      </c>
      <c r="E41" s="54">
        <v>0.4</v>
      </c>
      <c r="F41" s="54"/>
      <c r="G41" s="54"/>
      <c r="H41" s="54">
        <v>0.6</v>
      </c>
      <c r="I41" s="56">
        <f t="shared" si="1"/>
        <v>9.6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45</v>
      </c>
      <c r="B42" s="63">
        <v>205</v>
      </c>
      <c r="C42" s="63">
        <v>7</v>
      </c>
      <c r="D42" s="63">
        <v>22</v>
      </c>
      <c r="E42" s="54">
        <v>0.6</v>
      </c>
      <c r="F42" s="54"/>
      <c r="G42" s="54"/>
      <c r="H42" s="54">
        <v>0.4</v>
      </c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50</v>
      </c>
      <c r="B43" s="63">
        <v>219</v>
      </c>
      <c r="C43" s="63">
        <v>8</v>
      </c>
      <c r="D43" s="63">
        <v>17</v>
      </c>
      <c r="E43" s="54">
        <v>0.8</v>
      </c>
      <c r="F43" s="54"/>
      <c r="G43" s="54"/>
      <c r="H43" s="54">
        <v>0.2</v>
      </c>
      <c r="I43" s="52">
        <f t="shared" si="1"/>
        <v>7.2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55</v>
      </c>
      <c r="B44" s="63">
        <v>232</v>
      </c>
      <c r="C44" s="63">
        <v>9</v>
      </c>
      <c r="D44" s="63">
        <v>13</v>
      </c>
      <c r="E44" s="54">
        <v>0.8</v>
      </c>
      <c r="F44" s="54"/>
      <c r="G44" s="54"/>
      <c r="H44" s="54">
        <v>0.2</v>
      </c>
      <c r="I44" s="52">
        <f t="shared" si="1"/>
        <v>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60</v>
      </c>
      <c r="B45" s="63">
        <v>245</v>
      </c>
      <c r="C45" s="63">
        <v>10</v>
      </c>
      <c r="D45" s="63">
        <v>245</v>
      </c>
      <c r="E45" s="54">
        <v>0.9</v>
      </c>
      <c r="F45" s="54"/>
      <c r="G45" s="54"/>
      <c r="H45" s="54">
        <v>0.1</v>
      </c>
      <c r="I45" s="52">
        <f t="shared" si="1"/>
        <v>5.2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30</v>
      </c>
      <c r="B62" s="63">
        <v>170</v>
      </c>
      <c r="C62" s="63">
        <v>1</v>
      </c>
      <c r="D62" s="63">
        <v>40</v>
      </c>
      <c r="E62" s="54">
        <v>0.3</v>
      </c>
      <c r="F62" s="54">
        <v>0.39</v>
      </c>
      <c r="G62" s="54">
        <v>0.31</v>
      </c>
      <c r="H62" s="54"/>
      <c r="I62" s="56">
        <f>IFERROR(B62/A62,"")</f>
        <v>5.666666666666667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40</v>
      </c>
      <c r="B63" s="63">
        <v>230</v>
      </c>
      <c r="C63" s="63">
        <v>2</v>
      </c>
      <c r="D63" s="63">
        <v>40</v>
      </c>
      <c r="E63" s="54">
        <v>0.5</v>
      </c>
      <c r="F63" s="54">
        <v>0.28000000000000003</v>
      </c>
      <c r="G63" s="54">
        <v>0.22</v>
      </c>
      <c r="H63" s="54"/>
      <c r="I63" s="52">
        <f>IF(A63&lt;&gt;0,(B63-(B62-D62))/(A63-A62),"")</f>
        <v>10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50</v>
      </c>
      <c r="B64" s="63">
        <v>290</v>
      </c>
      <c r="C64" s="63">
        <v>3</v>
      </c>
      <c r="D64" s="63">
        <v>40</v>
      </c>
      <c r="E64" s="54">
        <v>0.7</v>
      </c>
      <c r="F64" s="54">
        <v>0.17</v>
      </c>
      <c r="G64" s="54">
        <v>0.13</v>
      </c>
      <c r="H64" s="54"/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60</v>
      </c>
      <c r="B65" s="63">
        <v>350</v>
      </c>
      <c r="C65" s="63">
        <v>4</v>
      </c>
      <c r="D65" s="63">
        <v>350</v>
      </c>
      <c r="E65" s="54">
        <v>0.9</v>
      </c>
      <c r="F65" s="54">
        <v>0.06</v>
      </c>
      <c r="G65" s="54">
        <v>0.04</v>
      </c>
      <c r="H65" s="54"/>
      <c r="I65" s="52">
        <f>IF(A65&lt;&gt;0,(B65-(B64-D64))/(A65-A64),"")</f>
        <v>10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v>73</v>
      </c>
      <c r="C88" s="63">
        <v>1</v>
      </c>
      <c r="D88" s="63">
        <v>6</v>
      </c>
      <c r="E88" s="54">
        <v>0</v>
      </c>
      <c r="F88" s="54"/>
      <c r="G88" s="54"/>
      <c r="H88" s="93">
        <v>1</v>
      </c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3">
        <v>103</v>
      </c>
      <c r="C89" s="63">
        <v>2</v>
      </c>
      <c r="D89" s="63">
        <v>28</v>
      </c>
      <c r="E89" s="54">
        <v>0</v>
      </c>
      <c r="F89" s="54"/>
      <c r="G89" s="54"/>
      <c r="H89" s="93">
        <v>1</v>
      </c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v>121</v>
      </c>
      <c r="C90" s="63">
        <v>3</v>
      </c>
      <c r="D90" s="63">
        <v>28</v>
      </c>
      <c r="E90" s="93">
        <v>0</v>
      </c>
      <c r="F90" s="93"/>
      <c r="G90" s="93"/>
      <c r="H90" s="93">
        <v>1</v>
      </c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3">
        <v>147</v>
      </c>
      <c r="C91" s="63">
        <v>4</v>
      </c>
      <c r="D91" s="63">
        <v>28</v>
      </c>
      <c r="E91" s="93">
        <v>0.2</v>
      </c>
      <c r="F91" s="93"/>
      <c r="G91" s="93"/>
      <c r="H91" s="93">
        <v>0.8</v>
      </c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3">
        <v>175</v>
      </c>
      <c r="C92" s="63">
        <v>5</v>
      </c>
      <c r="D92" s="63">
        <v>28</v>
      </c>
      <c r="E92" s="93">
        <v>0.2</v>
      </c>
      <c r="F92" s="93"/>
      <c r="G92" s="93"/>
      <c r="H92" s="93">
        <v>0.8</v>
      </c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3">
        <v>204</v>
      </c>
      <c r="C93" s="63">
        <v>6</v>
      </c>
      <c r="D93" s="63">
        <v>28</v>
      </c>
      <c r="E93" s="93">
        <v>0.2</v>
      </c>
      <c r="F93" s="93"/>
      <c r="G93" s="93"/>
      <c r="H93" s="93">
        <v>0.8</v>
      </c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3">
        <v>231</v>
      </c>
      <c r="C94" s="63">
        <v>7</v>
      </c>
      <c r="D94" s="63">
        <v>28</v>
      </c>
      <c r="E94" s="93">
        <v>0.4</v>
      </c>
      <c r="F94" s="93"/>
      <c r="G94" s="93"/>
      <c r="H94" s="93">
        <v>0.6</v>
      </c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55</v>
      </c>
      <c r="B95" s="63">
        <v>254</v>
      </c>
      <c r="C95" s="63">
        <v>8</v>
      </c>
      <c r="D95" s="63">
        <v>28</v>
      </c>
      <c r="E95" s="93">
        <v>0.4</v>
      </c>
      <c r="F95" s="93"/>
      <c r="G95" s="93"/>
      <c r="H95" s="93">
        <v>0.6</v>
      </c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60</v>
      </c>
      <c r="B96" s="63">
        <v>273</v>
      </c>
      <c r="C96" s="63">
        <v>9</v>
      </c>
      <c r="D96" s="63">
        <v>28</v>
      </c>
      <c r="E96" s="93">
        <v>0.4</v>
      </c>
      <c r="F96" s="93"/>
      <c r="G96" s="93"/>
      <c r="H96" s="93">
        <v>0.6</v>
      </c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65</v>
      </c>
      <c r="B97" s="63">
        <v>289</v>
      </c>
      <c r="C97" s="63">
        <v>10</v>
      </c>
      <c r="D97" s="63">
        <v>28</v>
      </c>
      <c r="E97" s="93">
        <v>0.6</v>
      </c>
      <c r="F97" s="93"/>
      <c r="G97" s="93"/>
      <c r="H97" s="93">
        <v>0.4</v>
      </c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70</v>
      </c>
      <c r="B98" s="63">
        <v>302</v>
      </c>
      <c r="C98" s="63">
        <v>11</v>
      </c>
      <c r="D98" s="63">
        <v>28</v>
      </c>
      <c r="E98" s="93">
        <v>0.6</v>
      </c>
      <c r="F98" s="93"/>
      <c r="G98" s="93"/>
      <c r="H98" s="93">
        <v>0.4</v>
      </c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75</v>
      </c>
      <c r="B99" s="63">
        <v>312</v>
      </c>
      <c r="C99" s="63">
        <v>12</v>
      </c>
      <c r="D99" s="63">
        <v>28</v>
      </c>
      <c r="E99" s="93">
        <v>0.6</v>
      </c>
      <c r="F99" s="93"/>
      <c r="G99" s="93"/>
      <c r="H99" s="93">
        <v>0.4</v>
      </c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80</v>
      </c>
      <c r="B100" s="63">
        <v>320</v>
      </c>
      <c r="C100" s="63">
        <v>13</v>
      </c>
      <c r="D100" s="63">
        <v>28</v>
      </c>
      <c r="E100" s="68">
        <v>0.8</v>
      </c>
      <c r="F100" s="68"/>
      <c r="G100" s="68"/>
      <c r="H100" s="68">
        <v>0.2</v>
      </c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85</v>
      </c>
      <c r="B101" s="63">
        <v>326</v>
      </c>
      <c r="C101" s="63">
        <v>14</v>
      </c>
      <c r="D101" s="63">
        <v>28</v>
      </c>
      <c r="E101" s="68">
        <v>0.8</v>
      </c>
      <c r="F101" s="68"/>
      <c r="G101" s="68"/>
      <c r="H101" s="68">
        <v>0.2</v>
      </c>
      <c r="I101" s="56">
        <f t="shared" si="3"/>
        <v>6.8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>
        <v>90</v>
      </c>
      <c r="B102" s="53">
        <v>330</v>
      </c>
      <c r="C102" s="63">
        <v>15</v>
      </c>
      <c r="D102" s="53">
        <v>28</v>
      </c>
      <c r="E102" s="57">
        <v>0.8</v>
      </c>
      <c r="F102" s="57"/>
      <c r="G102" s="57"/>
      <c r="H102" s="57">
        <v>0.2</v>
      </c>
      <c r="I102" s="56">
        <f t="shared" si="3"/>
        <v>6.4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>
        <v>95</v>
      </c>
      <c r="B103" s="53">
        <v>333</v>
      </c>
      <c r="C103" s="63">
        <v>16</v>
      </c>
      <c r="D103" s="53">
        <v>27</v>
      </c>
      <c r="E103" s="57">
        <v>0.9</v>
      </c>
      <c r="F103" s="57"/>
      <c r="G103" s="57"/>
      <c r="H103" s="57">
        <v>0.1</v>
      </c>
      <c r="I103" s="56">
        <f t="shared" si="3"/>
        <v>6.2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>
        <v>100</v>
      </c>
      <c r="B104" s="53">
        <v>333</v>
      </c>
      <c r="C104" s="63">
        <v>17</v>
      </c>
      <c r="D104" s="53">
        <v>333</v>
      </c>
      <c r="E104" s="57">
        <v>0.9</v>
      </c>
      <c r="F104" s="57"/>
      <c r="G104" s="57"/>
      <c r="H104" s="57">
        <v>0.1</v>
      </c>
      <c r="I104" s="56">
        <f t="shared" si="3"/>
        <v>5.4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Chêne vert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v>73</v>
      </c>
      <c r="C114" s="53">
        <v>1</v>
      </c>
      <c r="D114" s="63">
        <v>6</v>
      </c>
      <c r="E114" s="54">
        <v>0</v>
      </c>
      <c r="F114" s="54"/>
      <c r="G114" s="54"/>
      <c r="H114" s="54">
        <v>1</v>
      </c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3">
        <v>103</v>
      </c>
      <c r="C115" s="53">
        <v>2</v>
      </c>
      <c r="D115" s="63">
        <v>28</v>
      </c>
      <c r="E115" s="54">
        <v>0</v>
      </c>
      <c r="F115" s="54"/>
      <c r="G115" s="54"/>
      <c r="H115" s="54">
        <v>1</v>
      </c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3">
        <v>121</v>
      </c>
      <c r="C116" s="53">
        <v>3</v>
      </c>
      <c r="D116" s="63">
        <v>28</v>
      </c>
      <c r="E116" s="54">
        <v>0</v>
      </c>
      <c r="F116" s="54"/>
      <c r="G116" s="54"/>
      <c r="H116" s="54">
        <v>1</v>
      </c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3">
        <v>147</v>
      </c>
      <c r="C117" s="53">
        <v>4</v>
      </c>
      <c r="D117" s="63">
        <v>28</v>
      </c>
      <c r="E117" s="54">
        <v>0.2</v>
      </c>
      <c r="F117" s="54"/>
      <c r="G117" s="54"/>
      <c r="H117" s="54">
        <v>0.8</v>
      </c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3">
        <v>175</v>
      </c>
      <c r="C118" s="53">
        <v>5</v>
      </c>
      <c r="D118" s="63">
        <v>28</v>
      </c>
      <c r="E118" s="54">
        <v>0.2</v>
      </c>
      <c r="F118" s="54"/>
      <c r="G118" s="54"/>
      <c r="H118" s="54">
        <v>0.8</v>
      </c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3">
        <v>204</v>
      </c>
      <c r="C119" s="53">
        <v>6</v>
      </c>
      <c r="D119" s="63">
        <v>28</v>
      </c>
      <c r="E119" s="54">
        <v>0.2</v>
      </c>
      <c r="F119" s="54"/>
      <c r="G119" s="54"/>
      <c r="H119" s="54">
        <v>0.8</v>
      </c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50</v>
      </c>
      <c r="B120" s="63">
        <v>231</v>
      </c>
      <c r="C120" s="63">
        <v>7</v>
      </c>
      <c r="D120" s="63">
        <v>28</v>
      </c>
      <c r="E120" s="93">
        <v>0.4</v>
      </c>
      <c r="F120" s="93"/>
      <c r="G120" s="93"/>
      <c r="H120" s="93">
        <v>0.6</v>
      </c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55</v>
      </c>
      <c r="B121" s="63">
        <v>254</v>
      </c>
      <c r="C121" s="63">
        <v>8</v>
      </c>
      <c r="D121" s="63">
        <v>28</v>
      </c>
      <c r="E121" s="93">
        <v>0.4</v>
      </c>
      <c r="F121" s="93"/>
      <c r="G121" s="93"/>
      <c r="H121" s="93">
        <v>0.6</v>
      </c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60</v>
      </c>
      <c r="B122" s="63">
        <v>273</v>
      </c>
      <c r="C122" s="63">
        <v>9</v>
      </c>
      <c r="D122" s="63">
        <v>28</v>
      </c>
      <c r="E122" s="93">
        <v>0.4</v>
      </c>
      <c r="F122" s="93"/>
      <c r="G122" s="93"/>
      <c r="H122" s="93">
        <v>0.6</v>
      </c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65</v>
      </c>
      <c r="B123" s="63">
        <v>289</v>
      </c>
      <c r="C123" s="63">
        <v>10</v>
      </c>
      <c r="D123" s="63">
        <v>28</v>
      </c>
      <c r="E123" s="93">
        <v>0.6</v>
      </c>
      <c r="F123" s="93"/>
      <c r="G123" s="93"/>
      <c r="H123" s="93">
        <v>0.4</v>
      </c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70</v>
      </c>
      <c r="B124" s="63">
        <v>302</v>
      </c>
      <c r="C124" s="63">
        <v>11</v>
      </c>
      <c r="D124" s="63">
        <v>28</v>
      </c>
      <c r="E124" s="93">
        <v>0.6</v>
      </c>
      <c r="F124" s="93"/>
      <c r="G124" s="93"/>
      <c r="H124" s="93">
        <v>0.4</v>
      </c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75</v>
      </c>
      <c r="B125" s="63">
        <v>312</v>
      </c>
      <c r="C125" s="63">
        <v>12</v>
      </c>
      <c r="D125" s="63">
        <v>28</v>
      </c>
      <c r="E125" s="93">
        <v>0.6</v>
      </c>
      <c r="F125" s="93"/>
      <c r="G125" s="93"/>
      <c r="H125" s="93">
        <v>0.4</v>
      </c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>
        <v>80</v>
      </c>
      <c r="B126" s="63">
        <v>320</v>
      </c>
      <c r="C126" s="63">
        <v>13</v>
      </c>
      <c r="D126" s="63">
        <v>28</v>
      </c>
      <c r="E126" s="68">
        <v>0.8</v>
      </c>
      <c r="F126" s="68"/>
      <c r="G126" s="68"/>
      <c r="H126" s="68">
        <v>0.2</v>
      </c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>
        <v>85</v>
      </c>
      <c r="B127" s="63">
        <v>326</v>
      </c>
      <c r="C127" s="63">
        <v>14</v>
      </c>
      <c r="D127" s="63">
        <v>28</v>
      </c>
      <c r="E127" s="68">
        <v>0.8</v>
      </c>
      <c r="F127" s="68"/>
      <c r="G127" s="68"/>
      <c r="H127" s="68">
        <v>0.2</v>
      </c>
      <c r="I127" s="56">
        <f t="shared" si="4"/>
        <v>6.8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90</v>
      </c>
      <c r="B128" s="53">
        <v>330</v>
      </c>
      <c r="C128" s="53">
        <v>15</v>
      </c>
      <c r="D128" s="53">
        <v>28</v>
      </c>
      <c r="E128" s="57">
        <v>0.8</v>
      </c>
      <c r="F128" s="57"/>
      <c r="G128" s="57"/>
      <c r="H128" s="57">
        <v>0.2</v>
      </c>
      <c r="I128" s="56">
        <f t="shared" si="4"/>
        <v>6.4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95</v>
      </c>
      <c r="B129" s="53">
        <v>333</v>
      </c>
      <c r="C129" s="53">
        <v>16</v>
      </c>
      <c r="D129" s="53">
        <v>27</v>
      </c>
      <c r="E129" s="57">
        <v>0.9</v>
      </c>
      <c r="F129" s="57"/>
      <c r="G129" s="57"/>
      <c r="H129" s="57">
        <v>0.1</v>
      </c>
      <c r="I129" s="56">
        <f t="shared" si="4"/>
        <v>6.2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100</v>
      </c>
      <c r="B130" s="53">
        <v>333</v>
      </c>
      <c r="C130" s="53">
        <v>17</v>
      </c>
      <c r="D130" s="53">
        <v>333</v>
      </c>
      <c r="E130" s="57">
        <v>0.9</v>
      </c>
      <c r="F130" s="57"/>
      <c r="G130" s="57"/>
      <c r="H130" s="57">
        <v>0.1</v>
      </c>
      <c r="I130" s="56">
        <f t="shared" si="4"/>
        <v>5.4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Hêtre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25</v>
      </c>
      <c r="B140" s="63">
        <v>40</v>
      </c>
      <c r="C140" s="53">
        <v>1</v>
      </c>
      <c r="D140" s="63">
        <v>0</v>
      </c>
      <c r="E140" s="54">
        <v>0</v>
      </c>
      <c r="F140" s="54"/>
      <c r="G140" s="54"/>
      <c r="H140" s="54">
        <v>1</v>
      </c>
      <c r="I140" s="60">
        <f>IFERROR(B140/A140,"")</f>
        <v>1.6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30</v>
      </c>
      <c r="B141" s="63">
        <v>73</v>
      </c>
      <c r="C141" s="53">
        <v>2</v>
      </c>
      <c r="D141" s="63">
        <v>12</v>
      </c>
      <c r="E141" s="54">
        <v>0.2</v>
      </c>
      <c r="F141" s="54"/>
      <c r="G141" s="54"/>
      <c r="H141" s="54">
        <v>0.8</v>
      </c>
      <c r="I141" s="60">
        <f t="shared" ref="I141:I159" si="5">IF(A141&lt;&gt;0,(B141-(B140-D140))/(A141-A140),"")</f>
        <v>6.6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35</v>
      </c>
      <c r="B142" s="63">
        <v>97</v>
      </c>
      <c r="C142" s="53">
        <v>3</v>
      </c>
      <c r="D142" s="63">
        <v>21</v>
      </c>
      <c r="E142" s="54">
        <v>0.2</v>
      </c>
      <c r="F142" s="54"/>
      <c r="G142" s="54"/>
      <c r="H142" s="54">
        <v>0.8</v>
      </c>
      <c r="I142" s="60">
        <f t="shared" si="5"/>
        <v>7.2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40</v>
      </c>
      <c r="B143" s="63">
        <v>115</v>
      </c>
      <c r="C143" s="53">
        <v>4</v>
      </c>
      <c r="D143" s="63">
        <v>21</v>
      </c>
      <c r="E143" s="54">
        <v>0.4</v>
      </c>
      <c r="F143" s="54"/>
      <c r="G143" s="54"/>
      <c r="H143" s="54">
        <v>0.6</v>
      </c>
      <c r="I143" s="60">
        <f t="shared" si="5"/>
        <v>7.8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45</v>
      </c>
      <c r="B144" s="63">
        <v>134</v>
      </c>
      <c r="C144" s="53">
        <v>5</v>
      </c>
      <c r="D144" s="63">
        <v>21</v>
      </c>
      <c r="E144" s="54">
        <v>0.4</v>
      </c>
      <c r="F144" s="54"/>
      <c r="G144" s="54"/>
      <c r="H144" s="54">
        <v>0.6</v>
      </c>
      <c r="I144" s="60">
        <f t="shared" si="5"/>
        <v>8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50</v>
      </c>
      <c r="B145" s="63">
        <v>154</v>
      </c>
      <c r="C145" s="53">
        <v>6</v>
      </c>
      <c r="D145" s="63">
        <v>21</v>
      </c>
      <c r="E145" s="54">
        <v>0.6</v>
      </c>
      <c r="F145" s="54"/>
      <c r="G145" s="54"/>
      <c r="H145" s="54">
        <v>0.4</v>
      </c>
      <c r="I145" s="60">
        <f t="shared" si="5"/>
        <v>8.1999999999999993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55</v>
      </c>
      <c r="B146" s="63">
        <v>176</v>
      </c>
      <c r="C146" s="53">
        <v>7</v>
      </c>
      <c r="D146" s="63">
        <v>21</v>
      </c>
      <c r="E146" s="54">
        <v>0.8</v>
      </c>
      <c r="F146" s="54"/>
      <c r="G146" s="54"/>
      <c r="H146" s="54">
        <v>0.2</v>
      </c>
      <c r="I146" s="60">
        <f t="shared" si="5"/>
        <v>8.6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60</v>
      </c>
      <c r="B147" s="63">
        <v>197</v>
      </c>
      <c r="C147" s="53">
        <v>8</v>
      </c>
      <c r="D147" s="63">
        <v>197</v>
      </c>
      <c r="E147" s="54">
        <v>0.9</v>
      </c>
      <c r="F147" s="54"/>
      <c r="G147" s="54"/>
      <c r="H147" s="54">
        <v>0.1</v>
      </c>
      <c r="I147" s="60">
        <f>IF(A147&lt;&gt;0,(B147-(B146-D146))/(A147-A146),"")</f>
        <v>8.4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Séquoia toujours vert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15</v>
      </c>
      <c r="B166" s="63">
        <v>40</v>
      </c>
      <c r="C166" s="63">
        <v>1</v>
      </c>
      <c r="D166" s="63">
        <v>0</v>
      </c>
      <c r="E166" s="54">
        <v>0</v>
      </c>
      <c r="F166" s="54">
        <v>0.56000000000000005</v>
      </c>
      <c r="G166" s="54">
        <v>0.44</v>
      </c>
      <c r="H166" s="54"/>
      <c r="I166" s="52">
        <f>IFERROR(B166/A166,"")</f>
        <v>2.6666666666666665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20</v>
      </c>
      <c r="B167" s="63">
        <v>147</v>
      </c>
      <c r="C167" s="63">
        <v>2</v>
      </c>
      <c r="D167" s="63">
        <v>45</v>
      </c>
      <c r="E167" s="54">
        <v>0</v>
      </c>
      <c r="F167" s="54">
        <v>0.56000000000000005</v>
      </c>
      <c r="G167" s="54">
        <v>0.44</v>
      </c>
      <c r="H167" s="54"/>
      <c r="I167" s="52">
        <f t="shared" ref="I167:I185" si="6">IF(A167&lt;&gt;0,(B167-(B166-D166))/(A167-A166),"")</f>
        <v>21.4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25</v>
      </c>
      <c r="B168" s="63">
        <v>242</v>
      </c>
      <c r="C168" s="63">
        <v>3</v>
      </c>
      <c r="D168" s="63">
        <v>70</v>
      </c>
      <c r="E168" s="54">
        <v>0</v>
      </c>
      <c r="F168" s="54">
        <v>0.56000000000000005</v>
      </c>
      <c r="G168" s="54">
        <v>0.44</v>
      </c>
      <c r="H168" s="54"/>
      <c r="I168" s="52">
        <f t="shared" si="6"/>
        <v>28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30</v>
      </c>
      <c r="B169" s="63">
        <v>328</v>
      </c>
      <c r="C169" s="63">
        <v>4</v>
      </c>
      <c r="D169" s="63">
        <v>70</v>
      </c>
      <c r="E169" s="54">
        <v>0.2</v>
      </c>
      <c r="F169" s="54">
        <f>(1-E169)*56%</f>
        <v>0.44800000000000006</v>
      </c>
      <c r="G169" s="54">
        <f>(1-E169)*44%</f>
        <v>0.35200000000000004</v>
      </c>
      <c r="H169" s="54"/>
      <c r="I169" s="52">
        <f t="shared" si="6"/>
        <v>31.2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35</v>
      </c>
      <c r="B170" s="63">
        <v>415</v>
      </c>
      <c r="C170" s="63">
        <v>5</v>
      </c>
      <c r="D170" s="63">
        <v>70</v>
      </c>
      <c r="E170" s="54">
        <v>0.2</v>
      </c>
      <c r="F170" s="54">
        <v>0.45</v>
      </c>
      <c r="G170" s="54">
        <v>0.35</v>
      </c>
      <c r="H170" s="54"/>
      <c r="I170" s="52">
        <f t="shared" si="6"/>
        <v>31.4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40</v>
      </c>
      <c r="B171" s="63">
        <v>491</v>
      </c>
      <c r="C171" s="63">
        <v>6</v>
      </c>
      <c r="D171" s="63">
        <v>70</v>
      </c>
      <c r="E171" s="54">
        <v>0.4</v>
      </c>
      <c r="F171" s="54">
        <f>(1-E171)*56%</f>
        <v>0.33600000000000002</v>
      </c>
      <c r="G171" s="54">
        <f>(1-E171)*44%</f>
        <v>0.26400000000000001</v>
      </c>
      <c r="H171" s="54"/>
      <c r="I171" s="52">
        <f t="shared" si="6"/>
        <v>29.2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45</v>
      </c>
      <c r="B172" s="63">
        <v>552</v>
      </c>
      <c r="C172" s="63">
        <v>7</v>
      </c>
      <c r="D172" s="63">
        <v>60</v>
      </c>
      <c r="E172" s="54">
        <v>0.4</v>
      </c>
      <c r="F172" s="54">
        <v>0.34</v>
      </c>
      <c r="G172" s="54">
        <v>0.26</v>
      </c>
      <c r="H172" s="54"/>
      <c r="I172" s="52">
        <f t="shared" si="6"/>
        <v>26.2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50</v>
      </c>
      <c r="B173" s="53">
        <v>610</v>
      </c>
      <c r="C173" s="53">
        <v>8</v>
      </c>
      <c r="D173" s="53">
        <v>51</v>
      </c>
      <c r="E173" s="54">
        <v>0.6</v>
      </c>
      <c r="F173" s="54">
        <f>(1-E173)*56%</f>
        <v>0.22400000000000003</v>
      </c>
      <c r="G173" s="54">
        <f>(1-E173)*44%</f>
        <v>0.17600000000000002</v>
      </c>
      <c r="H173" s="54"/>
      <c r="I173" s="52">
        <f t="shared" si="6"/>
        <v>23.6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55</v>
      </c>
      <c r="B174" s="53">
        <v>664</v>
      </c>
      <c r="C174" s="53">
        <v>9</v>
      </c>
      <c r="D174" s="53">
        <v>44</v>
      </c>
      <c r="E174" s="54">
        <v>0.8</v>
      </c>
      <c r="F174" s="54">
        <f>(1-E174)*56%</f>
        <v>0.11199999999999999</v>
      </c>
      <c r="G174" s="54">
        <v>0.09</v>
      </c>
      <c r="H174" s="54"/>
      <c r="I174" s="52">
        <f t="shared" si="6"/>
        <v>21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60</v>
      </c>
      <c r="B175" s="53">
        <v>711</v>
      </c>
      <c r="C175" s="53">
        <v>10</v>
      </c>
      <c r="D175" s="53">
        <v>711</v>
      </c>
      <c r="E175" s="54">
        <v>0.9</v>
      </c>
      <c r="F175" s="54">
        <f>(1-E175)*56%</f>
        <v>5.5999999999999994E-2</v>
      </c>
      <c r="G175" s="54">
        <v>0.04</v>
      </c>
      <c r="H175" s="54"/>
      <c r="I175" s="52">
        <f t="shared" si="6"/>
        <v>18.2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Merisier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25</v>
      </c>
      <c r="B192" s="63">
        <v>30</v>
      </c>
      <c r="C192" s="63">
        <v>1</v>
      </c>
      <c r="D192" s="63">
        <v>0</v>
      </c>
      <c r="E192" s="54">
        <v>0</v>
      </c>
      <c r="F192" s="54"/>
      <c r="G192" s="54"/>
      <c r="H192" s="54">
        <v>1</v>
      </c>
      <c r="I192" s="52">
        <f>IFERROR(B192/A192,"")</f>
        <v>1.2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30</v>
      </c>
      <c r="B193" s="63">
        <v>54</v>
      </c>
      <c r="C193" s="63">
        <v>2</v>
      </c>
      <c r="D193" s="63">
        <v>0</v>
      </c>
      <c r="E193" s="54">
        <v>0</v>
      </c>
      <c r="F193" s="54"/>
      <c r="G193" s="54"/>
      <c r="H193" s="54">
        <v>1</v>
      </c>
      <c r="I193" s="52">
        <f t="shared" ref="I193:I211" si="7">IF(A193&lt;&gt;0,(B193-(B192-D192))/(A193-A192),"")</f>
        <v>4.8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35</v>
      </c>
      <c r="B194" s="63">
        <v>79</v>
      </c>
      <c r="C194" s="63">
        <v>3</v>
      </c>
      <c r="D194" s="63">
        <v>13</v>
      </c>
      <c r="E194" s="54">
        <v>0.2</v>
      </c>
      <c r="F194" s="54"/>
      <c r="G194" s="54"/>
      <c r="H194" s="54">
        <v>0.8</v>
      </c>
      <c r="I194" s="52">
        <f t="shared" si="7"/>
        <v>5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40</v>
      </c>
      <c r="B195" s="63">
        <v>93</v>
      </c>
      <c r="C195" s="63">
        <v>4</v>
      </c>
      <c r="D195" s="63">
        <v>14</v>
      </c>
      <c r="E195" s="54">
        <v>0.4</v>
      </c>
      <c r="F195" s="54"/>
      <c r="G195" s="54"/>
      <c r="H195" s="54">
        <v>0.6</v>
      </c>
      <c r="I195" s="52">
        <f t="shared" si="7"/>
        <v>5.4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45</v>
      </c>
      <c r="B196" s="63">
        <v>107</v>
      </c>
      <c r="C196" s="63">
        <v>5</v>
      </c>
      <c r="D196" s="63">
        <v>14</v>
      </c>
      <c r="E196" s="54">
        <v>0.6</v>
      </c>
      <c r="F196" s="54"/>
      <c r="G196" s="54"/>
      <c r="H196" s="54">
        <v>0.4</v>
      </c>
      <c r="I196" s="52">
        <f t="shared" si="7"/>
        <v>5.6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50</v>
      </c>
      <c r="B197" s="63">
        <v>121</v>
      </c>
      <c r="C197" s="63">
        <v>6</v>
      </c>
      <c r="D197" s="63">
        <v>14</v>
      </c>
      <c r="E197" s="54">
        <v>0.8</v>
      </c>
      <c r="F197" s="54"/>
      <c r="G197" s="54"/>
      <c r="H197" s="54">
        <v>0.2</v>
      </c>
      <c r="I197" s="52">
        <f t="shared" si="7"/>
        <v>5.6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55</v>
      </c>
      <c r="B198" s="63">
        <v>135</v>
      </c>
      <c r="C198" s="63">
        <v>7</v>
      </c>
      <c r="D198" s="63">
        <v>14</v>
      </c>
      <c r="E198" s="54">
        <v>0.8</v>
      </c>
      <c r="F198" s="54"/>
      <c r="G198" s="54"/>
      <c r="H198" s="54">
        <v>0.2</v>
      </c>
      <c r="I198" s="52">
        <f t="shared" si="7"/>
        <v>5.6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60</v>
      </c>
      <c r="B199" s="53">
        <v>148</v>
      </c>
      <c r="C199" s="53">
        <v>8</v>
      </c>
      <c r="D199" s="53">
        <v>148</v>
      </c>
      <c r="E199" s="54">
        <v>0.9</v>
      </c>
      <c r="F199" s="54"/>
      <c r="G199" s="54"/>
      <c r="H199" s="54">
        <v>0.1</v>
      </c>
      <c r="I199" s="52">
        <f t="shared" si="7"/>
        <v>5.4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Bouleau verruqueux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sessile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vert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Hêtre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Séquoia toujours vert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Merisier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259.10606516000064</v>
      </c>
      <c r="T3" s="62">
        <f>IF('Données projet'!E9&gt;30,$R$33-$H$33,LOOKUP('Données projet'!$E$9,$A$3:$A$203,R3:R203)-LOOKUP('Données projet'!$E$9,$A$3:$A$203,$H$3:$H$203))</f>
        <v>316.57989180609252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186.83226999296298</v>
      </c>
      <c r="AO3" s="62">
        <f>IF('Données projet'!E10&gt;30,$AM$33-$H$33,LOOKUP('Données projet'!$E$10,$A$3:$A$203,AM3:AM203)-LOOKUP('Données projet'!$E$10,$A$3:$A$203,$H$3:$H$203))</f>
        <v>232.70925470547317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435.70500547084868</v>
      </c>
      <c r="BJ3" s="62">
        <f>IF('Données projet'!E11&gt;30,$BH$33-$H$33,LOOKUP('Données projet'!$E$11,$A$3:$A$203,BH3:BH203)-LOOKUP('Données projet'!$E$11,$A$3:$A$203,$H$3:$H$203))</f>
        <v>297.32483725004136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530.15080507516973</v>
      </c>
      <c r="CE3" s="62">
        <f>IF('Données projet'!E12&gt;30,$CC$33-$H$33,LOOKUP('Données projet'!$E$12,$A$3:$A$203,CC3:CC203)-LOOKUP('Données projet'!$E$12,$A$3:$A$203,$H$3:$H$203))</f>
        <v>358.10331902702217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182.98212193167009</v>
      </c>
      <c r="CZ3" s="62">
        <f>IF('Données projet'!E13&gt;30,$CX$33-$H$33,LOOKUP('Données projet'!$E$13,$A$3:$A$203,CX3:CX203)-LOOKUP('Données projet'!$E$13,$A$3:$A$203,$H$3:$H$203))</f>
        <v>195.9200038944301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338.33525241236157</v>
      </c>
      <c r="DU3" s="62">
        <f>IF('Données projet'!E14&gt;30,$DS$33-$H$33,LOOKUP('Données projet'!$E$14,$A$3:$A$203,DS3:DS203)-LOOKUP('Données projet'!$E$14,$A$3:$A$203,$H$3:$H$203))</f>
        <v>373.47257029791717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144.92790055195192</v>
      </c>
      <c r="EP3" s="62">
        <f>IF('Données projet'!E15&gt;30,$EN$33-$H$33,LOOKUP('Données projet'!$E$15,$A$3:$A$203,EN3:EN203)-LOOKUP('Données projet'!$E$15,$A$3:$A$203,$H$3:$H$203))</f>
        <v>151.00642748754026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2.4666666666666668</v>
      </c>
      <c r="N4" s="14">
        <f>IF('Données projet'!$A$36&gt;35,N3+M4-V3,IF(A4&lt;'Données projet'!$A$36,$K$205^A4,IF(A4='Données projet'!$A$36,'Données projet'!$B$36,N3+M4-V3)))</f>
        <v>1.2721747796233518</v>
      </c>
      <c r="O4" s="14">
        <f>N4*VLOOKUP('Données projet'!$B$9,Paramètres!$A$1:$I$89,3,0)*VLOOKUP('Données projet'!$B$9,Paramètres!$A$1:$I$89,5,0)</f>
        <v>1.031988181230463</v>
      </c>
      <c r="P4" s="14">
        <f>EXP(-1.0587+0.8836*LN(O4)+0.284)</f>
        <v>0.47384363432899212</v>
      </c>
      <c r="Q4" s="22">
        <f t="shared" ref="Q4:Q34" si="2">(O4+P4)*0.475*44/12</f>
        <v>2.6226570787660513</v>
      </c>
      <c r="R4" s="62">
        <f t="shared" si="0"/>
        <v>170.43509103168989</v>
      </c>
      <c r="S4" s="62">
        <f ca="1">AVERAGE(OFFSET($R$3,0,0,'Données projet'!$E$9+1,1))-AVERAGE(OFFSET($H$3,0,0,'Données projet'!$E$9+1,1))</f>
        <v>259.10606516000064</v>
      </c>
      <c r="T4" s="62">
        <f>$T$3</f>
        <v>316.57989180609252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5.666666666666667</v>
      </c>
      <c r="AI4" s="14">
        <f>IF('Données projet'!$A$62&gt;35,AI3+AH4-AQ3,IF(A4&lt;'Données projet'!$A$62,$AF$205^A4,IF(A4='Données projet'!$A$62,'Données projet'!$B$62,AI3+AH4-AQ3)))</f>
        <v>1.1867200975826817</v>
      </c>
      <c r="AJ4" s="14">
        <f>AI4*VLOOKUP('Données projet'!$B$10,Paramètres!$A$1:$I$89,3,0)*VLOOKUP('Données projet'!$B$10,Paramètres!$A$1:$I$89,5,0)</f>
        <v>0.55538500566869509</v>
      </c>
      <c r="AK4" s="14">
        <f>EXP(-1.0587+0.8836*LN(AJ4)+0.284)</f>
        <v>0.27407880760927583</v>
      </c>
      <c r="AL4" s="22">
        <f t="shared" ref="AL4:AL67" si="4">(AJ4+AK4)*0.475*44/12</f>
        <v>1.4446494747924661</v>
      </c>
      <c r="AM4" s="62">
        <f t="shared" ref="AM4:AM67" si="5">AL4+(AD4+AE4)*44/12</f>
        <v>169.25708342771631</v>
      </c>
      <c r="AN4" s="62">
        <f ca="1">AVERAGE(OFFSET($AM$3,0,0,'Données projet'!$E$10+1,1))-AVERAGE(OFFSET($H$3,0,0,'Données projet'!$E$10+1,1))</f>
        <v>186.83226999296298</v>
      </c>
      <c r="AO4" s="62">
        <f>$AO$3</f>
        <v>232.70925470547317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1.1212920291467359</v>
      </c>
      <c r="BF4" s="14">
        <f>EXP(-1.0587+0.8836*LN(BE4)+0.284)</f>
        <v>0.50989827066551541</v>
      </c>
      <c r="BG4" s="22">
        <f t="shared" ref="BG4:BG67" si="7">(BE4+BF4)*0.475*44/12</f>
        <v>2.8409897721730037</v>
      </c>
      <c r="BH4" s="62">
        <f t="shared" ref="BH4:BH67" si="8">BG4+(AY4+AZ4)*44/12</f>
        <v>170.65342372509684</v>
      </c>
      <c r="BI4" s="62">
        <f ca="1">AVERAGE(OFFSET($BH$3,0,0,'Données projet'!$E$11+1,1))-AVERAGE(OFFSET($H$3,0,0,'Données projet'!$E$11+1,1))</f>
        <v>435.70500547084868</v>
      </c>
      <c r="BJ4" s="62">
        <f>$BJ$3</f>
        <v>297.32483725004136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1.4112813470295122</v>
      </c>
      <c r="CA4" s="14">
        <f>EXP(-1.0587+0.8836*LN(BZ4)+0.284)</f>
        <v>0.6248138432801692</v>
      </c>
      <c r="CB4" s="22">
        <f t="shared" ref="CB4:CB67" si="10">(BZ4+CA4)*0.475*44/12</f>
        <v>3.5461991231226953</v>
      </c>
      <c r="CC4" s="62">
        <f t="shared" ref="CC4:CC67" si="11">CB4+(BT4+BU4)*44/12</f>
        <v>171.35863307604654</v>
      </c>
      <c r="CD4" s="62">
        <f ca="1">AVERAGE(OFFSET($CC$3,0,0,'Données projet'!$E$12+1,1))-AVERAGE(OFFSET($H$3,0,0,'Données projet'!$E$12+1,1))</f>
        <v>530.15080507516973</v>
      </c>
      <c r="CE4" s="62">
        <f>$CE$3</f>
        <v>358.10331902702217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1.6</v>
      </c>
      <c r="CT4" s="13">
        <f>IF('Données projet'!$A$140&gt;35,CT3+CS4-DB3,IF(A4&lt;'Données projet'!$A$140,$CQ$205^A4,IF(A4='Données projet'!$A$140,'Données projet'!$B$140,CT3+CS4-DB3)))</f>
        <v>1.1589972344055464</v>
      </c>
      <c r="CU4" s="18">
        <f>CT4*VLOOKUP('Données projet'!$B$13,Paramètres!$A$1:$I$89,3,0)*VLOOKUP('Données projet'!$B$13,Paramètres!$A$1:$I$89,5,0)</f>
        <v>0.9944196271199589</v>
      </c>
      <c r="CV4" s="14">
        <f>EXP(-1.0587+0.8836*LN(CU4)+0.284)</f>
        <v>0.4585689454773958</v>
      </c>
      <c r="CW4" s="22">
        <f t="shared" ref="CW4:CW67" si="13">(CU4+CV4)*0.475*44/12</f>
        <v>2.5306217639403932</v>
      </c>
      <c r="CX4" s="62">
        <f t="shared" ref="CX4:CX67" si="14">CW4+(CO4+CP4)*44/12</f>
        <v>170.34305571686423</v>
      </c>
      <c r="CY4" s="62">
        <f ca="1">AVERAGE(OFFSET($CX$3,0,0,'Données projet'!$E$13+1,1))-AVERAGE(OFFSET($H$3,0,0,'Données projet'!$E$13+1,1))</f>
        <v>182.98212193167009</v>
      </c>
      <c r="CZ4" s="62">
        <f>$CZ$3</f>
        <v>195.9200038944301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2.6666666666666665</v>
      </c>
      <c r="DO4" s="13">
        <f>IF('Données projet'!$A$166&gt;35,DO3+DN4-DW3,IF(A4&lt;'Données projet'!$A$166,$DL$205^A4,IF(A4='Données projet'!$A$166,'Données projet'!$B$166,DO3+DN4-DW3)))</f>
        <v>1.2788040393997409</v>
      </c>
      <c r="DP4" s="18">
        <f>DO4*VLOOKUP('Données projet'!$B$14,Paramètres!$A$1:$I$89,3,0)*VLOOKUP('Données projet'!$B$14,Paramètres!$A$1:$I$89,5,0)</f>
        <v>0.56523138541468554</v>
      </c>
      <c r="DQ4" s="14">
        <f>EXP(-1.0587+0.8836*LN(DP4)+0.284)</f>
        <v>0.27836792743761407</v>
      </c>
      <c r="DR4" s="22">
        <f t="shared" ref="DR4:DR67" si="16">(DP4+DQ4)*0.475*44/12</f>
        <v>1.469268803217755</v>
      </c>
      <c r="DS4" s="62">
        <f t="shared" ref="DS4:DS67" si="17">DR4+(DJ4+DK4)*44/12</f>
        <v>169.28170275614158</v>
      </c>
      <c r="DT4" s="62">
        <f ca="1">AVERAGE(OFFSET($DS$3,0,0,'Données projet'!$E$14+1,1))-AVERAGE(OFFSET($H$3,0,0,'Données projet'!$E$14+1,1))</f>
        <v>338.33525241236157</v>
      </c>
      <c r="DU4" s="62">
        <f>$DU$3</f>
        <v>373.47257029791717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1.2</v>
      </c>
      <c r="EJ4" s="13">
        <f>IF('Données projet'!$A$192&gt;35,EJ3+EI4-ER3,IF(A4&lt;'Données projet'!$A$192,$EG$205^A4,IF(A4='Données projet'!$A$192,'Données projet'!$B$192,EJ3+EI4-ER3)))</f>
        <v>1.1457367676485573</v>
      </c>
      <c r="EK4" s="18">
        <f>EJ4*VLOOKUP('Données projet'!$B$15,Paramètres!$A$1:$I$89,3,0)*VLOOKUP('Données projet'!$B$15,Paramètres!$A$1:$I$89,5,0)</f>
        <v>0.8936746787658747</v>
      </c>
      <c r="EL4" s="14">
        <f>EXP(-1.0587+0.8836*LN(EK4)+0.284)</f>
        <v>0.41726718255085632</v>
      </c>
      <c r="EM4" s="22">
        <f t="shared" ref="EM4:EM67" si="19">(EK4+EL4)*0.475*44/12</f>
        <v>2.2832237417933063</v>
      </c>
      <c r="EN4" s="62">
        <f t="shared" ref="EN4:EN67" si="20">EM4+(EE4+EF4)*44/12</f>
        <v>170.09565769471715</v>
      </c>
      <c r="EO4" s="62">
        <f ca="1">AVERAGE(OFFSET($EN$3,0,0,'Données projet'!$E$15+1,1))-AVERAGE(OFFSET($H$3,0,0,'Données projet'!$E$15+1,1))</f>
        <v>144.92790055195192</v>
      </c>
      <c r="EP4" s="62">
        <f>$EP$3</f>
        <v>151.00642748754026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2.4666666666666668</v>
      </c>
      <c r="N5" s="14">
        <f>IF('Données projet'!$A$36&gt;35,N4+M5-V4,IF(A5&lt;'Données projet'!$A$36,$K$205^A5,IF(A5='Données projet'!$A$36,'Données projet'!$B$36,N4+M5-V4)))</f>
        <v>1.6184286699097237</v>
      </c>
      <c r="O5" s="14">
        <f>N5*VLOOKUP('Données projet'!$B$9,Paramètres!$A$1:$I$89,3,0)*VLOOKUP('Données projet'!$B$9,Paramètres!$A$1:$I$89,5,0)</f>
        <v>1.312869337030768</v>
      </c>
      <c r="P5" s="14">
        <f t="shared" ref="P5:P68" si="33">EXP(-1.0587+0.8836*LN(O5)+0.284)</f>
        <v>0.58615515240543437</v>
      </c>
      <c r="Q5" s="22">
        <f t="shared" si="2"/>
        <v>3.3074676524347191</v>
      </c>
      <c r="R5" s="62">
        <f t="shared" si="0"/>
        <v>173.90474893993556</v>
      </c>
      <c r="S5" s="62">
        <f ca="1">AVERAGE(OFFSET($R$3,0,0,'Données projet'!$E$9+1,1))-AVERAGE(OFFSET($H$3,0,0,'Données projet'!$E$9+1,1))</f>
        <v>259.10606516000064</v>
      </c>
      <c r="T5" s="62">
        <f t="shared" ref="T5:T68" si="34">$T$3</f>
        <v>316.57989180609252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5.666666666666667</v>
      </c>
      <c r="AI5" s="14">
        <f>IF('Données projet'!$A$62&gt;35,AI4+AH5-AQ4,IF(A5&lt;'Données projet'!$A$62,$AF$205^A5,IF(A5='Données projet'!$A$62,'Données projet'!$B$62,AI4+AH5-AQ4)))</f>
        <v>1.4083045900066495</v>
      </c>
      <c r="AJ5" s="14">
        <f>AI5*VLOOKUP('Données projet'!$B$10,Paramètres!$A$1:$I$89,3,0)*VLOOKUP('Données projet'!$B$10,Paramètres!$A$1:$I$89,5,0)</f>
        <v>0.65908654812311196</v>
      </c>
      <c r="AK5" s="14">
        <f t="shared" ref="AK5:AK68" si="35">EXP(-1.0587+0.8836*LN(AJ5)+0.284)</f>
        <v>0.31883765901680755</v>
      </c>
      <c r="AL5" s="22">
        <f t="shared" si="4"/>
        <v>1.7032179941020262</v>
      </c>
      <c r="AM5" s="62">
        <f t="shared" si="5"/>
        <v>172.30049928160287</v>
      </c>
      <c r="AN5" s="62">
        <f ca="1">AVERAGE(OFFSET($AM$3,0,0,'Données projet'!$E$10+1,1))-AVERAGE(OFFSET($H$3,0,0,'Données projet'!$E$10+1,1))</f>
        <v>186.83226999296298</v>
      </c>
      <c r="AO5" s="62">
        <f t="shared" ref="AO5:AO68" si="36">$AO$3</f>
        <v>232.70925470547317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1.3895842336737447</v>
      </c>
      <c r="BF5" s="14">
        <f t="shared" ref="BF5:BF68" si="37">EXP(-1.0587+0.8836*LN(BE5)+0.284)</f>
        <v>0.61631841327304715</v>
      </c>
      <c r="BG5" s="22">
        <f t="shared" si="7"/>
        <v>3.4936137767656628</v>
      </c>
      <c r="BH5" s="62">
        <f t="shared" si="8"/>
        <v>174.0908950642665</v>
      </c>
      <c r="BI5" s="62">
        <f ca="1">AVERAGE(OFFSET($BH$3,0,0,'Données projet'!$E$11+1,1))-AVERAGE(OFFSET($H$3,0,0,'Données projet'!$E$11+1,1))</f>
        <v>435.70500547084868</v>
      </c>
      <c r="BJ5" s="62">
        <f t="shared" ref="BJ5:BJ68" si="38">$BJ$3</f>
        <v>297.32483725004136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1.7489594665204027</v>
      </c>
      <c r="CA5" s="14">
        <f t="shared" ref="CA5:CA68" si="39">EXP(-1.0587+0.8836*LN(BZ5)+0.284)</f>
        <v>0.75521785155077914</v>
      </c>
      <c r="CB5" s="22">
        <f t="shared" si="10"/>
        <v>4.3614421623073083</v>
      </c>
      <c r="CC5" s="62">
        <f t="shared" si="11"/>
        <v>174.95872344980813</v>
      </c>
      <c r="CD5" s="62">
        <f ca="1">AVERAGE(OFFSET($CC$3,0,0,'Données projet'!$E$12+1,1))-AVERAGE(OFFSET($H$3,0,0,'Données projet'!$E$12+1,1))</f>
        <v>530.15080507516973</v>
      </c>
      <c r="CE5" s="62">
        <f t="shared" ref="CE5:CE68" si="40">$CE$3</f>
        <v>358.10331902702217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1.6</v>
      </c>
      <c r="CT5" s="13">
        <f>IF('Données projet'!$A$140&gt;35,CT4+CS5-DB4,IF(A5&lt;'Données projet'!$A$140,$CQ$205^A5,IF(A5='Données projet'!$A$140,'Données projet'!$B$140,CT4+CS5-DB4)))</f>
        <v>1.3432745893597049</v>
      </c>
      <c r="CU5" s="18">
        <f>CT5*VLOOKUP('Données projet'!$B$13,Paramètres!$A$1:$I$89,3,0)*VLOOKUP('Données projet'!$B$13,Paramètres!$A$1:$I$89,5,0)</f>
        <v>1.1525295976706269</v>
      </c>
      <c r="CV5" s="14">
        <f t="shared" ref="CV5:CV68" si="41">EXP(-1.0587+0.8836*LN(CU5)+0.284)</f>
        <v>0.52242968866386141</v>
      </c>
      <c r="CW5" s="22">
        <f t="shared" si="13"/>
        <v>2.9172207570325672</v>
      </c>
      <c r="CX5" s="62">
        <f t="shared" si="14"/>
        <v>173.5145020445334</v>
      </c>
      <c r="CY5" s="62">
        <f ca="1">AVERAGE(OFFSET($CX$3,0,0,'Données projet'!$E$13+1,1))-AVERAGE(OFFSET($H$3,0,0,'Données projet'!$E$13+1,1))</f>
        <v>182.98212193167009</v>
      </c>
      <c r="CZ5" s="62">
        <f t="shared" ref="CZ5:CZ68" si="42">$CZ$3</f>
        <v>195.9200038944301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2.6666666666666665</v>
      </c>
      <c r="DO5" s="13">
        <f>IF('Données projet'!$A$166&gt;35,DO4+DN5-DW4,IF(A5&lt;'Données projet'!$A$166,$DL$205^A5,IF(A5='Données projet'!$A$166,'Données projet'!$B$166,DO4+DN5-DW4)))</f>
        <v>1.6353397711850939</v>
      </c>
      <c r="DP5" s="18">
        <f>DO5*VLOOKUP('Données projet'!$B$14,Paramètres!$A$1:$I$89,3,0)*VLOOKUP('Données projet'!$B$14,Paramètres!$A$1:$I$89,5,0)</f>
        <v>0.72282017886381156</v>
      </c>
      <c r="DQ5" s="14">
        <f t="shared" ref="DQ5:DQ68" si="43">EXP(-1.0587+0.8836*LN(DP5)+0.284)</f>
        <v>0.34593237605612598</v>
      </c>
      <c r="DR5" s="22">
        <f t="shared" si="16"/>
        <v>1.8614106998188911</v>
      </c>
      <c r="DS5" s="62">
        <f t="shared" si="17"/>
        <v>172.45869198731972</v>
      </c>
      <c r="DT5" s="62">
        <f ca="1">AVERAGE(OFFSET($DS$3,0,0,'Données projet'!$E$14+1,1))-AVERAGE(OFFSET($H$3,0,0,'Données projet'!$E$14+1,1))</f>
        <v>338.33525241236157</v>
      </c>
      <c r="DU5" s="62">
        <f t="shared" ref="DU5:DU68" si="44">$DU$3</f>
        <v>373.47257029791717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1.2</v>
      </c>
      <c r="EJ5" s="13">
        <f>IF('Données projet'!$A$192&gt;35,EJ4+EI5-ER4,IF(A5&lt;'Données projet'!$A$192,$EG$205^A5,IF(A5='Données projet'!$A$192,'Données projet'!$B$192,EJ4+EI5-ER4)))</f>
        <v>1.312712740741764</v>
      </c>
      <c r="EK5" s="18">
        <f>EJ5*VLOOKUP('Données projet'!$B$15,Paramètres!$A$1:$I$89,3,0)*VLOOKUP('Données projet'!$B$15,Paramètres!$A$1:$I$89,5,0)</f>
        <v>1.023915937778576</v>
      </c>
      <c r="EL5" s="14">
        <f t="shared" ref="EL5:EL68" si="45">EXP(-1.0587+0.8836*LN(EK5)+0.284)</f>
        <v>0.47056714673849459</v>
      </c>
      <c r="EM5" s="22">
        <f t="shared" si="19"/>
        <v>2.6028913722005647</v>
      </c>
      <c r="EN5" s="62">
        <f t="shared" si="20"/>
        <v>173.20017265970139</v>
      </c>
      <c r="EO5" s="62">
        <f ca="1">AVERAGE(OFFSET($EN$3,0,0,'Données projet'!$E$15+1,1))-AVERAGE(OFFSET($H$3,0,0,'Données projet'!$E$15+1,1))</f>
        <v>144.92790055195192</v>
      </c>
      <c r="EP5" s="62">
        <f t="shared" ref="EP5:EP68" si="46">$EP$3</f>
        <v>151.00642748754026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2.4666666666666668</v>
      </c>
      <c r="N6" s="14">
        <f>IF('Données projet'!$A$36&gt;35,N5+M6-V5,IF(A6&lt;'Données projet'!$A$36,$K$205^A6,IF(A6='Données projet'!$A$36,'Données projet'!$B$36,N5+M6-V5)))</f>
        <v>2.0589241364785171</v>
      </c>
      <c r="O6" s="14">
        <f>N6*VLOOKUP('Données projet'!$B$9,Paramètres!$A$1:$I$89,3,0)*VLOOKUP('Données projet'!$B$9,Paramètres!$A$1:$I$89,5,0)</f>
        <v>1.6701992595113733</v>
      </c>
      <c r="P6" s="14">
        <f t="shared" si="33"/>
        <v>0.72508700718957031</v>
      </c>
      <c r="Q6" s="22">
        <f t="shared" si="2"/>
        <v>4.1717902478374764</v>
      </c>
      <c r="R6" s="62">
        <f t="shared" si="0"/>
        <v>177.52681081772235</v>
      </c>
      <c r="S6" s="62">
        <f ca="1">AVERAGE(OFFSET($R$3,0,0,'Données projet'!$E$9+1,1))-AVERAGE(OFFSET($H$3,0,0,'Données projet'!$E$9+1,1))</f>
        <v>259.10606516000064</v>
      </c>
      <c r="T6" s="62">
        <f t="shared" si="34"/>
        <v>316.57989180609252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5.666666666666667</v>
      </c>
      <c r="AI6" s="14">
        <f>IF('Données projet'!$A$62&gt;35,AI5+AH6-AQ5,IF(A6&lt;'Données projet'!$A$62,$AF$205^A6,IF(A6='Données projet'!$A$62,'Données projet'!$B$62,AI5+AH6-AQ5)))</f>
        <v>1.6712633604788296</v>
      </c>
      <c r="AJ6" s="14">
        <f>AI6*VLOOKUP('Données projet'!$B$10,Paramètres!$A$1:$I$89,3,0)*VLOOKUP('Données projet'!$B$10,Paramètres!$A$1:$I$89,5,0)</f>
        <v>0.78215125270409225</v>
      </c>
      <c r="AK6" s="14">
        <f t="shared" si="35"/>
        <v>0.37090592189177923</v>
      </c>
      <c r="AL6" s="22">
        <f t="shared" si="4"/>
        <v>2.0082412457544763</v>
      </c>
      <c r="AM6" s="62">
        <f t="shared" si="5"/>
        <v>175.36326181563936</v>
      </c>
      <c r="AN6" s="62">
        <f ca="1">AVERAGE(OFFSET($AM$3,0,0,'Données projet'!$E$10+1,1))-AVERAGE(OFFSET($H$3,0,0,'Données projet'!$E$10+1,1))</f>
        <v>186.83226999296298</v>
      </c>
      <c r="AO6" s="62">
        <f t="shared" si="36"/>
        <v>232.70925470547317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1.7220708720671365</v>
      </c>
      <c r="BF6" s="14">
        <f t="shared" si="37"/>
        <v>0.74494935243383209</v>
      </c>
      <c r="BG6" s="22">
        <f t="shared" si="7"/>
        <v>4.2967268910058536</v>
      </c>
      <c r="BH6" s="62">
        <f t="shared" si="8"/>
        <v>177.65174746089073</v>
      </c>
      <c r="BI6" s="62">
        <f ca="1">AVERAGE(OFFSET($BH$3,0,0,'Données projet'!$E$11+1,1))-AVERAGE(OFFSET($H$3,0,0,'Données projet'!$E$11+1,1))</f>
        <v>435.70500547084868</v>
      </c>
      <c r="BJ6" s="62">
        <f t="shared" si="38"/>
        <v>297.32483725004136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2.1674340286362233</v>
      </c>
      <c r="CA6" s="14">
        <f t="shared" si="39"/>
        <v>0.91283829485388901</v>
      </c>
      <c r="CB6" s="22">
        <f t="shared" si="10"/>
        <v>5.3648076300786123</v>
      </c>
      <c r="CC6" s="62">
        <f t="shared" si="11"/>
        <v>178.7198281999635</v>
      </c>
      <c r="CD6" s="62">
        <f ca="1">AVERAGE(OFFSET($CC$3,0,0,'Données projet'!$E$12+1,1))-AVERAGE(OFFSET($H$3,0,0,'Données projet'!$E$12+1,1))</f>
        <v>530.15080507516973</v>
      </c>
      <c r="CE6" s="62">
        <f t="shared" si="40"/>
        <v>358.10331902702217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1.6</v>
      </c>
      <c r="CT6" s="13">
        <f>IF('Données projet'!$A$140&gt;35,CT5+CS6-DB5,IF(A6&lt;'Données projet'!$A$140,$CQ$205^A6,IF(A6='Données projet'!$A$140,'Données projet'!$B$140,CT5+CS6-DB5)))</f>
        <v>1.5568515341151439</v>
      </c>
      <c r="CU6" s="18">
        <f>CT6*VLOOKUP('Données projet'!$B$13,Paramètres!$A$1:$I$89,3,0)*VLOOKUP('Données projet'!$B$13,Paramètres!$A$1:$I$89,5,0)</f>
        <v>1.3357786162707936</v>
      </c>
      <c r="CV6" s="14">
        <f t="shared" si="41"/>
        <v>0.5951837390848197</v>
      </c>
      <c r="CW6" s="22">
        <f t="shared" si="13"/>
        <v>3.3630927689110268</v>
      </c>
      <c r="CX6" s="62">
        <f t="shared" si="14"/>
        <v>176.71811333879592</v>
      </c>
      <c r="CY6" s="62">
        <f ca="1">AVERAGE(OFFSET($CX$3,0,0,'Données projet'!$E$13+1,1))-AVERAGE(OFFSET($H$3,0,0,'Données projet'!$E$13+1,1))</f>
        <v>182.98212193167009</v>
      </c>
      <c r="CZ6" s="62">
        <f t="shared" si="42"/>
        <v>195.9200038944301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2.6666666666666665</v>
      </c>
      <c r="DO6" s="13">
        <f>IF('Données projet'!$A$166&gt;35,DO5+DN6-DW5,IF(A6&lt;'Données projet'!$A$166,$DL$205^A6,IF(A6='Données projet'!$A$166,'Données projet'!$B$166,DO5+DN6-DW5)))</f>
        <v>2.0912791051825459</v>
      </c>
      <c r="DP6" s="18">
        <f>DO6*VLOOKUP('Données projet'!$B$14,Paramètres!$A$1:$I$89,3,0)*VLOOKUP('Données projet'!$B$14,Paramètres!$A$1:$I$89,5,0)</f>
        <v>0.92434536449068538</v>
      </c>
      <c r="DQ6" s="14">
        <f t="shared" si="43"/>
        <v>0.42989582135196397</v>
      </c>
      <c r="DR6" s="22">
        <f t="shared" si="16"/>
        <v>2.3586367320092809</v>
      </c>
      <c r="DS6" s="62">
        <f t="shared" si="17"/>
        <v>175.71365730189416</v>
      </c>
      <c r="DT6" s="62">
        <f ca="1">AVERAGE(OFFSET($DS$3,0,0,'Données projet'!$E$14+1,1))-AVERAGE(OFFSET($H$3,0,0,'Données projet'!$E$14+1,1))</f>
        <v>338.33525241236157</v>
      </c>
      <c r="DU6" s="62">
        <f t="shared" si="44"/>
        <v>373.47257029791717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1.2</v>
      </c>
      <c r="EJ6" s="13">
        <f>IF('Données projet'!$A$192&gt;35,EJ5+EI6-ER5,IF(A6&lt;'Données projet'!$A$192,$EG$205^A6,IF(A6='Données projet'!$A$192,'Données projet'!$B$192,EJ5+EI6-ER5)))</f>
        <v>1.5040232524285473</v>
      </c>
      <c r="EK6" s="18">
        <f>EJ6*VLOOKUP('Données projet'!$B$15,Paramètres!$A$1:$I$89,3,0)*VLOOKUP('Données projet'!$B$15,Paramètres!$A$1:$I$89,5,0)</f>
        <v>1.1731381368942668</v>
      </c>
      <c r="EL6" s="14">
        <f t="shared" si="45"/>
        <v>0.53067542536159007</v>
      </c>
      <c r="EM6" s="22">
        <f t="shared" si="19"/>
        <v>2.967475287595617</v>
      </c>
      <c r="EN6" s="62">
        <f t="shared" si="20"/>
        <v>176.3224958574805</v>
      </c>
      <c r="EO6" s="62">
        <f ca="1">AVERAGE(OFFSET($EN$3,0,0,'Données projet'!$E$15+1,1))-AVERAGE(OFFSET($H$3,0,0,'Données projet'!$E$15+1,1))</f>
        <v>144.92790055195192</v>
      </c>
      <c r="EP6" s="62">
        <f t="shared" si="46"/>
        <v>151.00642748754026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2.4666666666666668</v>
      </c>
      <c r="N7" s="14">
        <f>IF('Données projet'!$A$36&gt;35,N6+M7-V6,IF(A7&lt;'Données projet'!$A$36,$K$205^A7,IF(A7='Données projet'!$A$36,'Données projet'!$B$36,N6+M7-V6)))</f>
        <v>2.6193113595857573</v>
      </c>
      <c r="O7" s="14">
        <f>N7*VLOOKUP('Données projet'!$B$9,Paramètres!$A$1:$I$89,3,0)*VLOOKUP('Données projet'!$B$9,Paramètres!$A$1:$I$89,5,0)</f>
        <v>2.1247853748959664</v>
      </c>
      <c r="P7" s="14">
        <f t="shared" si="33"/>
        <v>0.89694881267796833</v>
      </c>
      <c r="Q7" s="22">
        <f t="shared" si="2"/>
        <v>5.2628537100246024</v>
      </c>
      <c r="R7" s="62">
        <f t="shared" si="0"/>
        <v>181.34897577420156</v>
      </c>
      <c r="S7" s="62">
        <f ca="1">AVERAGE(OFFSET($R$3,0,0,'Données projet'!$E$9+1,1))-AVERAGE(OFFSET($H$3,0,0,'Données projet'!$E$9+1,1))</f>
        <v>259.10606516000064</v>
      </c>
      <c r="T7" s="62">
        <f t="shared" si="34"/>
        <v>316.57989180609252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5.666666666666667</v>
      </c>
      <c r="AI7" s="14">
        <f>IF('Données projet'!$A$62&gt;35,AI6+AH7-AQ6,IF(A7&lt;'Données projet'!$A$62,$AF$205^A7,IF(A7='Données projet'!$A$62,'Données projet'!$B$62,AI6+AH7-AQ6)))</f>
        <v>1.9833218182337973</v>
      </c>
      <c r="AJ7" s="14">
        <f>AI7*VLOOKUP('Données projet'!$B$10,Paramètres!$A$1:$I$89,3,0)*VLOOKUP('Données projet'!$B$10,Paramètres!$A$1:$I$89,5,0)</f>
        <v>0.92819461093341715</v>
      </c>
      <c r="AK7" s="14">
        <f t="shared" si="35"/>
        <v>0.43147727065433811</v>
      </c>
      <c r="AL7" s="22">
        <f t="shared" si="4"/>
        <v>2.3680951937653405</v>
      </c>
      <c r="AM7" s="62">
        <f t="shared" si="5"/>
        <v>178.45421725794228</v>
      </c>
      <c r="AN7" s="62">
        <f ca="1">AVERAGE(OFFSET($AM$3,0,0,'Données projet'!$E$10+1,1))-AVERAGE(OFFSET($H$3,0,0,'Données projet'!$E$10+1,1))</f>
        <v>186.83226999296298</v>
      </c>
      <c r="AO7" s="62">
        <f t="shared" si="36"/>
        <v>232.70925470547317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2.1341117843442179</v>
      </c>
      <c r="BF7" s="14">
        <f t="shared" si="37"/>
        <v>0.90042667189585779</v>
      </c>
      <c r="BG7" s="22">
        <f t="shared" si="7"/>
        <v>5.2851544779514645</v>
      </c>
      <c r="BH7" s="62">
        <f t="shared" si="8"/>
        <v>181.37127654212841</v>
      </c>
      <c r="BI7" s="62">
        <f ca="1">AVERAGE(OFFSET($BH$3,0,0,'Données projet'!$E$11+1,1))-AVERAGE(OFFSET($H$3,0,0,'Données projet'!$E$11+1,1))</f>
        <v>435.70500547084868</v>
      </c>
      <c r="BJ7" s="62">
        <f t="shared" si="38"/>
        <v>297.32483725004136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2.6860372458125501</v>
      </c>
      <c r="CA7" s="14">
        <f t="shared" si="39"/>
        <v>1.1033554766226659</v>
      </c>
      <c r="CB7" s="22">
        <f t="shared" si="10"/>
        <v>6.599858991574667</v>
      </c>
      <c r="CC7" s="62">
        <f t="shared" si="11"/>
        <v>182.68598105575163</v>
      </c>
      <c r="CD7" s="62">
        <f ca="1">AVERAGE(OFFSET($CC$3,0,0,'Données projet'!$E$12+1,1))-AVERAGE(OFFSET($H$3,0,0,'Données projet'!$E$12+1,1))</f>
        <v>530.15080507516973</v>
      </c>
      <c r="CE7" s="62">
        <f t="shared" si="40"/>
        <v>358.10331902702217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1.6</v>
      </c>
      <c r="CT7" s="13">
        <f>IF('Données projet'!$A$140&gt;35,CT6+CS7-DB6,IF(A7&lt;'Données projet'!$A$140,$CQ$205^A7,IF(A7='Données projet'!$A$140,'Données projet'!$B$140,CT6+CS7-DB6)))</f>
        <v>1.8043866224194838</v>
      </c>
      <c r="CU7" s="18">
        <f>CT7*VLOOKUP('Données projet'!$B$13,Paramètres!$A$1:$I$89,3,0)*VLOOKUP('Données projet'!$B$13,Paramètres!$A$1:$I$89,5,0)</f>
        <v>1.5481637220359172</v>
      </c>
      <c r="CV7" s="14">
        <f t="shared" si="41"/>
        <v>0.67806958708066833</v>
      </c>
      <c r="CW7" s="22">
        <f t="shared" si="13"/>
        <v>3.8773563467113861</v>
      </c>
      <c r="CX7" s="62">
        <f t="shared" si="14"/>
        <v>179.96347841088834</v>
      </c>
      <c r="CY7" s="62">
        <f ca="1">AVERAGE(OFFSET($CX$3,0,0,'Données projet'!$E$13+1,1))-AVERAGE(OFFSET($H$3,0,0,'Données projet'!$E$13+1,1))</f>
        <v>182.98212193167009</v>
      </c>
      <c r="CZ7" s="62">
        <f t="shared" si="42"/>
        <v>195.9200038944301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2.6666666666666665</v>
      </c>
      <c r="DO7" s="13">
        <f>IF('Données projet'!$A$166&gt;35,DO6+DN7-DW6,IF(A7&lt;'Données projet'!$A$166,$DL$205^A7,IF(A7='Données projet'!$A$166,'Données projet'!$B$166,DO6+DN7-DW6)))</f>
        <v>2.6743361672197152</v>
      </c>
      <c r="DP7" s="18">
        <f>DO7*VLOOKUP('Données projet'!$B$14,Paramètres!$A$1:$I$89,3,0)*VLOOKUP('Données projet'!$B$14,Paramètres!$A$1:$I$89,5,0)</f>
        <v>1.1820565859111143</v>
      </c>
      <c r="DQ7" s="14">
        <f t="shared" si="43"/>
        <v>0.53423856801970748</v>
      </c>
      <c r="DR7" s="22">
        <f t="shared" si="16"/>
        <v>2.9892140597628476</v>
      </c>
      <c r="DS7" s="62">
        <f t="shared" si="17"/>
        <v>179.07533612393979</v>
      </c>
      <c r="DT7" s="62">
        <f ca="1">AVERAGE(OFFSET($DS$3,0,0,'Données projet'!$E$14+1,1))-AVERAGE(OFFSET($H$3,0,0,'Données projet'!$E$14+1,1))</f>
        <v>338.33525241236157</v>
      </c>
      <c r="DU7" s="62">
        <f t="shared" si="44"/>
        <v>373.47257029791717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1.2</v>
      </c>
      <c r="EJ7" s="13">
        <f>IF('Données projet'!$A$192&gt;35,EJ6+EI7-ER6,IF(A7&lt;'Données projet'!$A$192,$EG$205^A7,IF(A7='Données projet'!$A$192,'Données projet'!$B$192,EJ6+EI7-ER6)))</f>
        <v>1.7232147397057538</v>
      </c>
      <c r="EK7" s="18">
        <f>EJ7*VLOOKUP('Données projet'!$B$15,Paramètres!$A$1:$I$89,3,0)*VLOOKUP('Données projet'!$B$15,Paramètres!$A$1:$I$89,5,0)</f>
        <v>1.344107496970488</v>
      </c>
      <c r="EL7" s="14">
        <f t="shared" si="45"/>
        <v>0.59846168402233479</v>
      </c>
      <c r="EM7" s="22">
        <f t="shared" si="19"/>
        <v>3.3833079902291661</v>
      </c>
      <c r="EN7" s="62">
        <f t="shared" si="20"/>
        <v>179.4694300544061</v>
      </c>
      <c r="EO7" s="62">
        <f ca="1">AVERAGE(OFFSET($EN$3,0,0,'Données projet'!$E$15+1,1))-AVERAGE(OFFSET($H$3,0,0,'Données projet'!$E$15+1,1))</f>
        <v>144.92790055195192</v>
      </c>
      <c r="EP7" s="62">
        <f t="shared" si="46"/>
        <v>151.00642748754026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2.4666666666666668</v>
      </c>
      <c r="N8" s="14">
        <f>IF('Données projet'!$A$36&gt;35,N7+M8-V7,IF(A8&lt;'Données projet'!$A$36,$K$205^A8,IF(A8='Données projet'!$A$36,'Données projet'!$B$36,N7+M8-V7)))</f>
        <v>3.332221851645953</v>
      </c>
      <c r="O8" s="14">
        <f>N8*VLOOKUP('Données projet'!$B$9,Paramètres!$A$1:$I$89,3,0)*VLOOKUP('Données projet'!$B$9,Paramètres!$A$1:$I$89,5,0)</f>
        <v>2.703098366055197</v>
      </c>
      <c r="P8" s="14">
        <f t="shared" si="33"/>
        <v>1.1095457022222992</v>
      </c>
      <c r="Q8" s="22">
        <f t="shared" si="2"/>
        <v>6.6403550855833053</v>
      </c>
      <c r="R8" s="62">
        <f t="shared" si="0"/>
        <v>185.43140296203066</v>
      </c>
      <c r="S8" s="62">
        <f ca="1">AVERAGE(OFFSET($R$3,0,0,'Données projet'!$E$9+1,1))-AVERAGE(OFFSET($H$3,0,0,'Données projet'!$E$9+1,1))</f>
        <v>259.10606516000064</v>
      </c>
      <c r="T8" s="62">
        <f t="shared" si="34"/>
        <v>316.57989180609252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5.666666666666667</v>
      </c>
      <c r="AI8" s="14">
        <f>IF('Données projet'!$A$62&gt;35,AI7+AH8-AQ7,IF(A8&lt;'Données projet'!$A$62,$AF$205^A8,IF(A8='Données projet'!$A$62,'Données projet'!$B$62,AI7+AH8-AQ7)))</f>
        <v>2.3536478616722736</v>
      </c>
      <c r="AJ8" s="14">
        <f>AI8*VLOOKUP('Données projet'!$B$10,Paramètres!$A$1:$I$89,3,0)*VLOOKUP('Données projet'!$B$10,Paramètres!$A$1:$I$89,5,0)</f>
        <v>1.101507199262624</v>
      </c>
      <c r="AK8" s="14">
        <f t="shared" si="35"/>
        <v>0.50194031451899346</v>
      </c>
      <c r="AL8" s="22">
        <f t="shared" si="4"/>
        <v>2.7926710865029833</v>
      </c>
      <c r="AM8" s="62">
        <f t="shared" si="5"/>
        <v>181.58371896295034</v>
      </c>
      <c r="AN8" s="62">
        <f ca="1">AVERAGE(OFFSET($AM$3,0,0,'Données projet'!$E$10+1,1))-AVERAGE(OFFSET($H$3,0,0,'Données projet'!$E$10+1,1))</f>
        <v>186.83226999296298</v>
      </c>
      <c r="AO8" s="62">
        <f t="shared" si="36"/>
        <v>232.70925470547317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2.6447419684939089</v>
      </c>
      <c r="BF8" s="14">
        <f t="shared" si="37"/>
        <v>1.0883534414958294</v>
      </c>
      <c r="BG8" s="22">
        <f t="shared" si="7"/>
        <v>6.5018078390654601</v>
      </c>
      <c r="BH8" s="62">
        <f t="shared" si="8"/>
        <v>185.29285571551281</v>
      </c>
      <c r="BI8" s="62">
        <f ca="1">AVERAGE(OFFSET($BH$3,0,0,'Données projet'!$E$11+1,1))-AVERAGE(OFFSET($H$3,0,0,'Données projet'!$E$11+1,1))</f>
        <v>435.70500547084868</v>
      </c>
      <c r="BJ8" s="62">
        <f t="shared" si="38"/>
        <v>297.32483725004136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3.3287269603457816</v>
      </c>
      <c r="CA8" s="14">
        <f t="shared" si="39"/>
        <v>1.3336352283381017</v>
      </c>
      <c r="CB8" s="22">
        <f t="shared" si="10"/>
        <v>8.1202808119577643</v>
      </c>
      <c r="CC8" s="62">
        <f t="shared" si="11"/>
        <v>186.91132868840512</v>
      </c>
      <c r="CD8" s="62">
        <f ca="1">AVERAGE(OFFSET($CC$3,0,0,'Données projet'!$E$12+1,1))-AVERAGE(OFFSET($H$3,0,0,'Données projet'!$E$12+1,1))</f>
        <v>530.15080507516973</v>
      </c>
      <c r="CE8" s="62">
        <f t="shared" si="40"/>
        <v>358.10331902702217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1.6</v>
      </c>
      <c r="CT8" s="13">
        <f>IF('Données projet'!$A$140&gt;35,CT7+CS8-DB7,IF(A8&lt;'Données projet'!$A$140,$CQ$205^A8,IF(A8='Données projet'!$A$140,'Données projet'!$B$140,CT7+CS8-DB7)))</f>
        <v>2.0912791051825463</v>
      </c>
      <c r="CU8" s="18">
        <f>CT8*VLOOKUP('Données projet'!$B$13,Paramètres!$A$1:$I$89,3,0)*VLOOKUP('Données projet'!$B$13,Paramètres!$A$1:$I$89,5,0)</f>
        <v>1.7943174722466249</v>
      </c>
      <c r="CV8" s="14">
        <f t="shared" si="41"/>
        <v>0.77249819632290906</v>
      </c>
      <c r="CW8" s="22">
        <f t="shared" si="13"/>
        <v>4.4705372894252715</v>
      </c>
      <c r="CX8" s="62">
        <f t="shared" si="14"/>
        <v>183.26158516587262</v>
      </c>
      <c r="CY8" s="62">
        <f ca="1">AVERAGE(OFFSET($CX$3,0,0,'Données projet'!$E$13+1,1))-AVERAGE(OFFSET($H$3,0,0,'Données projet'!$E$13+1,1))</f>
        <v>182.98212193167009</v>
      </c>
      <c r="CZ8" s="62">
        <f t="shared" si="42"/>
        <v>195.9200038944301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2.6666666666666665</v>
      </c>
      <c r="DO8" s="13">
        <f>IF('Données projet'!$A$166&gt;35,DO7+DN8-DW7,IF(A8&lt;'Données projet'!$A$166,$DL$205^A8,IF(A8='Données projet'!$A$166,'Données projet'!$B$166,DO7+DN8-DW7)))</f>
        <v>3.4199518933533928</v>
      </c>
      <c r="DP8" s="18">
        <f>DO8*VLOOKUP('Données projet'!$B$14,Paramètres!$A$1:$I$89,3,0)*VLOOKUP('Données projet'!$B$14,Paramètres!$A$1:$I$89,5,0)</f>
        <v>1.5116187368621996</v>
      </c>
      <c r="DQ8" s="14">
        <f t="shared" si="43"/>
        <v>0.66390700580007789</v>
      </c>
      <c r="DR8" s="22">
        <f t="shared" si="16"/>
        <v>3.789040668470133</v>
      </c>
      <c r="DS8" s="62">
        <f t="shared" si="17"/>
        <v>182.58008854491749</v>
      </c>
      <c r="DT8" s="62">
        <f ca="1">AVERAGE(OFFSET($DS$3,0,0,'Données projet'!$E$14+1,1))-AVERAGE(OFFSET($H$3,0,0,'Données projet'!$E$14+1,1))</f>
        <v>338.33525241236157</v>
      </c>
      <c r="DU8" s="62">
        <f t="shared" si="44"/>
        <v>373.47257029791717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1.2</v>
      </c>
      <c r="EJ8" s="13">
        <f>IF('Données projet'!$A$192&gt;35,EJ7+EI8-ER7,IF(A8&lt;'Données projet'!$A$192,$EG$205^A8,IF(A8='Données projet'!$A$192,'Données projet'!$B$192,EJ7+EI8-ER7)))</f>
        <v>1.9743504858348202</v>
      </c>
      <c r="EK8" s="18">
        <f>EJ8*VLOOKUP('Données projet'!$B$15,Paramètres!$A$1:$I$89,3,0)*VLOOKUP('Données projet'!$B$15,Paramètres!$A$1:$I$89,5,0)</f>
        <v>1.5399933789511597</v>
      </c>
      <c r="EL8" s="14">
        <f t="shared" si="45"/>
        <v>0.67490667576854391</v>
      </c>
      <c r="EM8" s="22">
        <f t="shared" si="19"/>
        <v>3.8576175953034837</v>
      </c>
      <c r="EN8" s="62">
        <f t="shared" si="20"/>
        <v>182.64866547175083</v>
      </c>
      <c r="EO8" s="62">
        <f ca="1">AVERAGE(OFFSET($EN$3,0,0,'Données projet'!$E$15+1,1))-AVERAGE(OFFSET($H$3,0,0,'Données projet'!$E$15+1,1))</f>
        <v>144.92790055195192</v>
      </c>
      <c r="EP8" s="62">
        <f t="shared" si="46"/>
        <v>151.00642748754026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2.4666666666666668</v>
      </c>
      <c r="N9" s="14">
        <f>IF('Données projet'!$A$36&gt;35,N8+M9-V8,IF(A9&lt;'Données projet'!$A$36,$K$205^A9,IF(A9='Données projet'!$A$36,'Données projet'!$B$36,N8+M9-V8)))</f>
        <v>4.2391685997738069</v>
      </c>
      <c r="O9" s="14">
        <f>N9*VLOOKUP('Données projet'!$B$9,Paramètres!$A$1:$I$89,3,0)*VLOOKUP('Données projet'!$B$9,Paramètres!$A$1:$I$89,5,0)</f>
        <v>3.4388135681365122</v>
      </c>
      <c r="P9" s="14">
        <f t="shared" si="33"/>
        <v>1.3725327999982246</v>
      </c>
      <c r="Q9" s="22">
        <f t="shared" si="2"/>
        <v>8.3797615911680001</v>
      </c>
      <c r="R9" s="62">
        <f t="shared" si="0"/>
        <v>189.85001368742698</v>
      </c>
      <c r="S9" s="62">
        <f ca="1">AVERAGE(OFFSET($R$3,0,0,'Données projet'!$E$9+1,1))-AVERAGE(OFFSET($H$3,0,0,'Données projet'!$E$9+1,1))</f>
        <v>259.10606516000064</v>
      </c>
      <c r="T9" s="62">
        <f t="shared" si="34"/>
        <v>316.57989180609252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5.666666666666667</v>
      </c>
      <c r="AI9" s="14">
        <f>IF('Données projet'!$A$62&gt;35,AI8+AH9-AQ8,IF(A9&lt;'Données projet'!$A$62,$AF$205^A9,IF(A9='Données projet'!$A$62,'Données projet'!$B$62,AI8+AH9-AQ8)))</f>
        <v>2.7931212200789908</v>
      </c>
      <c r="AJ9" s="14">
        <f>AI9*VLOOKUP('Données projet'!$B$10,Paramètres!$A$1:$I$89,3,0)*VLOOKUP('Données projet'!$B$10,Paramètres!$A$1:$I$89,5,0)</f>
        <v>1.3071807309969676</v>
      </c>
      <c r="AK9" s="14">
        <f t="shared" si="35"/>
        <v>0.58391043161404843</v>
      </c>
      <c r="AL9" s="22">
        <f t="shared" si="4"/>
        <v>3.2936504415475194</v>
      </c>
      <c r="AM9" s="62">
        <f t="shared" si="5"/>
        <v>184.7639025378065</v>
      </c>
      <c r="AN9" s="62">
        <f ca="1">AVERAGE(OFFSET($AM$3,0,0,'Données projet'!$E$10+1,1))-AVERAGE(OFFSET($H$3,0,0,'Données projet'!$E$10+1,1))</f>
        <v>186.83226999296298</v>
      </c>
      <c r="AO9" s="62">
        <f t="shared" si="36"/>
        <v>232.70925470547317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3.2775509376901719</v>
      </c>
      <c r="BF9" s="14">
        <f t="shared" si="37"/>
        <v>1.315502139804245</v>
      </c>
      <c r="BG9" s="22">
        <f t="shared" si="7"/>
        <v>7.9995674433027766</v>
      </c>
      <c r="BH9" s="62">
        <f t="shared" si="8"/>
        <v>189.46981953956174</v>
      </c>
      <c r="BI9" s="62">
        <f ca="1">AVERAGE(OFFSET($BH$3,0,0,'Données projet'!$E$11+1,1))-AVERAGE(OFFSET($H$3,0,0,'Données projet'!$E$11+1,1))</f>
        <v>435.70500547084868</v>
      </c>
      <c r="BJ9" s="62">
        <f t="shared" si="38"/>
        <v>297.32483725004136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4.1251934215755606</v>
      </c>
      <c r="CA9" s="14">
        <f t="shared" si="39"/>
        <v>1.6119763394011546</v>
      </c>
      <c r="CB9" s="22">
        <f t="shared" si="10"/>
        <v>9.9922373337011123</v>
      </c>
      <c r="CC9" s="62">
        <f t="shared" si="11"/>
        <v>191.4624894299601</v>
      </c>
      <c r="CD9" s="62">
        <f ca="1">AVERAGE(OFFSET($CC$3,0,0,'Données projet'!$E$12+1,1))-AVERAGE(OFFSET($H$3,0,0,'Données projet'!$E$12+1,1))</f>
        <v>530.15080507516973</v>
      </c>
      <c r="CE9" s="62">
        <f t="shared" si="40"/>
        <v>358.10331902702217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1.6</v>
      </c>
      <c r="CT9" s="13">
        <f>IF('Données projet'!$A$140&gt;35,CT8+CS9-DB8,IF(A9&lt;'Données projet'!$A$140,$CQ$205^A9,IF(A9='Données projet'!$A$140,'Données projet'!$B$140,CT8+CS9-DB8)))</f>
        <v>2.4237866992766768</v>
      </c>
      <c r="CU9" s="18">
        <f>CT9*VLOOKUP('Données projet'!$B$13,Paramètres!$A$1:$I$89,3,0)*VLOOKUP('Données projet'!$B$13,Paramètres!$A$1:$I$89,5,0)</f>
        <v>2.0796089879793889</v>
      </c>
      <c r="CV9" s="14">
        <f t="shared" si="41"/>
        <v>0.88007702261265608</v>
      </c>
      <c r="CW9" s="22">
        <f t="shared" si="13"/>
        <v>5.1547864684478117</v>
      </c>
      <c r="CX9" s="62">
        <f t="shared" si="14"/>
        <v>186.62503856470678</v>
      </c>
      <c r="CY9" s="62">
        <f ca="1">AVERAGE(OFFSET($CX$3,0,0,'Données projet'!$E$13+1,1))-AVERAGE(OFFSET($H$3,0,0,'Données projet'!$E$13+1,1))</f>
        <v>182.98212193167009</v>
      </c>
      <c r="CZ9" s="62">
        <f t="shared" si="42"/>
        <v>195.9200038944301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2.6666666666666665</v>
      </c>
      <c r="DO9" s="13">
        <f>IF('Données projet'!$A$166&gt;35,DO8+DN9-DW8,IF(A9&lt;'Données projet'!$A$166,$DL$205^A9,IF(A9='Données projet'!$A$166,'Données projet'!$B$166,DO8+DN9-DW8)))</f>
        <v>4.3734482957731098</v>
      </c>
      <c r="DP9" s="18">
        <f>DO9*VLOOKUP('Données projet'!$B$14,Paramètres!$A$1:$I$89,3,0)*VLOOKUP('Données projet'!$B$14,Paramètres!$A$1:$I$89,5,0)</f>
        <v>1.9330641467317147</v>
      </c>
      <c r="DQ9" s="14">
        <f t="shared" si="43"/>
        <v>0.82504809412068725</v>
      </c>
      <c r="DR9" s="22">
        <f t="shared" si="16"/>
        <v>4.8037121528179325</v>
      </c>
      <c r="DS9" s="62">
        <f t="shared" si="17"/>
        <v>186.2739642490769</v>
      </c>
      <c r="DT9" s="62">
        <f ca="1">AVERAGE(OFFSET($DS$3,0,0,'Données projet'!$E$14+1,1))-AVERAGE(OFFSET($H$3,0,0,'Données projet'!$E$14+1,1))</f>
        <v>338.33525241236157</v>
      </c>
      <c r="DU9" s="62">
        <f t="shared" si="44"/>
        <v>373.47257029791717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1.2</v>
      </c>
      <c r="EJ9" s="13">
        <f>IF('Données projet'!$A$192&gt;35,EJ8+EI9-ER8,IF(A9&lt;'Données projet'!$A$192,$EG$205^A9,IF(A9='Données projet'!$A$192,'Données projet'!$B$192,EJ8+EI9-ER8)))</f>
        <v>2.2620859438457455</v>
      </c>
      <c r="EK9" s="18">
        <f>EJ9*VLOOKUP('Données projet'!$B$15,Paramètres!$A$1:$I$89,3,0)*VLOOKUP('Données projet'!$B$15,Paramètres!$A$1:$I$89,5,0)</f>
        <v>1.7644270361996814</v>
      </c>
      <c r="EL9" s="14">
        <f t="shared" si="45"/>
        <v>0.76111643093920622</v>
      </c>
      <c r="EM9" s="22">
        <f t="shared" si="19"/>
        <v>4.3986548719335623</v>
      </c>
      <c r="EN9" s="62">
        <f t="shared" si="20"/>
        <v>185.86890696819253</v>
      </c>
      <c r="EO9" s="62">
        <f ca="1">AVERAGE(OFFSET($EN$3,0,0,'Données projet'!$E$15+1,1))-AVERAGE(OFFSET($H$3,0,0,'Données projet'!$E$15+1,1))</f>
        <v>144.92790055195192</v>
      </c>
      <c r="EP9" s="62">
        <f t="shared" si="46"/>
        <v>151.00642748754026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2.4666666666666668</v>
      </c>
      <c r="N10" s="14">
        <f>IF('Données projet'!$A$36&gt;35,N9+M10-V9,IF(A10&lt;'Données projet'!$A$36,$K$205^A10,IF(A10='Données projet'!$A$36,'Données projet'!$B$36,N9+M10-V9)))</f>
        <v>5.3929633792034757</v>
      </c>
      <c r="O10" s="14">
        <f>N10*VLOOKUP('Données projet'!$B$9,Paramètres!$A$1:$I$89,3,0)*VLOOKUP('Données projet'!$B$9,Paramètres!$A$1:$I$89,5,0)</f>
        <v>4.3747718932098598</v>
      </c>
      <c r="P10" s="14">
        <f t="shared" si="33"/>
        <v>1.6978537101246285</v>
      </c>
      <c r="Q10" s="22">
        <f t="shared" si="2"/>
        <v>10.576489592474234</v>
      </c>
      <c r="R10" s="62">
        <f t="shared" si="0"/>
        <v>194.70067052821048</v>
      </c>
      <c r="S10" s="62">
        <f ca="1">AVERAGE(OFFSET($R$3,0,0,'Données projet'!$E$9+1,1))-AVERAGE(OFFSET($H$3,0,0,'Données projet'!$E$9+1,1))</f>
        <v>259.10606516000064</v>
      </c>
      <c r="T10" s="62">
        <f t="shared" si="34"/>
        <v>316.57989180609252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5.666666666666667</v>
      </c>
      <c r="AI10" s="14">
        <f>IF('Données projet'!$A$62&gt;35,AI9+AH10-AQ9,IF(A10&lt;'Données projet'!$A$62,$AF$205^A10,IF(A10='Données projet'!$A$62,'Données projet'!$B$62,AI9+AH10-AQ9)))</f>
        <v>3.3146530868523985</v>
      </c>
      <c r="AJ10" s="14">
        <f>AI10*VLOOKUP('Données projet'!$B$10,Paramètres!$A$1:$I$89,3,0)*VLOOKUP('Données projet'!$B$10,Paramètres!$A$1:$I$89,5,0)</f>
        <v>1.5512576446469224</v>
      </c>
      <c r="AK10" s="14">
        <f t="shared" si="35"/>
        <v>0.67926680181972632</v>
      </c>
      <c r="AL10" s="22">
        <f t="shared" si="4"/>
        <v>3.8848300775960793</v>
      </c>
      <c r="AM10" s="62">
        <f t="shared" si="5"/>
        <v>188.00901101333233</v>
      </c>
      <c r="AN10" s="62">
        <f ca="1">AVERAGE(OFFSET($AM$3,0,0,'Données projet'!$E$10+1,1))-AVERAGE(OFFSET($H$3,0,0,'Données projet'!$E$10+1,1))</f>
        <v>186.83226999296298</v>
      </c>
      <c r="AO10" s="62">
        <f t="shared" si="36"/>
        <v>232.70925470547317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4.0617724818240486</v>
      </c>
      <c r="BF10" s="14">
        <f t="shared" si="37"/>
        <v>1.590058719758437</v>
      </c>
      <c r="BG10" s="22">
        <f t="shared" si="7"/>
        <v>9.8436060094228282</v>
      </c>
      <c r="BH10" s="62">
        <f t="shared" si="8"/>
        <v>193.96778694515905</v>
      </c>
      <c r="BI10" s="62">
        <f ca="1">AVERAGE(OFFSET($BH$3,0,0,'Données projet'!$E$11+1,1))-AVERAGE(OFFSET($H$3,0,0,'Données projet'!$E$11+1,1))</f>
        <v>435.70500547084868</v>
      </c>
      <c r="BJ10" s="62">
        <f t="shared" si="38"/>
        <v>297.32483725004136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5.112230882295786</v>
      </c>
      <c r="CA10" s="14">
        <f t="shared" si="39"/>
        <v>1.9484096277414671</v>
      </c>
      <c r="CB10" s="22">
        <f t="shared" si="10"/>
        <v>12.297282221648215</v>
      </c>
      <c r="CC10" s="62">
        <f t="shared" si="11"/>
        <v>196.42146315738444</v>
      </c>
      <c r="CD10" s="62">
        <f ca="1">AVERAGE(OFFSET($CC$3,0,0,'Données projet'!$E$12+1,1))-AVERAGE(OFFSET($H$3,0,0,'Données projet'!$E$12+1,1))</f>
        <v>530.15080507516973</v>
      </c>
      <c r="CE10" s="62">
        <f t="shared" si="40"/>
        <v>358.10331902702217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1.6</v>
      </c>
      <c r="CT10" s="13">
        <f>IF('Données projet'!$A$140&gt;35,CT9+CS10-DB9,IF(A10&lt;'Données projet'!$A$140,$CQ$205^A10,IF(A10='Données projet'!$A$140,'Données projet'!$B$140,CT9+CS10-DB9)))</f>
        <v>2.8091620812506162</v>
      </c>
      <c r="CU10" s="18">
        <f>CT10*VLOOKUP('Données projet'!$B$13,Paramètres!$A$1:$I$89,3,0)*VLOOKUP('Données projet'!$B$13,Paramètres!$A$1:$I$89,5,0)</f>
        <v>2.410261065713029</v>
      </c>
      <c r="CV10" s="14">
        <f t="shared" si="41"/>
        <v>1.0026373775596455</v>
      </c>
      <c r="CW10" s="22">
        <f t="shared" si="13"/>
        <v>5.9441314553665761</v>
      </c>
      <c r="CX10" s="62">
        <f t="shared" si="14"/>
        <v>190.06831239110281</v>
      </c>
      <c r="CY10" s="62">
        <f ca="1">AVERAGE(OFFSET($CX$3,0,0,'Données projet'!$E$13+1,1))-AVERAGE(OFFSET($H$3,0,0,'Données projet'!$E$13+1,1))</f>
        <v>182.98212193167009</v>
      </c>
      <c r="CZ10" s="62">
        <f t="shared" si="42"/>
        <v>195.9200038944301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2.6666666666666665</v>
      </c>
      <c r="DO10" s="13">
        <f>IF('Données projet'!$A$166&gt;35,DO9+DN10-DW9,IF(A10&lt;'Données projet'!$A$166,$DL$205^A10,IF(A10='Données projet'!$A$166,'Données projet'!$B$166,DO9+DN10-DW9)))</f>
        <v>5.5927833467405659</v>
      </c>
      <c r="DP10" s="18">
        <f>DO10*VLOOKUP('Données projet'!$B$14,Paramètres!$A$1:$I$89,3,0)*VLOOKUP('Données projet'!$B$14,Paramètres!$A$1:$I$89,5,0)</f>
        <v>2.4720102392593302</v>
      </c>
      <c r="DQ10" s="14">
        <f t="shared" si="43"/>
        <v>1.0253007599940263</v>
      </c>
      <c r="DR10" s="22">
        <f t="shared" si="16"/>
        <v>6.0911499903662616</v>
      </c>
      <c r="DS10" s="62">
        <f t="shared" si="17"/>
        <v>190.2153309261025</v>
      </c>
      <c r="DT10" s="62">
        <f ca="1">AVERAGE(OFFSET($DS$3,0,0,'Données projet'!$E$14+1,1))-AVERAGE(OFFSET($H$3,0,0,'Données projet'!$E$14+1,1))</f>
        <v>338.33525241236157</v>
      </c>
      <c r="DU10" s="62">
        <f t="shared" si="44"/>
        <v>373.47257029791717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1.2</v>
      </c>
      <c r="EJ10" s="13">
        <f>IF('Données projet'!$A$192&gt;35,EJ9+EI10-ER9,IF(A10&lt;'Données projet'!$A$192,$EG$205^A10,IF(A10='Données projet'!$A$192,'Données projet'!$B$192,EJ9+EI10-ER9)))</f>
        <v>2.5917550374450604</v>
      </c>
      <c r="EK10" s="18">
        <f>EJ10*VLOOKUP('Données projet'!$B$15,Paramètres!$A$1:$I$89,3,0)*VLOOKUP('Données projet'!$B$15,Paramètres!$A$1:$I$89,5,0)</f>
        <v>2.021568929207147</v>
      </c>
      <c r="EL10" s="14">
        <f t="shared" si="45"/>
        <v>0.85833825956153864</v>
      </c>
      <c r="EM10" s="22">
        <f t="shared" si="19"/>
        <v>5.0158383537721276</v>
      </c>
      <c r="EN10" s="62">
        <f t="shared" si="20"/>
        <v>189.14001928950836</v>
      </c>
      <c r="EO10" s="62">
        <f ca="1">AVERAGE(OFFSET($EN$3,0,0,'Données projet'!$E$15+1,1))-AVERAGE(OFFSET($H$3,0,0,'Données projet'!$E$15+1,1))</f>
        <v>144.92790055195192</v>
      </c>
      <c r="EP10" s="62">
        <f t="shared" si="46"/>
        <v>151.00642748754026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2.4666666666666668</v>
      </c>
      <c r="N11" s="14">
        <f>IF('Données projet'!$A$36&gt;35,N10+M11-V10,IF(A11&lt;'Données projet'!$A$36,$K$205^A11,IF(A11='Données projet'!$A$36,'Données projet'!$B$36,N10+M11-V10)))</f>
        <v>6.8607919984549888</v>
      </c>
      <c r="O11" s="14">
        <f>N11*VLOOKUP('Données projet'!$B$9,Paramètres!$A$1:$I$89,3,0)*VLOOKUP('Données projet'!$B$9,Paramètres!$A$1:$I$89,5,0)</f>
        <v>5.5654744691466869</v>
      </c>
      <c r="P11" s="14">
        <f t="shared" si="33"/>
        <v>2.10028293749169</v>
      </c>
      <c r="Q11" s="22">
        <f t="shared" si="2"/>
        <v>13.351194149895173</v>
      </c>
      <c r="R11" s="62">
        <f t="shared" si="0"/>
        <v>200.10446701611573</v>
      </c>
      <c r="S11" s="62">
        <f ca="1">AVERAGE(OFFSET($R$3,0,0,'Données projet'!$E$9+1,1))-AVERAGE(OFFSET($H$3,0,0,'Données projet'!$E$9+1,1))</f>
        <v>259.10606516000064</v>
      </c>
      <c r="T11" s="62">
        <f t="shared" si="34"/>
        <v>316.57989180609252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5.666666666666667</v>
      </c>
      <c r="AI11" s="14">
        <f>IF('Données projet'!$A$62&gt;35,AI10+AH11-AQ10,IF(A11&lt;'Données projet'!$A$62,$AF$205^A11,IF(A11='Données projet'!$A$62,'Données projet'!$B$62,AI10+AH11-AQ10)))</f>
        <v>3.9335654346822158</v>
      </c>
      <c r="AJ11" s="14">
        <f>AI11*VLOOKUP('Données projet'!$B$10,Paramètres!$A$1:$I$89,3,0)*VLOOKUP('Données projet'!$B$10,Paramètres!$A$1:$I$89,5,0)</f>
        <v>1.8409086234312768</v>
      </c>
      <c r="AK11" s="14">
        <f t="shared" si="35"/>
        <v>0.79019548730956168</v>
      </c>
      <c r="AL11" s="22">
        <f t="shared" si="4"/>
        <v>4.5825063262069596</v>
      </c>
      <c r="AM11" s="62">
        <f t="shared" si="5"/>
        <v>191.33577919242751</v>
      </c>
      <c r="AN11" s="62">
        <f ca="1">AVERAGE(OFFSET($AM$3,0,0,'Données projet'!$E$10+1,1))-AVERAGE(OFFSET($H$3,0,0,'Données projet'!$E$10+1,1))</f>
        <v>186.83226999296298</v>
      </c>
      <c r="AO11" s="62">
        <f t="shared" si="36"/>
        <v>232.70925470547317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5.0336351769196082</v>
      </c>
      <c r="BF11" s="14">
        <f t="shared" si="37"/>
        <v>1.9219176128866391</v>
      </c>
      <c r="BG11" s="22">
        <f t="shared" si="7"/>
        <v>12.11425444224588</v>
      </c>
      <c r="BH11" s="62">
        <f t="shared" si="8"/>
        <v>198.86752730846644</v>
      </c>
      <c r="BI11" s="62">
        <f ca="1">AVERAGE(OFFSET($BH$3,0,0,'Données projet'!$E$11+1,1))-AVERAGE(OFFSET($H$3,0,0,'Données projet'!$E$11+1,1))</f>
        <v>435.70500547084868</v>
      </c>
      <c r="BJ11" s="62">
        <f t="shared" si="38"/>
        <v>297.32483725004136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6.3354373778470929</v>
      </c>
      <c r="CA11" s="14">
        <f t="shared" si="39"/>
        <v>2.3550594290273259</v>
      </c>
      <c r="CB11" s="22">
        <f t="shared" si="10"/>
        <v>15.135948605306281</v>
      </c>
      <c r="CC11" s="62">
        <f t="shared" si="11"/>
        <v>201.88922147152684</v>
      </c>
      <c r="CD11" s="62">
        <f ca="1">AVERAGE(OFFSET($CC$3,0,0,'Données projet'!$E$12+1,1))-AVERAGE(OFFSET($H$3,0,0,'Données projet'!$E$12+1,1))</f>
        <v>530.15080507516973</v>
      </c>
      <c r="CE11" s="62">
        <f t="shared" si="40"/>
        <v>358.10331902702217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1.6</v>
      </c>
      <c r="CT11" s="13">
        <f>IF('Données projet'!$A$140&gt;35,CT10+CS11-DB10,IF(A11&lt;'Données projet'!$A$140,$CQ$205^A11,IF(A11='Données projet'!$A$140,'Données projet'!$B$140,CT10+CS11-DB10)))</f>
        <v>3.2558110831663929</v>
      </c>
      <c r="CU11" s="18">
        <f>CT11*VLOOKUP('Données projet'!$B$13,Paramètres!$A$1:$I$89,3,0)*VLOOKUP('Données projet'!$B$13,Paramètres!$A$1:$I$89,5,0)</f>
        <v>2.7934859093567654</v>
      </c>
      <c r="CV11" s="14">
        <f t="shared" si="41"/>
        <v>1.1422656029529505</v>
      </c>
      <c r="CW11" s="22">
        <f t="shared" si="13"/>
        <v>6.8547672172727552</v>
      </c>
      <c r="CX11" s="62">
        <f t="shared" si="14"/>
        <v>193.60804008349331</v>
      </c>
      <c r="CY11" s="62">
        <f ca="1">AVERAGE(OFFSET($CX$3,0,0,'Données projet'!$E$13+1,1))-AVERAGE(OFFSET($H$3,0,0,'Données projet'!$E$13+1,1))</f>
        <v>182.98212193167009</v>
      </c>
      <c r="CZ11" s="62">
        <f t="shared" si="42"/>
        <v>195.9200038944301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2.6666666666666665</v>
      </c>
      <c r="DO11" s="13">
        <f>IF('Données projet'!$A$166&gt;35,DO10+DN11-DW10,IF(A11&lt;'Données projet'!$A$166,$DL$205^A11,IF(A11='Données projet'!$A$166,'Données projet'!$B$166,DO10+DN11-DW10)))</f>
        <v>7.1520739352994367</v>
      </c>
      <c r="DP11" s="18">
        <f>DO11*VLOOKUP('Données projet'!$B$14,Paramètres!$A$1:$I$89,3,0)*VLOOKUP('Données projet'!$B$14,Paramètres!$A$1:$I$89,5,0)</f>
        <v>3.1612166794023513</v>
      </c>
      <c r="DQ11" s="14">
        <f t="shared" si="43"/>
        <v>1.2741580229510274</v>
      </c>
      <c r="DR11" s="22">
        <f t="shared" si="16"/>
        <v>7.7249442732654678</v>
      </c>
      <c r="DS11" s="62">
        <f t="shared" si="17"/>
        <v>194.47821713948602</v>
      </c>
      <c r="DT11" s="62">
        <f ca="1">AVERAGE(OFFSET($DS$3,0,0,'Données projet'!$E$14+1,1))-AVERAGE(OFFSET($H$3,0,0,'Données projet'!$E$14+1,1))</f>
        <v>338.33525241236157</v>
      </c>
      <c r="DU11" s="62">
        <f t="shared" si="44"/>
        <v>373.47257029791717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1.2</v>
      </c>
      <c r="EJ11" s="13">
        <f>IF('Données projet'!$A$192&gt;35,EJ10+EI11-ER10,IF(A11&lt;'Données projet'!$A$192,$EG$205^A11,IF(A11='Données projet'!$A$192,'Données projet'!$B$192,EJ10+EI11-ER10)))</f>
        <v>2.9694690391391689</v>
      </c>
      <c r="EK11" s="18">
        <f>EJ11*VLOOKUP('Données projet'!$B$15,Paramètres!$A$1:$I$89,3,0)*VLOOKUP('Données projet'!$B$15,Paramètres!$A$1:$I$89,5,0)</f>
        <v>2.316185850528552</v>
      </c>
      <c r="EL11" s="14">
        <f t="shared" si="45"/>
        <v>0.96797879782729113</v>
      </c>
      <c r="EM11" s="22">
        <f t="shared" si="19"/>
        <v>5.719920095886426</v>
      </c>
      <c r="EN11" s="62">
        <f t="shared" si="20"/>
        <v>192.47319296210699</v>
      </c>
      <c r="EO11" s="62">
        <f ca="1">AVERAGE(OFFSET($EN$3,0,0,'Données projet'!$E$15+1,1))-AVERAGE(OFFSET($H$3,0,0,'Données projet'!$E$15+1,1))</f>
        <v>144.92790055195192</v>
      </c>
      <c r="EP11" s="62">
        <f t="shared" si="46"/>
        <v>151.00642748754026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2.4666666666666668</v>
      </c>
      <c r="N12" s="14">
        <f>IF('Données projet'!$A$36&gt;35,N11+M12-V11,IF(A12&lt;'Données projet'!$A$36,$K$205^A12,IF(A12='Données projet'!$A$36,'Données projet'!$B$36,N11+M12-V11)))</f>
        <v>8.7281265486761299</v>
      </c>
      <c r="O12" s="14">
        <f>N12*VLOOKUP('Données projet'!$B$9,Paramètres!$A$1:$I$89,3,0)*VLOOKUP('Données projet'!$B$9,Paramètres!$A$1:$I$89,5,0)</f>
        <v>7.0802562562860771</v>
      </c>
      <c r="P12" s="14">
        <f t="shared" si="33"/>
        <v>2.5980968744326778</v>
      </c>
      <c r="Q12" s="22">
        <f t="shared" si="2"/>
        <v>16.856465036001829</v>
      </c>
      <c r="R12" s="62">
        <f t="shared" si="0"/>
        <v>206.21442378855789</v>
      </c>
      <c r="S12" s="62">
        <f ca="1">AVERAGE(OFFSET($R$3,0,0,'Données projet'!$E$9+1,1))-AVERAGE(OFFSET($H$3,0,0,'Données projet'!$E$9+1,1))</f>
        <v>259.10606516000064</v>
      </c>
      <c r="T12" s="62">
        <f t="shared" si="34"/>
        <v>316.57989180609252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5.666666666666667</v>
      </c>
      <c r="AI12" s="14">
        <f>IF('Données projet'!$A$62&gt;35,AI11+AH12-AQ11,IF(A12&lt;'Données projet'!$A$62,$AF$205^A12,IF(A12='Données projet'!$A$62,'Données projet'!$B$62,AI11+AH12-AQ11)))</f>
        <v>4.6680411564939428</v>
      </c>
      <c r="AJ12" s="14">
        <f>AI12*VLOOKUP('Données projet'!$B$10,Paramètres!$A$1:$I$89,3,0)*VLOOKUP('Données projet'!$B$10,Paramètres!$A$1:$I$89,5,0)</f>
        <v>2.1846432612391653</v>
      </c>
      <c r="AK12" s="14">
        <f t="shared" si="35"/>
        <v>0.91923954842431754</v>
      </c>
      <c r="AL12" s="22">
        <f t="shared" si="4"/>
        <v>5.4059292268305654</v>
      </c>
      <c r="AM12" s="62">
        <f t="shared" si="5"/>
        <v>194.76388797938665</v>
      </c>
      <c r="AN12" s="62">
        <f ca="1">AVERAGE(OFFSET($AM$3,0,0,'Données projet'!$E$10+1,1))-AVERAGE(OFFSET($H$3,0,0,'Données projet'!$E$10+1,1))</f>
        <v>186.83226999296298</v>
      </c>
      <c r="AO12" s="62">
        <f t="shared" si="36"/>
        <v>232.70925470547317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6.2380360317336141</v>
      </c>
      <c r="BF12" s="14">
        <f t="shared" si="37"/>
        <v>2.3230383034439352</v>
      </c>
      <c r="BG12" s="22">
        <f t="shared" si="7"/>
        <v>14.910537800434229</v>
      </c>
      <c r="BH12" s="62">
        <f t="shared" si="8"/>
        <v>204.26849655299031</v>
      </c>
      <c r="BI12" s="62">
        <f ca="1">AVERAGE(OFFSET($BH$3,0,0,'Données projet'!$E$11+1,1))-AVERAGE(OFFSET($H$3,0,0,'Données projet'!$E$11+1,1))</f>
        <v>435.70500547084868</v>
      </c>
      <c r="BJ12" s="62">
        <f t="shared" si="38"/>
        <v>297.32483725004136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7.8513212123543772</v>
      </c>
      <c r="CA12" s="14">
        <f t="shared" si="39"/>
        <v>2.8465805317743214</v>
      </c>
      <c r="CB12" s="22">
        <f t="shared" si="10"/>
        <v>18.632178871024148</v>
      </c>
      <c r="CC12" s="62">
        <f t="shared" si="11"/>
        <v>207.99013762358021</v>
      </c>
      <c r="CD12" s="62">
        <f ca="1">AVERAGE(OFFSET($CC$3,0,0,'Données projet'!$E$12+1,1))-AVERAGE(OFFSET($H$3,0,0,'Données projet'!$E$12+1,1))</f>
        <v>530.15080507516973</v>
      </c>
      <c r="CE12" s="62">
        <f t="shared" si="40"/>
        <v>358.10331902702217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1.6</v>
      </c>
      <c r="CT12" s="13">
        <f>IF('Données projet'!$A$140&gt;35,CT11+CS12-DB11,IF(A12&lt;'Données projet'!$A$140,$CQ$205^A12,IF(A12='Données projet'!$A$140,'Données projet'!$B$140,CT11+CS12-DB11)))</f>
        <v>3.7734760411367758</v>
      </c>
      <c r="CU12" s="18">
        <f>CT12*VLOOKUP('Données projet'!$B$13,Paramètres!$A$1:$I$89,3,0)*VLOOKUP('Données projet'!$B$13,Paramètres!$A$1:$I$89,5,0)</f>
        <v>3.2376424432953543</v>
      </c>
      <c r="CV12" s="14">
        <f t="shared" si="41"/>
        <v>1.3013385865039213</v>
      </c>
      <c r="CW12" s="22">
        <f t="shared" si="13"/>
        <v>7.9053919602337386</v>
      </c>
      <c r="CX12" s="62">
        <f t="shared" si="14"/>
        <v>197.26335071278982</v>
      </c>
      <c r="CY12" s="62">
        <f ca="1">AVERAGE(OFFSET($CX$3,0,0,'Données projet'!$E$13+1,1))-AVERAGE(OFFSET($H$3,0,0,'Données projet'!$E$13+1,1))</f>
        <v>182.98212193167009</v>
      </c>
      <c r="CZ12" s="62">
        <f t="shared" si="42"/>
        <v>195.9200038944301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2.6666666666666665</v>
      </c>
      <c r="DO12" s="13">
        <f>IF('Données projet'!$A$166&gt;35,DO11+DN12-DW11,IF(A12&lt;'Données projet'!$A$166,$DL$205^A12,IF(A12='Données projet'!$A$166,'Données projet'!$B$166,DO11+DN12-DW11)))</f>
        <v>9.1461010385465205</v>
      </c>
      <c r="DP12" s="18">
        <f>DO12*VLOOKUP('Données projet'!$B$14,Paramètres!$A$1:$I$89,3,0)*VLOOKUP('Données projet'!$B$14,Paramètres!$A$1:$I$89,5,0)</f>
        <v>4.0425766590375627</v>
      </c>
      <c r="DQ12" s="14">
        <f t="shared" si="43"/>
        <v>1.5834170136184524</v>
      </c>
      <c r="DR12" s="22">
        <f t="shared" si="16"/>
        <v>9.7986056465425602</v>
      </c>
      <c r="DS12" s="62">
        <f t="shared" si="17"/>
        <v>199.15656439909864</v>
      </c>
      <c r="DT12" s="62">
        <f ca="1">AVERAGE(OFFSET($DS$3,0,0,'Données projet'!$E$14+1,1))-AVERAGE(OFFSET($H$3,0,0,'Données projet'!$E$14+1,1))</f>
        <v>338.33525241236157</v>
      </c>
      <c r="DU12" s="62">
        <f t="shared" si="44"/>
        <v>373.47257029791717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1.2</v>
      </c>
      <c r="EJ12" s="13">
        <f>IF('Données projet'!$A$192&gt;35,EJ11+EI12-ER11,IF(A12&lt;'Données projet'!$A$192,$EG$205^A12,IF(A12='Données projet'!$A$192,'Données projet'!$B$192,EJ11+EI12-ER11)))</f>
        <v>3.4022298585357786</v>
      </c>
      <c r="EK12" s="18">
        <f>EJ12*VLOOKUP('Données projet'!$B$15,Paramètres!$A$1:$I$89,3,0)*VLOOKUP('Données projet'!$B$15,Paramètres!$A$1:$I$89,5,0)</f>
        <v>2.6537392896579073</v>
      </c>
      <c r="EL12" s="14">
        <f t="shared" si="45"/>
        <v>1.0916243597504351</v>
      </c>
      <c r="EM12" s="22">
        <f t="shared" si="19"/>
        <v>6.5231750227195286</v>
      </c>
      <c r="EN12" s="62">
        <f t="shared" si="20"/>
        <v>195.8811337752756</v>
      </c>
      <c r="EO12" s="62">
        <f ca="1">AVERAGE(OFFSET($EN$3,0,0,'Données projet'!$E$15+1,1))-AVERAGE(OFFSET($H$3,0,0,'Données projet'!$E$15+1,1))</f>
        <v>144.92790055195192</v>
      </c>
      <c r="EP12" s="62">
        <f t="shared" si="46"/>
        <v>151.00642748754026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2.4666666666666668</v>
      </c>
      <c r="N13" s="14">
        <f>IF('Données projet'!$A$36&gt;35,N12+M13-V12,IF(A13&lt;'Données projet'!$A$36,$K$205^A13,IF(A13='Données projet'!$A$36,'Données projet'!$B$36,N12+M13-V12)))</f>
        <v>11.103702468586782</v>
      </c>
      <c r="O13" s="14">
        <f>N13*VLOOKUP('Données projet'!$B$9,Paramètres!$A$1:$I$89,3,0)*VLOOKUP('Données projet'!$B$9,Paramètres!$A$1:$I$89,5,0)</f>
        <v>9.007323442517599</v>
      </c>
      <c r="P13" s="14">
        <f t="shared" si="33"/>
        <v>3.2139038262141559</v>
      </c>
      <c r="Q13" s="22">
        <f t="shared" si="2"/>
        <v>21.285304159707806</v>
      </c>
      <c r="R13" s="62">
        <f t="shared" si="0"/>
        <v>213.22396614475269</v>
      </c>
      <c r="S13" s="62">
        <f ca="1">AVERAGE(OFFSET($R$3,0,0,'Données projet'!$E$9+1,1))-AVERAGE(OFFSET($H$3,0,0,'Données projet'!$E$9+1,1))</f>
        <v>259.10606516000064</v>
      </c>
      <c r="T13" s="62">
        <f t="shared" si="34"/>
        <v>316.57989180609252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5.666666666666667</v>
      </c>
      <c r="AI13" s="14">
        <f>IF('Données projet'!$A$62&gt;35,AI12+AH13-AQ12,IF(A13&lt;'Données projet'!$A$62,$AF$205^A13,IF(A13='Données projet'!$A$62,'Données projet'!$B$62,AI12+AH13-AQ12)))</f>
        <v>5.5396582567544659</v>
      </c>
      <c r="AJ13" s="14">
        <f>AI13*VLOOKUP('Données projet'!$B$10,Paramètres!$A$1:$I$89,3,0)*VLOOKUP('Données projet'!$B$10,Paramètres!$A$1:$I$89,5,0)</f>
        <v>2.59256006416109</v>
      </c>
      <c r="AK13" s="14">
        <f t="shared" si="35"/>
        <v>1.069357343793981</v>
      </c>
      <c r="AL13" s="22">
        <f t="shared" si="4"/>
        <v>6.377839485521748</v>
      </c>
      <c r="AM13" s="62">
        <f t="shared" si="5"/>
        <v>198.31650147056664</v>
      </c>
      <c r="AN13" s="62">
        <f ca="1">AVERAGE(OFFSET($AM$3,0,0,'Données projet'!$E$10+1,1))-AVERAGE(OFFSET($H$3,0,0,'Données projet'!$E$10+1,1))</f>
        <v>186.83226999296298</v>
      </c>
      <c r="AO13" s="62">
        <f t="shared" si="36"/>
        <v>232.70925470547317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7.7306145887633031</v>
      </c>
      <c r="BF13" s="14">
        <f t="shared" si="37"/>
        <v>2.8078763226288115</v>
      </c>
      <c r="BG13" s="22">
        <f t="shared" si="7"/>
        <v>18.354538337341264</v>
      </c>
      <c r="BH13" s="62">
        <f t="shared" si="8"/>
        <v>210.29320032238616</v>
      </c>
      <c r="BI13" s="62">
        <f ca="1">AVERAGE(OFFSET($BH$3,0,0,'Données projet'!$E$11+1,1))-AVERAGE(OFFSET($H$3,0,0,'Données projet'!$E$11+1,1))</f>
        <v>435.70500547084868</v>
      </c>
      <c r="BJ13" s="62">
        <f t="shared" si="38"/>
        <v>297.32483725004136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9.7299114651676053</v>
      </c>
      <c r="CA13" s="14">
        <f t="shared" si="39"/>
        <v>3.4406863045588816</v>
      </c>
      <c r="CB13" s="22">
        <f t="shared" si="10"/>
        <v>22.938791115606964</v>
      </c>
      <c r="CC13" s="62">
        <f t="shared" si="11"/>
        <v>214.87745310065185</v>
      </c>
      <c r="CD13" s="62">
        <f ca="1">AVERAGE(OFFSET($CC$3,0,0,'Données projet'!$E$12+1,1))-AVERAGE(OFFSET($H$3,0,0,'Données projet'!$E$12+1,1))</f>
        <v>530.15080507516973</v>
      </c>
      <c r="CE13" s="62">
        <f t="shared" si="40"/>
        <v>358.10331902702217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1.6</v>
      </c>
      <c r="CT13" s="13">
        <f>IF('Données projet'!$A$140&gt;35,CT12+CS13-DB12,IF(A13&lt;'Données projet'!$A$140,$CQ$205^A13,IF(A13='Données projet'!$A$140,'Données projet'!$B$140,CT12+CS13-DB12)))</f>
        <v>4.3734482957731124</v>
      </c>
      <c r="CU13" s="18">
        <f>CT13*VLOOKUP('Données projet'!$B$13,Paramètres!$A$1:$I$89,3,0)*VLOOKUP('Données projet'!$B$13,Paramètres!$A$1:$I$89,5,0)</f>
        <v>3.7524186377733306</v>
      </c>
      <c r="CV13" s="14">
        <f t="shared" si="41"/>
        <v>1.482564223544931</v>
      </c>
      <c r="CW13" s="22">
        <f t="shared" si="13"/>
        <v>9.117595150129306</v>
      </c>
      <c r="CX13" s="62">
        <f t="shared" si="14"/>
        <v>201.05625713517421</v>
      </c>
      <c r="CY13" s="62">
        <f ca="1">AVERAGE(OFFSET($CX$3,0,0,'Données projet'!$E$13+1,1))-AVERAGE(OFFSET($H$3,0,0,'Données projet'!$E$13+1,1))</f>
        <v>182.98212193167009</v>
      </c>
      <c r="CZ13" s="62">
        <f t="shared" si="42"/>
        <v>195.9200038944301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2.6666666666666665</v>
      </c>
      <c r="DO13" s="13">
        <f>IF('Données projet'!$A$166&gt;35,DO12+DN13-DW12,IF(A13&lt;'Données projet'!$A$166,$DL$205^A13,IF(A13='Données projet'!$A$166,'Données projet'!$B$166,DO12+DN13-DW12)))</f>
        <v>11.696070952851455</v>
      </c>
      <c r="DP13" s="18">
        <f>DO13*VLOOKUP('Données projet'!$B$14,Paramètres!$A$1:$I$89,3,0)*VLOOKUP('Données projet'!$B$14,Paramètres!$A$1:$I$89,5,0)</f>
        <v>5.1696633611603442</v>
      </c>
      <c r="DQ13" s="14">
        <f t="shared" si="43"/>
        <v>1.9677382191649426</v>
      </c>
      <c r="DR13" s="22">
        <f t="shared" si="16"/>
        <v>12.430974419066542</v>
      </c>
      <c r="DS13" s="62">
        <f t="shared" si="17"/>
        <v>204.36963640411142</v>
      </c>
      <c r="DT13" s="62">
        <f ca="1">AVERAGE(OFFSET($DS$3,0,0,'Données projet'!$E$14+1,1))-AVERAGE(OFFSET($H$3,0,0,'Données projet'!$E$14+1,1))</f>
        <v>338.33525241236157</v>
      </c>
      <c r="DU13" s="62">
        <f t="shared" si="44"/>
        <v>373.47257029791717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1.2</v>
      </c>
      <c r="EJ13" s="13">
        <f>IF('Données projet'!$A$192&gt;35,EJ12+EI13-ER12,IF(A13&lt;'Données projet'!$A$192,$EG$205^A13,IF(A13='Données projet'!$A$192,'Données projet'!$B$192,EJ12+EI13-ER12)))</f>
        <v>3.8980598409161908</v>
      </c>
      <c r="EK13" s="18">
        <f>EJ13*VLOOKUP('Données projet'!$B$15,Paramètres!$A$1:$I$89,3,0)*VLOOKUP('Données projet'!$B$15,Paramètres!$A$1:$I$89,5,0)</f>
        <v>3.0404866759146292</v>
      </c>
      <c r="EL13" s="14">
        <f t="shared" si="45"/>
        <v>1.2310638884604614</v>
      </c>
      <c r="EM13" s="22">
        <f t="shared" si="19"/>
        <v>7.4396172329532817</v>
      </c>
      <c r="EN13" s="62">
        <f t="shared" si="20"/>
        <v>199.37827921799817</v>
      </c>
      <c r="EO13" s="62">
        <f ca="1">AVERAGE(OFFSET($EN$3,0,0,'Données projet'!$E$15+1,1))-AVERAGE(OFFSET($H$3,0,0,'Données projet'!$E$15+1,1))</f>
        <v>144.92790055195192</v>
      </c>
      <c r="EP13" s="62">
        <f t="shared" si="46"/>
        <v>151.00642748754026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2.4666666666666668</v>
      </c>
      <c r="N14" s="14">
        <f>IF('Données projet'!$A$36&gt;35,N13+M14-V13,IF(A14&lt;'Données projet'!$A$36,$K$205^A14,IF(A14='Données projet'!$A$36,'Données projet'!$B$36,N13+M14-V13)))</f>
        <v>14.125850240977657</v>
      </c>
      <c r="O14" s="14">
        <f>N14*VLOOKUP('Données projet'!$B$9,Paramètres!$A$1:$I$89,3,0)*VLOOKUP('Données projet'!$B$9,Paramètres!$A$1:$I$89,5,0)</f>
        <v>11.458889715481076</v>
      </c>
      <c r="P14" s="14">
        <f t="shared" si="33"/>
        <v>3.9756707710945065</v>
      </c>
      <c r="Q14" s="22">
        <f t="shared" si="2"/>
        <v>26.881859514119139</v>
      </c>
      <c r="R14" s="62">
        <f t="shared" si="0"/>
        <v>221.37765812323326</v>
      </c>
      <c r="S14" s="62">
        <f ca="1">AVERAGE(OFFSET($R$3,0,0,'Données projet'!$E$9+1,1))-AVERAGE(OFFSET($H$3,0,0,'Données projet'!$E$9+1,1))</f>
        <v>259.10606516000064</v>
      </c>
      <c r="T14" s="62">
        <f t="shared" si="34"/>
        <v>316.57989180609252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5.666666666666667</v>
      </c>
      <c r="AI14" s="14">
        <f>IF('Données projet'!$A$62&gt;35,AI13+AH14-AQ13,IF(A14&lt;'Données projet'!$A$62,$AF$205^A14,IF(A14='Données projet'!$A$62,'Données projet'!$B$62,AI13+AH14-AQ13)))</f>
        <v>6.5740237870303684</v>
      </c>
      <c r="AJ14" s="14">
        <f>AI14*VLOOKUP('Données projet'!$B$10,Paramètres!$A$1:$I$89,3,0)*VLOOKUP('Données projet'!$B$10,Paramètres!$A$1:$I$89,5,0)</f>
        <v>3.0766431323302124</v>
      </c>
      <c r="AK14" s="14">
        <f t="shared" si="35"/>
        <v>1.24399035124876</v>
      </c>
      <c r="AL14" s="22">
        <f t="shared" si="4"/>
        <v>7.5251033172333761</v>
      </c>
      <c r="AM14" s="62">
        <f t="shared" si="5"/>
        <v>202.02090192634751</v>
      </c>
      <c r="AN14" s="62">
        <f ca="1">AVERAGE(OFFSET($AM$3,0,0,'Données projet'!$E$10+1,1))-AVERAGE(OFFSET($H$3,0,0,'Données projet'!$E$10+1,1))</f>
        <v>186.83226999296298</v>
      </c>
      <c r="AO14" s="62">
        <f t="shared" si="36"/>
        <v>232.70925470547317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9.5803232966244067</v>
      </c>
      <c r="BF14" s="14">
        <f t="shared" si="37"/>
        <v>3.3939041949894282</v>
      </c>
      <c r="BG14" s="22">
        <f t="shared" si="7"/>
        <v>22.596779547894098</v>
      </c>
      <c r="BH14" s="62">
        <f t="shared" si="8"/>
        <v>217.09257815700823</v>
      </c>
      <c r="BI14" s="62">
        <f ca="1">AVERAGE(OFFSET($BH$3,0,0,'Données projet'!$E$11+1,1))-AVERAGE(OFFSET($H$3,0,0,'Données projet'!$E$11+1,1))</f>
        <v>435.70500547084868</v>
      </c>
      <c r="BJ14" s="62">
        <f t="shared" si="38"/>
        <v>297.32483725004136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12.057993114716927</v>
      </c>
      <c r="CA14" s="14">
        <f t="shared" si="39"/>
        <v>4.1587870479111393</v>
      </c>
      <c r="CB14" s="22">
        <f t="shared" si="10"/>
        <v>28.244225449910545</v>
      </c>
      <c r="CC14" s="62">
        <f t="shared" si="11"/>
        <v>222.74002405902468</v>
      </c>
      <c r="CD14" s="62">
        <f ca="1">AVERAGE(OFFSET($CC$3,0,0,'Données projet'!$E$12+1,1))-AVERAGE(OFFSET($H$3,0,0,'Données projet'!$E$12+1,1))</f>
        <v>530.15080507516973</v>
      </c>
      <c r="CE14" s="62">
        <f t="shared" si="40"/>
        <v>358.10331902702217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1.6</v>
      </c>
      <c r="CT14" s="13">
        <f>IF('Données projet'!$A$140&gt;35,CT13+CS14-DB13,IF(A14&lt;'Données projet'!$A$140,$CQ$205^A14,IF(A14='Données projet'!$A$140,'Données projet'!$B$140,CT13+CS14-DB13)))</f>
        <v>5.0688144796166874</v>
      </c>
      <c r="CU14" s="18">
        <f>CT14*VLOOKUP('Données projet'!$B$13,Paramètres!$A$1:$I$89,3,0)*VLOOKUP('Données projet'!$B$13,Paramètres!$A$1:$I$89,5,0)</f>
        <v>4.3490428235111187</v>
      </c>
      <c r="CV14" s="14">
        <f t="shared" si="41"/>
        <v>1.6890275134623942</v>
      </c>
      <c r="CW14" s="22">
        <f t="shared" si="13"/>
        <v>10.516305836895535</v>
      </c>
      <c r="CX14" s="62">
        <f t="shared" si="14"/>
        <v>205.01210444600966</v>
      </c>
      <c r="CY14" s="62">
        <f ca="1">AVERAGE(OFFSET($CX$3,0,0,'Données projet'!$E$13+1,1))-AVERAGE(OFFSET($H$3,0,0,'Données projet'!$E$13+1,1))</f>
        <v>182.98212193167009</v>
      </c>
      <c r="CZ14" s="62">
        <f t="shared" si="42"/>
        <v>195.9200038944301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2.6666666666666665</v>
      </c>
      <c r="DO14" s="13">
        <f>IF('Données projet'!$A$166&gt;35,DO13+DN14-DW13,IF(A14&lt;'Données projet'!$A$166,$DL$205^A14,IF(A14='Données projet'!$A$166,'Données projet'!$B$166,DO13+DN14-DW13)))</f>
        <v>14.956982779612416</v>
      </c>
      <c r="DP14" s="18">
        <f>DO14*VLOOKUP('Données projet'!$B$14,Paramètres!$A$1:$I$89,3,0)*VLOOKUP('Données projet'!$B$14,Paramètres!$A$1:$I$89,5,0)</f>
        <v>6.6109863885886879</v>
      </c>
      <c r="DQ14" s="14">
        <f t="shared" si="43"/>
        <v>2.445340466763124</v>
      </c>
      <c r="DR14" s="22">
        <f t="shared" si="16"/>
        <v>15.773102606404407</v>
      </c>
      <c r="DS14" s="62">
        <f t="shared" si="17"/>
        <v>210.26890121551855</v>
      </c>
      <c r="DT14" s="62">
        <f ca="1">AVERAGE(OFFSET($DS$3,0,0,'Données projet'!$E$14+1,1))-AVERAGE(OFFSET($H$3,0,0,'Données projet'!$E$14+1,1))</f>
        <v>338.33525241236157</v>
      </c>
      <c r="DU14" s="62">
        <f t="shared" si="44"/>
        <v>373.47257029791717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1.2</v>
      </c>
      <c r="EJ14" s="13">
        <f>IF('Données projet'!$A$192&gt;35,EJ13+EI14-ER13,IF(A14&lt;'Données projet'!$A$192,$EG$205^A14,IF(A14='Données projet'!$A$192,'Données projet'!$B$192,EJ13+EI14-ER13)))</f>
        <v>4.4661504822319662</v>
      </c>
      <c r="EK14" s="18">
        <f>EJ14*VLOOKUP('Données projet'!$B$15,Paramètres!$A$1:$I$89,3,0)*VLOOKUP('Données projet'!$B$15,Paramètres!$A$1:$I$89,5,0)</f>
        <v>3.4835973761409336</v>
      </c>
      <c r="EL14" s="14">
        <f t="shared" si="45"/>
        <v>1.3883148391978588</v>
      </c>
      <c r="EM14" s="22">
        <f t="shared" si="19"/>
        <v>8.4852471083817296</v>
      </c>
      <c r="EN14" s="62">
        <f t="shared" si="20"/>
        <v>202.98104571749587</v>
      </c>
      <c r="EO14" s="62">
        <f ca="1">AVERAGE(OFFSET($EN$3,0,0,'Données projet'!$E$15+1,1))-AVERAGE(OFFSET($H$3,0,0,'Données projet'!$E$15+1,1))</f>
        <v>144.92790055195192</v>
      </c>
      <c r="EP14" s="62">
        <f t="shared" si="46"/>
        <v>151.00642748754026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2.4666666666666668</v>
      </c>
      <c r="N15" s="14">
        <f>IF('Données projet'!$A$36&gt;35,N14+M15-V14,IF(A15&lt;'Données projet'!$A$36,$K$205^A15,IF(A15='Données projet'!$A$36,'Données projet'!$B$36,N14+M15-V14)))</f>
        <v>17.970550417308221</v>
      </c>
      <c r="O15" s="14">
        <f>N15*VLOOKUP('Données projet'!$B$9,Paramètres!$A$1:$I$89,3,0)*VLOOKUP('Données projet'!$B$9,Paramètres!$A$1:$I$89,5,0)</f>
        <v>14.57771049852043</v>
      </c>
      <c r="P15" s="14">
        <f t="shared" si="33"/>
        <v>4.9179934854347964</v>
      </c>
      <c r="Q15" s="22">
        <f t="shared" si="2"/>
        <v>33.955017772055356</v>
      </c>
      <c r="R15" s="62">
        <f t="shared" si="0"/>
        <v>230.98479522478823</v>
      </c>
      <c r="S15" s="62">
        <f ca="1">AVERAGE(OFFSET($R$3,0,0,'Données projet'!$E$9+1,1))-AVERAGE(OFFSET($H$3,0,0,'Données projet'!$E$9+1,1))</f>
        <v>259.10606516000064</v>
      </c>
      <c r="T15" s="62">
        <f t="shared" si="34"/>
        <v>316.57989180609252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5.666666666666667</v>
      </c>
      <c r="AI15" s="14">
        <f>IF('Données projet'!$A$62&gt;35,AI14+AH15-AQ14,IF(A15&lt;'Données projet'!$A$62,$AF$205^A15,IF(A15='Données projet'!$A$62,'Données projet'!$B$62,AI14+AH15-AQ14)))</f>
        <v>7.8015261500555493</v>
      </c>
      <c r="AJ15" s="14">
        <f>AI15*VLOOKUP('Données projet'!$B$10,Paramètres!$A$1:$I$89,3,0)*VLOOKUP('Données projet'!$B$10,Paramètres!$A$1:$I$89,5,0)</f>
        <v>3.6511142382259969</v>
      </c>
      <c r="AK15" s="14">
        <f t="shared" si="35"/>
        <v>1.4471420643258348</v>
      </c>
      <c r="AL15" s="22">
        <f t="shared" si="4"/>
        <v>8.8794630602777733</v>
      </c>
      <c r="AM15" s="62">
        <f t="shared" si="5"/>
        <v>205.90924051301064</v>
      </c>
      <c r="AN15" s="62">
        <f ca="1">AVERAGE(OFFSET($AM$3,0,0,'Données projet'!$E$10+1,1))-AVERAGE(OFFSET($H$3,0,0,'Données projet'!$E$10+1,1))</f>
        <v>186.83226999296298</v>
      </c>
      <c r="AO15" s="62">
        <f t="shared" si="36"/>
        <v>232.70925470547317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11.872612896942668</v>
      </c>
      <c r="BF15" s="14">
        <f t="shared" si="37"/>
        <v>4.1022411108131784</v>
      </c>
      <c r="BG15" s="22">
        <f t="shared" si="7"/>
        <v>27.822870730174767</v>
      </c>
      <c r="BH15" s="62">
        <f t="shared" si="8"/>
        <v>224.85264818290764</v>
      </c>
      <c r="BI15" s="62">
        <f ca="1">AVERAGE(OFFSET($BH$3,0,0,'Données projet'!$E$11+1,1))-AVERAGE(OFFSET($H$3,0,0,'Données projet'!$E$11+1,1))</f>
        <v>435.70500547084868</v>
      </c>
      <c r="BJ15" s="62">
        <f t="shared" si="38"/>
        <v>297.32483725004136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14.943116232358877</v>
      </c>
      <c r="CA15" s="14">
        <f t="shared" si="39"/>
        <v>5.0267615757231452</v>
      </c>
      <c r="CB15" s="22">
        <f t="shared" si="10"/>
        <v>34.780870515742855</v>
      </c>
      <c r="CC15" s="62">
        <f t="shared" si="11"/>
        <v>231.81064796847573</v>
      </c>
      <c r="CD15" s="62">
        <f ca="1">AVERAGE(OFFSET($CC$3,0,0,'Données projet'!$E$12+1,1))-AVERAGE(OFFSET($H$3,0,0,'Données projet'!$E$12+1,1))</f>
        <v>530.15080507516973</v>
      </c>
      <c r="CE15" s="62">
        <f t="shared" si="40"/>
        <v>358.10331902702217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1.6</v>
      </c>
      <c r="CT15" s="13">
        <f>IF('Données projet'!$A$140&gt;35,CT14+CS15-DB14,IF(A15&lt;'Données projet'!$A$140,$CQ$205^A15,IF(A15='Données projet'!$A$140,'Données projet'!$B$140,CT14+CS15-DB14)))</f>
        <v>5.8747419635905285</v>
      </c>
      <c r="CU15" s="18">
        <f>CT15*VLOOKUP('Données projet'!$B$13,Paramètres!$A$1:$I$89,3,0)*VLOOKUP('Données projet'!$B$13,Paramètres!$A$1:$I$89,5,0)</f>
        <v>5.0405286047606745</v>
      </c>
      <c r="CV15" s="14">
        <f t="shared" si="41"/>
        <v>1.9242430755624527</v>
      </c>
      <c r="CW15" s="22">
        <f t="shared" si="13"/>
        <v>12.130310676562779</v>
      </c>
      <c r="CX15" s="62">
        <f t="shared" si="14"/>
        <v>209.16008812929564</v>
      </c>
      <c r="CY15" s="62">
        <f ca="1">AVERAGE(OFFSET($CX$3,0,0,'Données projet'!$E$13+1,1))-AVERAGE(OFFSET($H$3,0,0,'Données projet'!$E$13+1,1))</f>
        <v>182.98212193167009</v>
      </c>
      <c r="CZ15" s="62">
        <f t="shared" si="42"/>
        <v>195.9200038944301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2.6666666666666665</v>
      </c>
      <c r="DO15" s="13">
        <f>IF('Données projet'!$A$166&gt;35,DO14+DN15-DW14,IF(A15&lt;'Données projet'!$A$166,$DL$205^A15,IF(A15='Données projet'!$A$166,'Données projet'!$B$166,DO14+DN15-DW14)))</f>
        <v>19.127049995800721</v>
      </c>
      <c r="DP15" s="18">
        <f>DO15*VLOOKUP('Données projet'!$B$14,Paramètres!$A$1:$I$89,3,0)*VLOOKUP('Données projet'!$B$14,Paramètres!$A$1:$I$89,5,0)</f>
        <v>8.454156098143919</v>
      </c>
      <c r="DQ15" s="14">
        <f t="shared" si="43"/>
        <v>3.0388645909042316</v>
      </c>
      <c r="DR15" s="22">
        <f t="shared" si="16"/>
        <v>20.017011033425529</v>
      </c>
      <c r="DS15" s="62">
        <f t="shared" si="17"/>
        <v>217.04678848615839</v>
      </c>
      <c r="DT15" s="62">
        <f ca="1">AVERAGE(OFFSET($DS$3,0,0,'Données projet'!$E$14+1,1))-AVERAGE(OFFSET($H$3,0,0,'Données projet'!$E$14+1,1))</f>
        <v>338.33525241236157</v>
      </c>
      <c r="DU15" s="62">
        <f t="shared" si="44"/>
        <v>373.47257029791717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1.2</v>
      </c>
      <c r="EJ15" s="13">
        <f>IF('Données projet'!$A$192&gt;35,EJ14+EI15-ER14,IF(A15&lt;'Données projet'!$A$192,$EG$205^A15,IF(A15='Données projet'!$A$192,'Données projet'!$B$192,EJ14+EI15-ER14)))</f>
        <v>5.1170328173444979</v>
      </c>
      <c r="EK15" s="18">
        <f>EJ15*VLOOKUP('Données projet'!$B$15,Paramètres!$A$1:$I$89,3,0)*VLOOKUP('Données projet'!$B$15,Paramètres!$A$1:$I$89,5,0)</f>
        <v>3.9912855975287087</v>
      </c>
      <c r="EL15" s="14">
        <f t="shared" si="45"/>
        <v>1.5656523684951553</v>
      </c>
      <c r="EM15" s="22">
        <f t="shared" si="19"/>
        <v>9.6783336241582294</v>
      </c>
      <c r="EN15" s="62">
        <f t="shared" si="20"/>
        <v>206.7081110768911</v>
      </c>
      <c r="EO15" s="62">
        <f ca="1">AVERAGE(OFFSET($EN$3,0,0,'Données projet'!$E$15+1,1))-AVERAGE(OFFSET($H$3,0,0,'Données projet'!$E$15+1,1))</f>
        <v>144.92790055195192</v>
      </c>
      <c r="EP15" s="62">
        <f t="shared" si="46"/>
        <v>151.00642748754026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2.4666666666666668</v>
      </c>
      <c r="N16" s="14">
        <f>IF('Données projet'!$A$36&gt;35,N15+M16-V15,IF(A16&lt;'Données projet'!$A$36,$K$205^A16,IF(A16='Données projet'!$A$36,'Données projet'!$B$36,N15+M16-V15)))</f>
        <v>22.86168101684942</v>
      </c>
      <c r="O16" s="14">
        <f>N16*VLOOKUP('Données projet'!$B$9,Paramètres!$A$1:$I$89,3,0)*VLOOKUP('Données projet'!$B$9,Paramètres!$A$1:$I$89,5,0)</f>
        <v>18.545395640868254</v>
      </c>
      <c r="P16" s="14">
        <f t="shared" si="33"/>
        <v>6.0836677168115934</v>
      </c>
      <c r="Q16" s="22">
        <f t="shared" si="2"/>
        <v>42.895618681292397</v>
      </c>
      <c r="R16" s="62">
        <f t="shared" si="0"/>
        <v>242.43661893291122</v>
      </c>
      <c r="S16" s="62">
        <f ca="1">AVERAGE(OFFSET($R$3,0,0,'Données projet'!$E$9+1,1))-AVERAGE(OFFSET($H$3,0,0,'Données projet'!$E$9+1,1))</f>
        <v>259.10606516000064</v>
      </c>
      <c r="T16" s="62">
        <f t="shared" si="34"/>
        <v>316.57989180609252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5.666666666666667</v>
      </c>
      <c r="AI16" s="14">
        <f>IF('Données projet'!$A$62&gt;35,AI15+AH16-AQ15,IF(A16&lt;'Données projet'!$A$62,$AF$205^A16,IF(A16='Données projet'!$A$62,'Données projet'!$B$62,AI15+AH16-AQ15)))</f>
        <v>9.2582278740877637</v>
      </c>
      <c r="AJ16" s="14">
        <f>AI16*VLOOKUP('Données projet'!$B$10,Paramètres!$A$1:$I$89,3,0)*VLOOKUP('Données projet'!$B$10,Paramètres!$A$1:$I$89,5,0)</f>
        <v>4.3328506450730728</v>
      </c>
      <c r="AK16" s="14">
        <f t="shared" si="35"/>
        <v>1.683469773088665</v>
      </c>
      <c r="AL16" s="22">
        <f t="shared" si="4"/>
        <v>10.478424728298359</v>
      </c>
      <c r="AM16" s="62">
        <f t="shared" si="5"/>
        <v>210.01942497991718</v>
      </c>
      <c r="AN16" s="62">
        <f ca="1">AVERAGE(OFFSET($AM$3,0,0,'Données projet'!$E$10+1,1))-AVERAGE(OFFSET($H$3,0,0,'Données projet'!$E$10+1,1))</f>
        <v>186.83226999296298</v>
      </c>
      <c r="AO16" s="62">
        <f t="shared" si="36"/>
        <v>232.70925470547317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14.713379980643843</v>
      </c>
      <c r="BF16" s="14">
        <f t="shared" si="37"/>
        <v>4.9584140165447881</v>
      </c>
      <c r="BG16" s="22">
        <f t="shared" si="7"/>
        <v>34.261707878436859</v>
      </c>
      <c r="BH16" s="62">
        <f t="shared" si="8"/>
        <v>233.80270813005566</v>
      </c>
      <c r="BI16" s="62">
        <f ca="1">AVERAGE(OFFSET($BH$3,0,0,'Données projet'!$E$11+1,1))-AVERAGE(OFFSET($H$3,0,0,'Données projet'!$E$11+1,1))</f>
        <v>435.70500547084868</v>
      </c>
      <c r="BJ16" s="62">
        <f t="shared" si="38"/>
        <v>297.32483725004136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18.518564458396558</v>
      </c>
      <c r="CA16" s="14">
        <f t="shared" si="39"/>
        <v>6.0758898323150072</v>
      </c>
      <c r="CB16" s="22">
        <f t="shared" si="10"/>
        <v>42.835341222989307</v>
      </c>
      <c r="CC16" s="62">
        <f t="shared" si="11"/>
        <v>242.37634147460813</v>
      </c>
      <c r="CD16" s="62">
        <f ca="1">AVERAGE(OFFSET($CC$3,0,0,'Données projet'!$E$12+1,1))-AVERAGE(OFFSET($H$3,0,0,'Données projet'!$E$12+1,1))</f>
        <v>530.15080507516973</v>
      </c>
      <c r="CE16" s="62">
        <f t="shared" si="40"/>
        <v>358.10331902702217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1.6</v>
      </c>
      <c r="CT16" s="13">
        <f>IF('Données projet'!$A$140&gt;35,CT15+CS16-DB15,IF(A16&lt;'Données projet'!$A$140,$CQ$205^A16,IF(A16='Données projet'!$A$140,'Données projet'!$B$140,CT15+CS16-DB15)))</f>
        <v>6.8088096886476315</v>
      </c>
      <c r="CU16" s="18">
        <f>CT16*VLOOKUP('Données projet'!$B$13,Paramètres!$A$1:$I$89,3,0)*VLOOKUP('Données projet'!$B$13,Paramètres!$A$1:$I$89,5,0)</f>
        <v>5.8419587128596682</v>
      </c>
      <c r="CV16" s="14">
        <f t="shared" si="41"/>
        <v>2.1922149783455773</v>
      </c>
      <c r="CW16" s="22">
        <f t="shared" si="13"/>
        <v>13.992852512182466</v>
      </c>
      <c r="CX16" s="62">
        <f t="shared" si="14"/>
        <v>213.53385276380129</v>
      </c>
      <c r="CY16" s="62">
        <f ca="1">AVERAGE(OFFSET($CX$3,0,0,'Données projet'!$E$13+1,1))-AVERAGE(OFFSET($H$3,0,0,'Données projet'!$E$13+1,1))</f>
        <v>182.98212193167009</v>
      </c>
      <c r="CZ16" s="62">
        <f t="shared" si="42"/>
        <v>195.9200038944301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2.6666666666666665</v>
      </c>
      <c r="DO16" s="13">
        <f>IF('Données projet'!$A$166&gt;35,DO15+DN16-DW15,IF(A16&lt;'Données projet'!$A$166,$DL$205^A16,IF(A16='Données projet'!$A$166,'Données projet'!$B$166,DO15+DN16-DW15)))</f>
        <v>24.459748796430759</v>
      </c>
      <c r="DP16" s="18">
        <f>DO16*VLOOKUP('Données projet'!$B$14,Paramètres!$A$1:$I$89,3,0)*VLOOKUP('Données projet'!$B$14,Paramètres!$A$1:$I$89,5,0)</f>
        <v>10.811208968022395</v>
      </c>
      <c r="DQ16" s="14">
        <f t="shared" si="43"/>
        <v>3.7764467268950201</v>
      </c>
      <c r="DR16" s="22">
        <f t="shared" si="16"/>
        <v>25.406833668647831</v>
      </c>
      <c r="DS16" s="62">
        <f t="shared" si="17"/>
        <v>224.94783392026665</v>
      </c>
      <c r="DT16" s="62">
        <f ca="1">AVERAGE(OFFSET($DS$3,0,0,'Données projet'!$E$14+1,1))-AVERAGE(OFFSET($H$3,0,0,'Données projet'!$E$14+1,1))</f>
        <v>338.33525241236157</v>
      </c>
      <c r="DU16" s="62">
        <f t="shared" si="44"/>
        <v>373.47257029791717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1.2</v>
      </c>
      <c r="EJ16" s="13">
        <f>IF('Données projet'!$A$192&gt;35,EJ15+EI16-ER15,IF(A16&lt;'Données projet'!$A$192,$EG$205^A16,IF(A16='Données projet'!$A$192,'Données projet'!$B$192,EJ15+EI16-ER15)))</f>
        <v>5.8627726400958746</v>
      </c>
      <c r="EK16" s="18">
        <f>EJ16*VLOOKUP('Données projet'!$B$15,Paramètres!$A$1:$I$89,3,0)*VLOOKUP('Données projet'!$B$15,Paramètres!$A$1:$I$89,5,0)</f>
        <v>4.5729626592747827</v>
      </c>
      <c r="EL16" s="14">
        <f t="shared" si="45"/>
        <v>1.7656422518618211</v>
      </c>
      <c r="EM16" s="22">
        <f t="shared" si="19"/>
        <v>11.03973688689625</v>
      </c>
      <c r="EN16" s="62">
        <f t="shared" si="20"/>
        <v>210.58073713851508</v>
      </c>
      <c r="EO16" s="62">
        <f ca="1">AVERAGE(OFFSET($EN$3,0,0,'Données projet'!$E$15+1,1))-AVERAGE(OFFSET($H$3,0,0,'Données projet'!$E$15+1,1))</f>
        <v>144.92790055195192</v>
      </c>
      <c r="EP16" s="62">
        <f t="shared" si="46"/>
        <v>151.00642748754026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2.4666666666666668</v>
      </c>
      <c r="N17" s="14">
        <f>IF('Données projet'!$A$36&gt;35,N16+M17-V16,IF(A17&lt;'Données projet'!$A$36,$K$205^A17,IF(A17='Données projet'!$A$36,'Données projet'!$B$36,N16+M17-V16)))</f>
        <v>29.084054009429774</v>
      </c>
      <c r="O17" s="14">
        <f>N17*VLOOKUP('Données projet'!$B$9,Paramètres!$A$1:$I$89,3,0)*VLOOKUP('Données projet'!$B$9,Paramètres!$A$1:$I$89,5,0)</f>
        <v>23.592984612449435</v>
      </c>
      <c r="P17" s="14">
        <f t="shared" si="33"/>
        <v>7.5256327602279143</v>
      </c>
      <c r="Q17" s="22">
        <f t="shared" si="2"/>
        <v>54.198258590746377</v>
      </c>
      <c r="R17" s="62">
        <f t="shared" si="0"/>
        <v>256.22812036301957</v>
      </c>
      <c r="S17" s="62">
        <f ca="1">AVERAGE(OFFSET($R$3,0,0,'Données projet'!$E$9+1,1))-AVERAGE(OFFSET($H$3,0,0,'Données projet'!$E$9+1,1))</f>
        <v>259.10606516000064</v>
      </c>
      <c r="T17" s="62">
        <f t="shared" si="34"/>
        <v>316.57989180609252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5.666666666666667</v>
      </c>
      <c r="AI17" s="14">
        <f>IF('Données projet'!$A$62&gt;35,AI16+AH17-AQ16,IF(A17&lt;'Données projet'!$A$62,$AF$205^A17,IF(A17='Données projet'!$A$62,'Données projet'!$B$62,AI16+AH17-AQ16)))</f>
        <v>10.986925086180136</v>
      </c>
      <c r="AJ17" s="14">
        <f>AI17*VLOOKUP('Données projet'!$B$10,Paramètres!$A$1:$I$89,3,0)*VLOOKUP('Données projet'!$B$10,Paramètres!$A$1:$I$89,5,0)</f>
        <v>5.141880940332304</v>
      </c>
      <c r="AK17" s="14">
        <f t="shared" si="35"/>
        <v>1.95839133335087</v>
      </c>
      <c r="AL17" s="22">
        <f t="shared" si="4"/>
        <v>12.366307543331528</v>
      </c>
      <c r="AM17" s="62">
        <f t="shared" si="5"/>
        <v>214.39616931560471</v>
      </c>
      <c r="AN17" s="62">
        <f ca="1">AVERAGE(OFFSET($AM$3,0,0,'Données projet'!$E$10+1,1))-AVERAGE(OFFSET($H$3,0,0,'Données projet'!$E$10+1,1))</f>
        <v>186.83226999296298</v>
      </c>
      <c r="AO17" s="62">
        <f t="shared" si="36"/>
        <v>232.70925470547317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18.233859078363277</v>
      </c>
      <c r="BF17" s="14">
        <f t="shared" si="37"/>
        <v>5.9932775513027368</v>
      </c>
      <c r="BG17" s="22">
        <f t="shared" si="7"/>
        <v>42.195596296668306</v>
      </c>
      <c r="BH17" s="62">
        <f t="shared" si="8"/>
        <v>244.22545806894149</v>
      </c>
      <c r="BI17" s="62">
        <f ca="1">AVERAGE(OFFSET($BH$3,0,0,'Données projet'!$E$11+1,1))-AVERAGE(OFFSET($H$3,0,0,'Données projet'!$E$11+1,1))</f>
        <v>435.70500547084868</v>
      </c>
      <c r="BJ17" s="62">
        <f t="shared" si="38"/>
        <v>297.32483725004136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22.949512288284819</v>
      </c>
      <c r="CA17" s="14">
        <f t="shared" si="39"/>
        <v>7.3439801546820176</v>
      </c>
      <c r="CB17" s="22">
        <f t="shared" si="10"/>
        <v>52.761166004833903</v>
      </c>
      <c r="CC17" s="62">
        <f t="shared" si="11"/>
        <v>254.7910277771071</v>
      </c>
      <c r="CD17" s="62">
        <f ca="1">AVERAGE(OFFSET($CC$3,0,0,'Données projet'!$E$12+1,1))-AVERAGE(OFFSET($H$3,0,0,'Données projet'!$E$12+1,1))</f>
        <v>530.15080507516973</v>
      </c>
      <c r="CE17" s="62">
        <f t="shared" si="40"/>
        <v>358.10331902702217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1.6</v>
      </c>
      <c r="CT17" s="13">
        <f>IF('Données projet'!$A$140&gt;35,CT16+CS17-DB16,IF(A17&lt;'Données projet'!$A$140,$CQ$205^A17,IF(A17='Données projet'!$A$140,'Données projet'!$B$140,CT16+CS17-DB16)))</f>
        <v>7.891391598736293</v>
      </c>
      <c r="CU17" s="18">
        <f>CT17*VLOOKUP('Données projet'!$B$13,Paramètres!$A$1:$I$89,3,0)*VLOOKUP('Données projet'!$B$13,Paramètres!$A$1:$I$89,5,0)</f>
        <v>6.7708139917157402</v>
      </c>
      <c r="CV17" s="14">
        <f t="shared" si="41"/>
        <v>2.4975049006622885</v>
      </c>
      <c r="CW17" s="22">
        <f t="shared" si="13"/>
        <v>16.142322070891733</v>
      </c>
      <c r="CX17" s="62">
        <f t="shared" si="14"/>
        <v>218.17218384316493</v>
      </c>
      <c r="CY17" s="62">
        <f ca="1">AVERAGE(OFFSET($CX$3,0,0,'Données projet'!$E$13+1,1))-AVERAGE(OFFSET($H$3,0,0,'Données projet'!$E$13+1,1))</f>
        <v>182.98212193167009</v>
      </c>
      <c r="CZ17" s="62">
        <f t="shared" si="42"/>
        <v>195.9200038944301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2.6666666666666665</v>
      </c>
      <c r="DO17" s="13">
        <f>IF('Données projet'!$A$166&gt;35,DO16+DN17-DW16,IF(A17&lt;'Données projet'!$A$166,$DL$205^A17,IF(A17='Données projet'!$A$166,'Données projet'!$B$166,DO16+DN17-DW16)))</f>
        <v>31.279225563578599</v>
      </c>
      <c r="DP17" s="18">
        <f>DO17*VLOOKUP('Données projet'!$B$14,Paramètres!$A$1:$I$89,3,0)*VLOOKUP('Données projet'!$B$14,Paramètres!$A$1:$I$89,5,0)</f>
        <v>13.825417699101742</v>
      </c>
      <c r="DQ17" s="14">
        <f t="shared" si="43"/>
        <v>4.6930521102398011</v>
      </c>
      <c r="DR17" s="22">
        <f t="shared" si="16"/>
        <v>32.25300158460319</v>
      </c>
      <c r="DS17" s="62">
        <f t="shared" si="17"/>
        <v>234.28286335687639</v>
      </c>
      <c r="DT17" s="62">
        <f ca="1">AVERAGE(OFFSET($DS$3,0,0,'Données projet'!$E$14+1,1))-AVERAGE(OFFSET($H$3,0,0,'Données projet'!$E$14+1,1))</f>
        <v>338.33525241236157</v>
      </c>
      <c r="DU17" s="62">
        <f t="shared" si="44"/>
        <v>373.47257029791717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1.2</v>
      </c>
      <c r="EJ17" s="13">
        <f>IF('Données projet'!$A$192&gt;35,EJ16+EI17-ER16,IF(A17&lt;'Données projet'!$A$192,$EG$205^A17,IF(A17='Données projet'!$A$192,'Données projet'!$B$192,EJ16+EI17-ER16)))</f>
        <v>6.7171941741218459</v>
      </c>
      <c r="EK17" s="18">
        <f>EJ17*VLOOKUP('Données projet'!$B$15,Paramètres!$A$1:$I$89,3,0)*VLOOKUP('Données projet'!$B$15,Paramètres!$A$1:$I$89,5,0)</f>
        <v>5.2394114558150404</v>
      </c>
      <c r="EL17" s="14">
        <f t="shared" si="45"/>
        <v>1.9911780062365287</v>
      </c>
      <c r="EM17" s="22">
        <f t="shared" si="19"/>
        <v>12.593276646406482</v>
      </c>
      <c r="EN17" s="62">
        <f t="shared" si="20"/>
        <v>214.62313841867967</v>
      </c>
      <c r="EO17" s="62">
        <f ca="1">AVERAGE(OFFSET($EN$3,0,0,'Données projet'!$E$15+1,1))-AVERAGE(OFFSET($H$3,0,0,'Données projet'!$E$15+1,1))</f>
        <v>144.92790055195192</v>
      </c>
      <c r="EP17" s="62">
        <f t="shared" si="46"/>
        <v>151.00642748754026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37</v>
      </c>
      <c r="L18" s="13">
        <f>VLOOKUP(A18,'Données projet'!$A$35:$I$55,9,0)</f>
        <v>2.4666666666666668</v>
      </c>
      <c r="M18" s="13">
        <f t="array" ref="M18">INDEX(L:L,MIN(IF(ISNUMBER(L18:L214),ROW(L18:L214),"")))</f>
        <v>2.4666666666666668</v>
      </c>
      <c r="N18" s="14">
        <f>IF('Données projet'!$A$36&gt;35,N17+M18-V17,IF(A18&lt;'Données projet'!$A$36,$K$205^A18,IF(A18='Données projet'!$A$36,'Données projet'!$B$36,N17+M18-V17)))</f>
        <v>37</v>
      </c>
      <c r="O18" s="14">
        <f>N18*VLOOKUP('Données projet'!$B$9,Paramètres!$A$1:$I$89,3,0)*VLOOKUP('Données projet'!$B$9,Paramètres!$A$1:$I$89,5,0)</f>
        <v>30.014400000000006</v>
      </c>
      <c r="P18" s="14">
        <f t="shared" si="33"/>
        <v>9.309375705269078</v>
      </c>
      <c r="Q18" s="22">
        <f t="shared" si="2"/>
        <v>68.488909353343658</v>
      </c>
      <c r="R18" s="62">
        <f t="shared" si="0"/>
        <v>272.98565928622469</v>
      </c>
      <c r="S18" s="62">
        <f ca="1">AVERAGE(OFFSET($R$3,0,0,'Données projet'!$E$9+1,1))-AVERAGE(OFFSET($H$3,0,0,'Données projet'!$E$9+1,1))</f>
        <v>259.10606516000064</v>
      </c>
      <c r="T18" s="62">
        <f t="shared" si="34"/>
        <v>316.57989180609252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15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5.666666666666667</v>
      </c>
      <c r="AI18" s="14">
        <f>IF('Données projet'!$A$62&gt;35,AI17+AH18-AQ17,IF(A18&lt;'Données projet'!$A$62,$AF$205^A18,IF(A18='Données projet'!$A$62,'Données projet'!$B$62,AI17+AH18-AQ17)))</f>
        <v>13.038404810405304</v>
      </c>
      <c r="AJ18" s="14">
        <f>AI18*VLOOKUP('Données projet'!$B$10,Paramètres!$A$1:$I$89,3,0)*VLOOKUP('Données projet'!$B$10,Paramètres!$A$1:$I$89,5,0)</f>
        <v>6.101973451269683</v>
      </c>
      <c r="AK18" s="14">
        <f t="shared" si="35"/>
        <v>2.2782093720086061</v>
      </c>
      <c r="AL18" s="22">
        <f t="shared" si="4"/>
        <v>14.595485083876353</v>
      </c>
      <c r="AM18" s="62">
        <f t="shared" si="5"/>
        <v>219.0922350167574</v>
      </c>
      <c r="AN18" s="62">
        <f ca="1">AVERAGE(OFFSET($AM$3,0,0,'Données projet'!$E$10+1,1))-AVERAGE(OFFSET($H$3,0,0,'Données projet'!$E$10+1,1))</f>
        <v>186.83226999296298</v>
      </c>
      <c r="AO18" s="62">
        <f t="shared" si="36"/>
        <v>232.70925470547317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22.596685284210423</v>
      </c>
      <c r="BF18" s="14">
        <f t="shared" si="37"/>
        <v>7.2441259820371586</v>
      </c>
      <c r="BG18" s="22">
        <f t="shared" si="7"/>
        <v>51.972746288714539</v>
      </c>
      <c r="BH18" s="62">
        <f t="shared" si="8"/>
        <v>256.46949622159559</v>
      </c>
      <c r="BI18" s="62">
        <f ca="1">AVERAGE(OFFSET($BH$3,0,0,'Données projet'!$E$11+1,1))-AVERAGE(OFFSET($H$3,0,0,'Données projet'!$E$11+1,1))</f>
        <v>435.70500547084868</v>
      </c>
      <c r="BJ18" s="62">
        <f t="shared" si="38"/>
        <v>297.32483725004136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28.440655616333807</v>
      </c>
      <c r="CA18" s="14">
        <f t="shared" si="39"/>
        <v>8.8767318040415493</v>
      </c>
      <c r="CB18" s="22">
        <f t="shared" si="10"/>
        <v>64.994449757153745</v>
      </c>
      <c r="CC18" s="62">
        <f t="shared" si="11"/>
        <v>269.49119969003482</v>
      </c>
      <c r="CD18" s="62">
        <f ca="1">AVERAGE(OFFSET($CC$3,0,0,'Données projet'!$E$12+1,1))-AVERAGE(OFFSET($H$3,0,0,'Données projet'!$E$12+1,1))</f>
        <v>530.15080507516973</v>
      </c>
      <c r="CE18" s="62">
        <f t="shared" si="40"/>
        <v>358.10331902702217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1.6</v>
      </c>
      <c r="CT18" s="13">
        <f>IF('Données projet'!$A$140&gt;35,CT17+CS18-DB17,IF(A18&lt;'Données projet'!$A$140,$CQ$205^A18,IF(A18='Données projet'!$A$140,'Données projet'!$B$140,CT17+CS18-DB17)))</f>
        <v>9.1461010385465276</v>
      </c>
      <c r="CU18" s="18">
        <f>CT18*VLOOKUP('Données projet'!$B$13,Paramètres!$A$1:$I$89,3,0)*VLOOKUP('Données projet'!$B$13,Paramètres!$A$1:$I$89,5,0)</f>
        <v>7.8473546910729226</v>
      </c>
      <c r="CV18" s="14">
        <f t="shared" si="41"/>
        <v>2.8453097850556128</v>
      </c>
      <c r="CW18" s="22">
        <f t="shared" si="13"/>
        <v>18.623057295923864</v>
      </c>
      <c r="CX18" s="62">
        <f t="shared" si="14"/>
        <v>223.11980722880492</v>
      </c>
      <c r="CY18" s="62">
        <f ca="1">AVERAGE(OFFSET($CX$3,0,0,'Données projet'!$E$13+1,1))-AVERAGE(OFFSET($H$3,0,0,'Données projet'!$E$13+1,1))</f>
        <v>182.98212193167009</v>
      </c>
      <c r="CZ18" s="62">
        <f t="shared" si="42"/>
        <v>195.9200038944301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40</v>
      </c>
      <c r="DM18" s="13">
        <f>VLOOKUP(A18,'Données projet'!$A$165:$I$185,9,0)</f>
        <v>2.6666666666666665</v>
      </c>
      <c r="DN18" s="13">
        <f t="array" ref="DN18">INDEX(DM:DM,MIN(IF(ISNUMBER(DM18:DM214),ROW(DM18:DM214),"")))</f>
        <v>2.6666666666666665</v>
      </c>
      <c r="DO18" s="13">
        <f>IF('Données projet'!$A$166&gt;35,DO17+DN18-DW17,IF(A18&lt;'Données projet'!$A$166,$DL$205^A18,IF(A18='Données projet'!$A$166,'Données projet'!$B$166,DO17+DN18-DW17)))</f>
        <v>40</v>
      </c>
      <c r="DP18" s="18">
        <f>DO18*VLOOKUP('Données projet'!$B$14,Paramètres!$A$1:$I$89,3,0)*VLOOKUP('Données projet'!$B$14,Paramètres!$A$1:$I$89,5,0)</f>
        <v>17.680000000000003</v>
      </c>
      <c r="DQ18" s="14">
        <f t="shared" si="43"/>
        <v>5.8321326109464113</v>
      </c>
      <c r="DR18" s="22">
        <f t="shared" si="16"/>
        <v>40.950297630731676</v>
      </c>
      <c r="DS18" s="62">
        <f t="shared" si="17"/>
        <v>245.44704756361273</v>
      </c>
      <c r="DT18" s="62">
        <f ca="1">AVERAGE(OFFSET($DS$3,0,0,'Données projet'!$E$14+1,1))-AVERAGE(OFFSET($H$3,0,0,'Données projet'!$E$14+1,1))</f>
        <v>338.33525241236157</v>
      </c>
      <c r="DU18" s="62">
        <f t="shared" si="44"/>
        <v>373.47257029791717</v>
      </c>
      <c r="DV18" s="16">
        <f>IF(ISNA(VLOOKUP(A18,'Données projet'!$A$165:$I$185,3,0)),0,VLOOKUP(A18,'Données projet'!$A$165:$I$185,3,0))</f>
        <v>1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0.30800000000000005</v>
      </c>
      <c r="DZ18" s="17">
        <f>IF(ISNA(VLOOKUP(A18,'Données projet'!$A$165:$I$185,7,0)),0%,VLOOKUP(A18,'Données projet'!$A$165:$I$185,7,0))</f>
        <v>0.44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1.2</v>
      </c>
      <c r="EJ18" s="13">
        <f>IF('Données projet'!$A$192&gt;35,EJ17+EI18-ER17,IF(A18&lt;'Données projet'!$A$192,$EG$205^A18,IF(A18='Données projet'!$A$192,'Données projet'!$B$192,EJ17+EI18-ER17)))</f>
        <v>7.6961363407260848</v>
      </c>
      <c r="EK18" s="18">
        <f>EJ18*VLOOKUP('Données projet'!$B$15,Paramètres!$A$1:$I$89,3,0)*VLOOKUP('Données projet'!$B$15,Paramètres!$A$1:$I$89,5,0)</f>
        <v>6.0029863457663462</v>
      </c>
      <c r="EL18" s="14">
        <f t="shared" si="45"/>
        <v>2.2455227543061551</v>
      </c>
      <c r="EM18" s="22">
        <f t="shared" si="19"/>
        <v>14.366153349292938</v>
      </c>
      <c r="EN18" s="62">
        <f t="shared" si="20"/>
        <v>218.86290328217399</v>
      </c>
      <c r="EO18" s="62">
        <f ca="1">AVERAGE(OFFSET($EN$3,0,0,'Données projet'!$E$15+1,1))-AVERAGE(OFFSET($H$3,0,0,'Données projet'!$E$15+1,1))</f>
        <v>144.92790055195192</v>
      </c>
      <c r="EP18" s="62">
        <f t="shared" si="46"/>
        <v>151.00642748754026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11.6</v>
      </c>
      <c r="N19" s="14">
        <f>IF('Données projet'!$A$36&gt;35,N18+M19-V18,IF(A19&lt;'Données projet'!$A$36,$K$205^A19,IF(A19='Données projet'!$A$36,'Données projet'!$B$36,N18+M19-V18)))</f>
        <v>33.6</v>
      </c>
      <c r="O19" s="14">
        <f>N19*VLOOKUP('Données projet'!$B$9,Paramètres!$A$1:$I$89,3,0)*VLOOKUP('Données projet'!$B$9,Paramètres!$A$1:$I$89,5,0)</f>
        <v>27.256320000000002</v>
      </c>
      <c r="P19" s="14">
        <f t="shared" si="33"/>
        <v>8.5493067504276556</v>
      </c>
      <c r="Q19" s="22">
        <f t="shared" si="2"/>
        <v>62.361466590328156</v>
      </c>
      <c r="R19" s="62">
        <f t="shared" si="0"/>
        <v>269.30351251244224</v>
      </c>
      <c r="S19" s="62">
        <f ca="1">AVERAGE(OFFSET($R$3,0,0,'Données projet'!$E$9+1,1))-AVERAGE(OFFSET($H$3,0,0,'Données projet'!$E$9+1,1))</f>
        <v>259.10606516000064</v>
      </c>
      <c r="T19" s="62">
        <f t="shared" si="34"/>
        <v>316.57989180609252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5.666666666666667</v>
      </c>
      <c r="AI19" s="14">
        <f>IF('Données projet'!$A$62&gt;35,AI18+AH19-AQ18,IF(A19&lt;'Données projet'!$A$62,$AF$205^A19,IF(A19='Données projet'!$A$62,'Données projet'!$B$62,AI18+AH19-AQ18)))</f>
        <v>15.472937028926689</v>
      </c>
      <c r="AJ19" s="14">
        <f>AI19*VLOOKUP('Données projet'!$B$10,Paramètres!$A$1:$I$89,3,0)*VLOOKUP('Données projet'!$B$10,Paramètres!$A$1:$I$89,5,0)</f>
        <v>7.2413345295376894</v>
      </c>
      <c r="AK19" s="14">
        <f t="shared" si="35"/>
        <v>2.6502557759113361</v>
      </c>
      <c r="AL19" s="22">
        <f t="shared" si="4"/>
        <v>17.227853115323715</v>
      </c>
      <c r="AM19" s="62">
        <f t="shared" si="5"/>
        <v>224.16989903743777</v>
      </c>
      <c r="AN19" s="62">
        <f ca="1">AVERAGE(OFFSET($AM$3,0,0,'Données projet'!$E$10+1,1))-AVERAGE(OFFSET($H$3,0,0,'Données projet'!$E$10+1,1))</f>
        <v>186.83226999296298</v>
      </c>
      <c r="AO19" s="62">
        <f t="shared" si="36"/>
        <v>232.70925470547317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28.003407487093821</v>
      </c>
      <c r="BF19" s="14">
        <f t="shared" si="37"/>
        <v>8.7560372090925433</v>
      </c>
      <c r="BG19" s="22">
        <f t="shared" si="7"/>
        <v>64.022699512524582</v>
      </c>
      <c r="BH19" s="62">
        <f t="shared" si="8"/>
        <v>270.96474543463864</v>
      </c>
      <c r="BI19" s="62">
        <f ca="1">AVERAGE(OFFSET($BH$3,0,0,'Données projet'!$E$11+1,1))-AVERAGE(OFFSET($H$3,0,0,'Données projet'!$E$11+1,1))</f>
        <v>435.70500547084868</v>
      </c>
      <c r="BJ19" s="62">
        <f t="shared" si="38"/>
        <v>297.32483725004136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35.245668044100846</v>
      </c>
      <c r="CA19" s="14">
        <f t="shared" si="39"/>
        <v>10.72938186940056</v>
      </c>
      <c r="CB19" s="22">
        <f t="shared" si="10"/>
        <v>80.073211932681616</v>
      </c>
      <c r="CC19" s="62">
        <f t="shared" si="11"/>
        <v>287.01525785479566</v>
      </c>
      <c r="CD19" s="62">
        <f ca="1">AVERAGE(OFFSET($CC$3,0,0,'Données projet'!$E$12+1,1))-AVERAGE(OFFSET($H$3,0,0,'Données projet'!$E$12+1,1))</f>
        <v>530.15080507516973</v>
      </c>
      <c r="CE19" s="62">
        <f t="shared" si="40"/>
        <v>358.10331902702217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1.6</v>
      </c>
      <c r="CT19" s="13">
        <f>IF('Données projet'!$A$140&gt;35,CT18+CS19-DB18,IF(A19&lt;'Données projet'!$A$140,$CQ$205^A19,IF(A19='Données projet'!$A$140,'Données projet'!$B$140,CT18+CS19-DB18)))</f>
        <v>10.60030580926912</v>
      </c>
      <c r="CU19" s="18">
        <f>CT19*VLOOKUP('Données projet'!$B$13,Paramètres!$A$1:$I$89,3,0)*VLOOKUP('Données projet'!$B$13,Paramètres!$A$1:$I$89,5,0)</f>
        <v>9.0950623843529055</v>
      </c>
      <c r="CV19" s="14">
        <f t="shared" si="41"/>
        <v>3.2415503051811316</v>
      </c>
      <c r="CW19" s="22">
        <f t="shared" si="13"/>
        <v>21.486267100938448</v>
      </c>
      <c r="CX19" s="62">
        <f t="shared" si="14"/>
        <v>228.42831302305251</v>
      </c>
      <c r="CY19" s="62">
        <f ca="1">AVERAGE(OFFSET($CX$3,0,0,'Données projet'!$E$13+1,1))-AVERAGE(OFFSET($H$3,0,0,'Données projet'!$E$13+1,1))</f>
        <v>182.98212193167009</v>
      </c>
      <c r="CZ19" s="62">
        <f t="shared" si="42"/>
        <v>195.9200038944301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21.4</v>
      </c>
      <c r="DO19" s="13">
        <f>IF('Données projet'!$A$166&gt;35,DO18+DN19-DW18,IF(A19&lt;'Données projet'!$A$166,$DL$205^A19,IF(A19='Données projet'!$A$166,'Données projet'!$B$166,DO18+DN19-DW18)))</f>
        <v>61.4</v>
      </c>
      <c r="DP19" s="18">
        <f>DO19*VLOOKUP('Données projet'!$B$14,Paramètres!$A$1:$I$89,3,0)*VLOOKUP('Données projet'!$B$14,Paramètres!$A$1:$I$89,5,0)</f>
        <v>27.138800000000003</v>
      </c>
      <c r="DQ19" s="14">
        <f t="shared" si="43"/>
        <v>8.5167275581119934</v>
      </c>
      <c r="DR19" s="22">
        <f t="shared" si="16"/>
        <v>62.100043830378404</v>
      </c>
      <c r="DS19" s="62">
        <f t="shared" si="17"/>
        <v>269.04208975249247</v>
      </c>
      <c r="DT19" s="62">
        <f ca="1">AVERAGE(OFFSET($DS$3,0,0,'Données projet'!$E$14+1,1))-AVERAGE(OFFSET($H$3,0,0,'Données projet'!$E$14+1,1))</f>
        <v>338.33525241236157</v>
      </c>
      <c r="DU19" s="62">
        <f t="shared" si="44"/>
        <v>373.47257029791717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1.2</v>
      </c>
      <c r="EJ19" s="13">
        <f>IF('Données projet'!$A$192&gt;35,EJ18+EI19-ER18,IF(A19&lt;'Données projet'!$A$192,$EG$205^A19,IF(A19='Données projet'!$A$192,'Données projet'!$B$192,EJ18+EI19-ER18)))</f>
        <v>8.8177463744060987</v>
      </c>
      <c r="EK19" s="18">
        <f>EJ19*VLOOKUP('Données projet'!$B$15,Paramètres!$A$1:$I$89,3,0)*VLOOKUP('Données projet'!$B$15,Paramètres!$A$1:$I$89,5,0)</f>
        <v>6.8778421720367575</v>
      </c>
      <c r="EL19" s="14">
        <f t="shared" si="45"/>
        <v>2.5323564363977424</v>
      </c>
      <c r="EM19" s="22">
        <f t="shared" si="19"/>
        <v>16.389429243023422</v>
      </c>
      <c r="EN19" s="62">
        <f t="shared" si="20"/>
        <v>223.33147516513748</v>
      </c>
      <c r="EO19" s="62">
        <f ca="1">AVERAGE(OFFSET($EN$3,0,0,'Données projet'!$E$15+1,1))-AVERAGE(OFFSET($H$3,0,0,'Données projet'!$E$15+1,1))</f>
        <v>144.92790055195192</v>
      </c>
      <c r="EP19" s="62">
        <f t="shared" si="46"/>
        <v>151.00642748754026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11.6</v>
      </c>
      <c r="N20" s="14">
        <f>IF('Données projet'!$A$36&gt;35,N19+M20-V19,IF(A20&lt;'Données projet'!$A$36,$K$205^A20,IF(A20='Données projet'!$A$36,'Données projet'!$B$36,N19+M20-V19)))</f>
        <v>45.2</v>
      </c>
      <c r="O20" s="14">
        <f>N20*VLOOKUP('Données projet'!$B$9,Paramètres!$A$1:$I$89,3,0)*VLOOKUP('Données projet'!$B$9,Paramètres!$A$1:$I$89,5,0)</f>
        <v>36.666240000000002</v>
      </c>
      <c r="P20" s="14">
        <f t="shared" si="33"/>
        <v>11.110608259650514</v>
      </c>
      <c r="Q20" s="22">
        <f t="shared" si="2"/>
        <v>83.211344052224646</v>
      </c>
      <c r="R20" s="62">
        <f t="shared" si="0"/>
        <v>292.57746836809736</v>
      </c>
      <c r="S20" s="62">
        <f ca="1">AVERAGE(OFFSET($R$3,0,0,'Données projet'!$E$9+1,1))-AVERAGE(OFFSET($H$3,0,0,'Données projet'!$E$9+1,1))</f>
        <v>259.10606516000064</v>
      </c>
      <c r="T20" s="62">
        <f t="shared" si="34"/>
        <v>316.57989180609252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5.666666666666667</v>
      </c>
      <c r="AI20" s="14">
        <f>IF('Données projet'!$A$62&gt;35,AI19+AH20-AQ19,IF(A20&lt;'Données projet'!$A$62,$AF$205^A20,IF(A20='Données projet'!$A$62,'Données projet'!$B$62,AI19+AH20-AQ19)))</f>
        <v>18.362045340858568</v>
      </c>
      <c r="AJ20" s="14">
        <f>AI20*VLOOKUP('Données projet'!$B$10,Paramètres!$A$1:$I$89,3,0)*VLOOKUP('Données projet'!$B$10,Paramètres!$A$1:$I$89,5,0)</f>
        <v>8.5934372195218103</v>
      </c>
      <c r="AK20" s="14">
        <f t="shared" si="35"/>
        <v>3.0830597767046952</v>
      </c>
      <c r="AL20" s="22">
        <f t="shared" si="4"/>
        <v>20.336565601761166</v>
      </c>
      <c r="AM20" s="62">
        <f t="shared" si="5"/>
        <v>229.7026899176339</v>
      </c>
      <c r="AN20" s="62">
        <f ca="1">AVERAGE(OFFSET($AM$3,0,0,'Données projet'!$E$10+1,1))-AVERAGE(OFFSET($H$3,0,0,'Données projet'!$E$10+1,1))</f>
        <v>186.83226999296298</v>
      </c>
      <c r="AO20" s="62">
        <f t="shared" si="36"/>
        <v>232.70925470547317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34.703799297332367</v>
      </c>
      <c r="BF20" s="14">
        <f t="shared" si="37"/>
        <v>10.583497277259243</v>
      </c>
      <c r="BG20" s="22">
        <f t="shared" si="7"/>
        <v>78.875374867413711</v>
      </c>
      <c r="BH20" s="62">
        <f t="shared" si="8"/>
        <v>288.24149918328646</v>
      </c>
      <c r="BI20" s="62">
        <f ca="1">AVERAGE(OFFSET($BH$3,0,0,'Données projet'!$E$11+1,1))-AVERAGE(OFFSET($H$3,0,0,'Données projet'!$E$11+1,1))</f>
        <v>435.70500547084868</v>
      </c>
      <c r="BJ20" s="62">
        <f t="shared" si="38"/>
        <v>297.32483725004136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43.678919805263149</v>
      </c>
      <c r="CA20" s="14">
        <f t="shared" si="39"/>
        <v>12.968695894023499</v>
      </c>
      <c r="CB20" s="22">
        <f t="shared" si="10"/>
        <v>98.661264009590909</v>
      </c>
      <c r="CC20" s="62">
        <f t="shared" si="11"/>
        <v>308.02738832546362</v>
      </c>
      <c r="CD20" s="62">
        <f ca="1">AVERAGE(OFFSET($CC$3,0,0,'Données projet'!$E$12+1,1))-AVERAGE(OFFSET($H$3,0,0,'Données projet'!$E$12+1,1))</f>
        <v>530.15080507516973</v>
      </c>
      <c r="CE20" s="62">
        <f t="shared" si="40"/>
        <v>358.10331902702217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1.6</v>
      </c>
      <c r="CT20" s="13">
        <f>IF('Données projet'!$A$140&gt;35,CT19+CS20-DB19,IF(A20&lt;'Données projet'!$A$140,$CQ$205^A20,IF(A20='Données projet'!$A$140,'Données projet'!$B$140,CT19+CS20-DB19)))</f>
        <v>12.285725116795957</v>
      </c>
      <c r="CU20" s="18">
        <f>CT20*VLOOKUP('Données projet'!$B$13,Paramètres!$A$1:$I$89,3,0)*VLOOKUP('Données projet'!$B$13,Paramètres!$A$1:$I$89,5,0)</f>
        <v>10.541152150210932</v>
      </c>
      <c r="CV20" s="14">
        <f t="shared" si="41"/>
        <v>3.6929716532832697</v>
      </c>
      <c r="CW20" s="22">
        <f t="shared" si="13"/>
        <v>24.7910989577524</v>
      </c>
      <c r="CX20" s="62">
        <f t="shared" si="14"/>
        <v>234.15722327362514</v>
      </c>
      <c r="CY20" s="62">
        <f ca="1">AVERAGE(OFFSET($CX$3,0,0,'Données projet'!$E$13+1,1))-AVERAGE(OFFSET($H$3,0,0,'Données projet'!$E$13+1,1))</f>
        <v>182.98212193167009</v>
      </c>
      <c r="CZ20" s="62">
        <f t="shared" si="42"/>
        <v>195.9200038944301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21.4</v>
      </c>
      <c r="DO20" s="13">
        <f>IF('Données projet'!$A$166&gt;35,DO19+DN20-DW19,IF(A20&lt;'Données projet'!$A$166,$DL$205^A20,IF(A20='Données projet'!$A$166,'Données projet'!$B$166,DO19+DN20-DW19)))</f>
        <v>82.8</v>
      </c>
      <c r="DP20" s="18">
        <f>DO20*VLOOKUP('Données projet'!$B$14,Paramètres!$A$1:$I$89,3,0)*VLOOKUP('Données projet'!$B$14,Paramètres!$A$1:$I$89,5,0)</f>
        <v>36.5976</v>
      </c>
      <c r="DQ20" s="14">
        <f t="shared" si="43"/>
        <v>11.092227993821965</v>
      </c>
      <c r="DR20" s="22">
        <f t="shared" si="16"/>
        <v>83.059783755906594</v>
      </c>
      <c r="DS20" s="62">
        <f t="shared" si="17"/>
        <v>292.4259080717793</v>
      </c>
      <c r="DT20" s="62">
        <f ca="1">AVERAGE(OFFSET($DS$3,0,0,'Données projet'!$E$14+1,1))-AVERAGE(OFFSET($H$3,0,0,'Données projet'!$E$14+1,1))</f>
        <v>338.33525241236157</v>
      </c>
      <c r="DU20" s="62">
        <f t="shared" si="44"/>
        <v>373.47257029791717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1.2</v>
      </c>
      <c r="EJ20" s="13">
        <f>IF('Données projet'!$A$192&gt;35,EJ19+EI20-ER19,IF(A20&lt;'Données projet'!$A$192,$EG$205^A20,IF(A20='Données projet'!$A$192,'Données projet'!$B$192,EJ19+EI20-ER19)))</f>
        <v>10.102816228956828</v>
      </c>
      <c r="EK20" s="18">
        <f>EJ20*VLOOKUP('Données projet'!$B$15,Paramètres!$A$1:$I$89,3,0)*VLOOKUP('Données projet'!$B$15,Paramètres!$A$1:$I$89,5,0)</f>
        <v>7.8801966585863257</v>
      </c>
      <c r="EL20" s="14">
        <f t="shared" si="45"/>
        <v>2.8558290530200297</v>
      </c>
      <c r="EM20" s="22">
        <f t="shared" si="19"/>
        <v>18.698578114381068</v>
      </c>
      <c r="EN20" s="62">
        <f t="shared" si="20"/>
        <v>228.06470243025379</v>
      </c>
      <c r="EO20" s="62">
        <f ca="1">AVERAGE(OFFSET($EN$3,0,0,'Données projet'!$E$15+1,1))-AVERAGE(OFFSET($H$3,0,0,'Données projet'!$E$15+1,1))</f>
        <v>144.92790055195192</v>
      </c>
      <c r="EP20" s="62">
        <f t="shared" si="46"/>
        <v>151.00642748754026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11.6</v>
      </c>
      <c r="N21" s="14">
        <f>IF('Données projet'!$A$36&gt;35,N20+M21-V20,IF(A21&lt;'Données projet'!$A$36,$K$205^A21,IF(A21='Données projet'!$A$36,'Données projet'!$B$36,N20+M21-V20)))</f>
        <v>56.800000000000004</v>
      </c>
      <c r="O21" s="14">
        <f>N21*VLOOKUP('Données projet'!$B$9,Paramètres!$A$1:$I$89,3,0)*VLOOKUP('Données projet'!$B$9,Paramètres!$A$1:$I$89,5,0)</f>
        <v>46.076160000000009</v>
      </c>
      <c r="P21" s="14">
        <f t="shared" si="33"/>
        <v>13.595641486972058</v>
      </c>
      <c r="Q21" s="22">
        <f t="shared" si="2"/>
        <v>103.92838758980967</v>
      </c>
      <c r="R21" s="62">
        <f t="shared" si="0"/>
        <v>315.6977407818128</v>
      </c>
      <c r="S21" s="62">
        <f ca="1">AVERAGE(OFFSET($R$3,0,0,'Données projet'!$E$9+1,1))-AVERAGE(OFFSET($H$3,0,0,'Données projet'!$E$9+1,1))</f>
        <v>259.10606516000064</v>
      </c>
      <c r="T21" s="62">
        <f t="shared" si="34"/>
        <v>316.57989180609252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5.666666666666667</v>
      </c>
      <c r="AI21" s="14">
        <f>IF('Données projet'!$A$62&gt;35,AI20+AH21-AQ20,IF(A21&lt;'Données projet'!$A$62,$AF$205^A21,IF(A21='Données projet'!$A$62,'Données projet'!$B$62,AI20+AH21-AQ20)))</f>
        <v>21.790608238721305</v>
      </c>
      <c r="AJ21" s="14">
        <f>AI21*VLOOKUP('Données projet'!$B$10,Paramètres!$A$1:$I$89,3,0)*VLOOKUP('Données projet'!$B$10,Paramètres!$A$1:$I$89,5,0)</f>
        <v>10.19800465572157</v>
      </c>
      <c r="AK21" s="14">
        <f t="shared" si="35"/>
        <v>3.5865434850211249</v>
      </c>
      <c r="AL21" s="22">
        <f t="shared" si="4"/>
        <v>24.008088011793529</v>
      </c>
      <c r="AM21" s="62">
        <f t="shared" si="5"/>
        <v>235.77744120379663</v>
      </c>
      <c r="AN21" s="62">
        <f ca="1">AVERAGE(OFFSET($AM$3,0,0,'Données projet'!$E$10+1,1))-AVERAGE(OFFSET($H$3,0,0,'Données projet'!$E$10+1,1))</f>
        <v>186.83226999296298</v>
      </c>
      <c r="AO21" s="62">
        <f t="shared" si="36"/>
        <v>232.70925470547317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43.007397804163212</v>
      </c>
      <c r="BF21" s="14">
        <f t="shared" si="37"/>
        <v>12.792363936215189</v>
      </c>
      <c r="BG21" s="22">
        <f t="shared" si="7"/>
        <v>97.184585031159045</v>
      </c>
      <c r="BH21" s="62">
        <f t="shared" si="8"/>
        <v>308.95393822316214</v>
      </c>
      <c r="BI21" s="62">
        <f ca="1">AVERAGE(OFFSET($BH$3,0,0,'Données projet'!$E$11+1,1))-AVERAGE(OFFSET($H$3,0,0,'Données projet'!$E$11+1,1))</f>
        <v>435.70500547084868</v>
      </c>
      <c r="BJ21" s="62">
        <f t="shared" si="38"/>
        <v>297.32483725004136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54.130000684550247</v>
      </c>
      <c r="CA21" s="14">
        <f t="shared" si="39"/>
        <v>15.675373962718172</v>
      </c>
      <c r="CB21" s="22">
        <f t="shared" si="10"/>
        <v>121.57769417732584</v>
      </c>
      <c r="CC21" s="62">
        <f t="shared" si="11"/>
        <v>333.34704736932895</v>
      </c>
      <c r="CD21" s="62">
        <f ca="1">AVERAGE(OFFSET($CC$3,0,0,'Données projet'!$E$12+1,1))-AVERAGE(OFFSET($H$3,0,0,'Données projet'!$E$12+1,1))</f>
        <v>530.15080507516973</v>
      </c>
      <c r="CE21" s="62">
        <f t="shared" si="40"/>
        <v>358.10331902702217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1.6</v>
      </c>
      <c r="CT21" s="13">
        <f>IF('Données projet'!$A$140&gt;35,CT20+CS21-DB20,IF(A21&lt;'Données projet'!$A$140,$CQ$205^A21,IF(A21='Données projet'!$A$140,'Données projet'!$B$140,CT20+CS21-DB20)))</f>
        <v>14.23912143303327</v>
      </c>
      <c r="CU21" s="18">
        <f>CT21*VLOOKUP('Données projet'!$B$13,Paramètres!$A$1:$I$89,3,0)*VLOOKUP('Données projet'!$B$13,Paramètres!$A$1:$I$89,5,0)</f>
        <v>12.217166189542548</v>
      </c>
      <c r="CV21" s="14">
        <f t="shared" si="41"/>
        <v>4.2072583634304257</v>
      </c>
      <c r="CW21" s="22">
        <f t="shared" si="13"/>
        <v>28.605872763094592</v>
      </c>
      <c r="CX21" s="62">
        <f t="shared" si="14"/>
        <v>240.3752259550977</v>
      </c>
      <c r="CY21" s="62">
        <f ca="1">AVERAGE(OFFSET($CX$3,0,0,'Données projet'!$E$13+1,1))-AVERAGE(OFFSET($H$3,0,0,'Données projet'!$E$13+1,1))</f>
        <v>182.98212193167009</v>
      </c>
      <c r="CZ21" s="62">
        <f t="shared" si="42"/>
        <v>195.9200038944301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21.4</v>
      </c>
      <c r="DO21" s="13">
        <f>IF('Données projet'!$A$166&gt;35,DO20+DN21-DW20,IF(A21&lt;'Données projet'!$A$166,$DL$205^A21,IF(A21='Données projet'!$A$166,'Données projet'!$B$166,DO20+DN21-DW20)))</f>
        <v>104.19999999999999</v>
      </c>
      <c r="DP21" s="18">
        <f>DO21*VLOOKUP('Données projet'!$B$14,Paramètres!$A$1:$I$89,3,0)*VLOOKUP('Données projet'!$B$14,Paramètres!$A$1:$I$89,5,0)</f>
        <v>46.056399999999996</v>
      </c>
      <c r="DQ21" s="14">
        <f t="shared" si="43"/>
        <v>13.590489474390738</v>
      </c>
      <c r="DR21" s="22">
        <f t="shared" si="16"/>
        <v>103.88499916789719</v>
      </c>
      <c r="DS21" s="62">
        <f t="shared" si="17"/>
        <v>315.65435235990032</v>
      </c>
      <c r="DT21" s="62">
        <f ca="1">AVERAGE(OFFSET($DS$3,0,0,'Données projet'!$E$14+1,1))-AVERAGE(OFFSET($H$3,0,0,'Données projet'!$E$14+1,1))</f>
        <v>338.33525241236157</v>
      </c>
      <c r="DU21" s="62">
        <f t="shared" si="44"/>
        <v>373.47257029791717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1.2</v>
      </c>
      <c r="EJ21" s="13">
        <f>IF('Données projet'!$A$192&gt;35,EJ20+EI21-ER20,IF(A21&lt;'Données projet'!$A$192,$EG$205^A21,IF(A21='Données projet'!$A$192,'Données projet'!$B$192,EJ20+EI21-ER20)))</f>
        <v>11.575168010312384</v>
      </c>
      <c r="EK21" s="18">
        <f>EJ21*VLOOKUP('Données projet'!$B$15,Paramètres!$A$1:$I$89,3,0)*VLOOKUP('Données projet'!$B$15,Paramètres!$A$1:$I$89,5,0)</f>
        <v>9.0286310480436587</v>
      </c>
      <c r="EL21" s="14">
        <f t="shared" si="45"/>
        <v>3.220620708384474</v>
      </c>
      <c r="EM21" s="22">
        <f t="shared" si="19"/>
        <v>21.334113475779002</v>
      </c>
      <c r="EN21" s="62">
        <f t="shared" si="20"/>
        <v>233.1034666677821</v>
      </c>
      <c r="EO21" s="62">
        <f ca="1">AVERAGE(OFFSET($EN$3,0,0,'Données projet'!$E$15+1,1))-AVERAGE(OFFSET($H$3,0,0,'Données projet'!$E$15+1,1))</f>
        <v>144.92790055195192</v>
      </c>
      <c r="EP21" s="62">
        <f t="shared" si="46"/>
        <v>151.00642748754026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11.6</v>
      </c>
      <c r="N22" s="14">
        <f>IF('Données projet'!$A$36&gt;35,N21+M22-V21,IF(A22&lt;'Données projet'!$A$36,$K$205^A22,IF(A22='Données projet'!$A$36,'Données projet'!$B$36,N21+M22-V21)))</f>
        <v>68.400000000000006</v>
      </c>
      <c r="O22" s="14">
        <f>N22*VLOOKUP('Données projet'!$B$9,Paramètres!$A$1:$I$89,3,0)*VLOOKUP('Données projet'!$B$9,Paramètres!$A$1:$I$89,5,0)</f>
        <v>55.486080000000008</v>
      </c>
      <c r="P22" s="14">
        <f t="shared" si="33"/>
        <v>16.021865657934267</v>
      </c>
      <c r="Q22" s="22">
        <f t="shared" si="2"/>
        <v>124.54300535423552</v>
      </c>
      <c r="R22" s="62">
        <f t="shared" si="0"/>
        <v>338.69509959725906</v>
      </c>
      <c r="S22" s="62">
        <f ca="1">AVERAGE(OFFSET($R$3,0,0,'Données projet'!$E$9+1,1))-AVERAGE(OFFSET($H$3,0,0,'Données projet'!$E$9+1,1))</f>
        <v>259.10606516000064</v>
      </c>
      <c r="T22" s="62">
        <f t="shared" si="34"/>
        <v>316.57989180609252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5.666666666666667</v>
      </c>
      <c r="AI22" s="14">
        <f>IF('Données projet'!$A$62&gt;35,AI21+AH22-AQ21,IF(A22&lt;'Données projet'!$A$62,$AF$205^A22,IF(A22='Données projet'!$A$62,'Données projet'!$B$62,AI21+AH22-AQ21)))</f>
        <v>25.859352735441334</v>
      </c>
      <c r="AJ22" s="14">
        <f>AI22*VLOOKUP('Données projet'!$B$10,Paramètres!$A$1:$I$89,3,0)*VLOOKUP('Données projet'!$B$10,Paramètres!$A$1:$I$89,5,0)</f>
        <v>12.102177080186545</v>
      </c>
      <c r="AK22" s="14">
        <f t="shared" si="35"/>
        <v>4.1722493566752403</v>
      </c>
      <c r="AL22" s="22">
        <f t="shared" si="4"/>
        <v>28.34462604420094</v>
      </c>
      <c r="AM22" s="62">
        <f t="shared" si="5"/>
        <v>242.49672028722446</v>
      </c>
      <c r="AN22" s="62">
        <f ca="1">AVERAGE(OFFSET($AM$3,0,0,'Données projet'!$E$10+1,1))-AVERAGE(OFFSET($H$3,0,0,'Données projet'!$E$10+1,1))</f>
        <v>186.83226999296298</v>
      </c>
      <c r="AO22" s="62">
        <f t="shared" si="36"/>
        <v>232.70925470547317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53.297803218557732</v>
      </c>
      <c r="BF22" s="14">
        <f t="shared" si="37"/>
        <v>15.462240012873817</v>
      </c>
      <c r="BG22" s="22">
        <f t="shared" si="7"/>
        <v>119.75707529474329</v>
      </c>
      <c r="BH22" s="62">
        <f t="shared" si="8"/>
        <v>333.90916953776684</v>
      </c>
      <c r="BI22" s="62">
        <f ca="1">AVERAGE(OFFSET($BH$3,0,0,'Données projet'!$E$11+1,1))-AVERAGE(OFFSET($H$3,0,0,'Données projet'!$E$11+1,1))</f>
        <v>435.70500547084868</v>
      </c>
      <c r="BJ22" s="62">
        <f t="shared" si="38"/>
        <v>297.32483725004136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67.081717844046793</v>
      </c>
      <c r="CA22" s="14">
        <f t="shared" si="39"/>
        <v>18.946958960175738</v>
      </c>
      <c r="CB22" s="22">
        <f t="shared" si="10"/>
        <v>149.83327876735424</v>
      </c>
      <c r="CC22" s="62">
        <f t="shared" si="11"/>
        <v>363.98537301037777</v>
      </c>
      <c r="CD22" s="62">
        <f ca="1">AVERAGE(OFFSET($CC$3,0,0,'Données projet'!$E$12+1,1))-AVERAGE(OFFSET($H$3,0,0,'Données projet'!$E$12+1,1))</f>
        <v>530.15080507516973</v>
      </c>
      <c r="CE22" s="62">
        <f t="shared" si="40"/>
        <v>358.10331902702217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1.6</v>
      </c>
      <c r="CT22" s="13">
        <f>IF('Données projet'!$A$140&gt;35,CT21+CS22-DB21,IF(A22&lt;'Données projet'!$A$140,$CQ$205^A22,IF(A22='Données projet'!$A$140,'Données projet'!$B$140,CT21+CS22-DB21)))</f>
        <v>16.503102361250299</v>
      </c>
      <c r="CU22" s="18">
        <f>CT22*VLOOKUP('Données projet'!$B$13,Paramètres!$A$1:$I$89,3,0)*VLOOKUP('Données projet'!$B$13,Paramètres!$A$1:$I$89,5,0)</f>
        <v>14.159661825952757</v>
      </c>
      <c r="CV22" s="14">
        <f t="shared" si="41"/>
        <v>4.7931651251419742</v>
      </c>
      <c r="CW22" s="22">
        <f t="shared" si="13"/>
        <v>33.009506939823325</v>
      </c>
      <c r="CX22" s="62">
        <f t="shared" si="14"/>
        <v>247.16160118284685</v>
      </c>
      <c r="CY22" s="62">
        <f ca="1">AVERAGE(OFFSET($CX$3,0,0,'Données projet'!$E$13+1,1))-AVERAGE(OFFSET($H$3,0,0,'Données projet'!$E$13+1,1))</f>
        <v>182.98212193167009</v>
      </c>
      <c r="CZ22" s="62">
        <f t="shared" si="42"/>
        <v>195.9200038944301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21.4</v>
      </c>
      <c r="DO22" s="13">
        <f>IF('Données projet'!$A$166&gt;35,DO21+DN22-DW21,IF(A22&lt;'Données projet'!$A$166,$DL$205^A22,IF(A22='Données projet'!$A$166,'Données projet'!$B$166,DO21+DN22-DW21)))</f>
        <v>125.6</v>
      </c>
      <c r="DP22" s="18">
        <f>DO22*VLOOKUP('Données projet'!$B$14,Paramètres!$A$1:$I$89,3,0)*VLOOKUP('Données projet'!$B$14,Paramètres!$A$1:$I$89,5,0)</f>
        <v>55.5152</v>
      </c>
      <c r="DQ22" s="14">
        <f t="shared" si="43"/>
        <v>16.029295213877042</v>
      </c>
      <c r="DR22" s="22">
        <f t="shared" si="16"/>
        <v>124.60666249750251</v>
      </c>
      <c r="DS22" s="62">
        <f t="shared" si="17"/>
        <v>338.75875674052605</v>
      </c>
      <c r="DT22" s="62">
        <f ca="1">AVERAGE(OFFSET($DS$3,0,0,'Données projet'!$E$14+1,1))-AVERAGE(OFFSET($H$3,0,0,'Données projet'!$E$14+1,1))</f>
        <v>338.33525241236157</v>
      </c>
      <c r="DU22" s="62">
        <f t="shared" si="44"/>
        <v>373.47257029791717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1.2</v>
      </c>
      <c r="EJ22" s="13">
        <f>IF('Données projet'!$A$192&gt;35,EJ21+EI22-ER21,IF(A22&lt;'Données projet'!$A$192,$EG$205^A22,IF(A22='Données projet'!$A$192,'Données projet'!$B$192,EJ21+EI22-ER21)))</f>
        <v>13.262095581124292</v>
      </c>
      <c r="EK22" s="18">
        <f>EJ22*VLOOKUP('Données projet'!$B$15,Paramètres!$A$1:$I$89,3,0)*VLOOKUP('Données projet'!$B$15,Paramètres!$A$1:$I$89,5,0)</f>
        <v>10.344434553276947</v>
      </c>
      <c r="EL22" s="14">
        <f t="shared" si="45"/>
        <v>3.6320093236344571</v>
      </c>
      <c r="EM22" s="22">
        <f t="shared" si="19"/>
        <v>24.342306418954028</v>
      </c>
      <c r="EN22" s="62">
        <f t="shared" si="20"/>
        <v>238.49440066197755</v>
      </c>
      <c r="EO22" s="62">
        <f ca="1">AVERAGE(OFFSET($EN$3,0,0,'Données projet'!$E$15+1,1))-AVERAGE(OFFSET($H$3,0,0,'Données projet'!$E$15+1,1))</f>
        <v>144.92790055195192</v>
      </c>
      <c r="EP22" s="62">
        <f t="shared" si="46"/>
        <v>151.00642748754026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80</v>
      </c>
      <c r="L23" s="13">
        <f>VLOOKUP(A23,'Données projet'!$A$35:$I$55,9,0)</f>
        <v>11.6</v>
      </c>
      <c r="M23" s="13">
        <f t="array" ref="M23">INDEX(L:L,MIN(IF(ISNUMBER(L23:L219),ROW(L23:L219),"")))</f>
        <v>11.6</v>
      </c>
      <c r="N23" s="14">
        <f>IF('Données projet'!$A$36&gt;35,N22+M23-V22,IF(A23&lt;'Données projet'!$A$36,$K$205^A23,IF(A23='Données projet'!$A$36,'Données projet'!$B$36,N22+M23-V22)))</f>
        <v>80</v>
      </c>
      <c r="O23" s="14">
        <f>N23*VLOOKUP('Données projet'!$B$9,Paramètres!$A$1:$I$89,3,0)*VLOOKUP('Données projet'!$B$9,Paramètres!$A$1:$I$89,5,0)</f>
        <v>64.896000000000001</v>
      </c>
      <c r="P23" s="14">
        <f t="shared" si="33"/>
        <v>18.400423846102964</v>
      </c>
      <c r="Q23" s="22">
        <f t="shared" si="2"/>
        <v>145.07460486529598</v>
      </c>
      <c r="R23" s="62">
        <f t="shared" si="0"/>
        <v>361.5893077521917</v>
      </c>
      <c r="S23" s="62">
        <f ca="1">AVERAGE(OFFSET($R$3,0,0,'Données projet'!$E$9+1,1))-AVERAGE(OFFSET($H$3,0,0,'Données projet'!$E$9+1,1))</f>
        <v>259.10606516000064</v>
      </c>
      <c r="T23" s="62">
        <f t="shared" si="34"/>
        <v>316.57989180609252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28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5.666666666666667</v>
      </c>
      <c r="AI23" s="14">
        <f>IF('Données projet'!$A$62&gt;35,AI22+AH23-AQ22,IF(A23&lt;'Données projet'!$A$62,$AF$205^A23,IF(A23='Données projet'!$A$62,'Données projet'!$B$62,AI22+AH23-AQ22)))</f>
        <v>30.68781360162793</v>
      </c>
      <c r="AJ23" s="14">
        <f>AI23*VLOOKUP('Données projet'!$B$10,Paramètres!$A$1:$I$89,3,0)*VLOOKUP('Données projet'!$B$10,Paramètres!$A$1:$I$89,5,0)</f>
        <v>14.361896765561871</v>
      </c>
      <c r="AK23" s="14">
        <f t="shared" si="35"/>
        <v>4.8536048055679508</v>
      </c>
      <c r="AL23" s="22">
        <f t="shared" si="4"/>
        <v>33.466998569717767</v>
      </c>
      <c r="AM23" s="62">
        <f t="shared" si="5"/>
        <v>249.98170145661348</v>
      </c>
      <c r="AN23" s="62">
        <f ca="1">AVERAGE(OFFSET($AM$3,0,0,'Données projet'!$E$10+1,1))-AVERAGE(OFFSET($H$3,0,0,'Données projet'!$E$10+1,1))</f>
        <v>186.83226999296298</v>
      </c>
      <c r="AO23" s="62">
        <f t="shared" si="36"/>
        <v>232.70925470547317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66.050399999999996</v>
      </c>
      <c r="BF23" s="14">
        <f t="shared" si="37"/>
        <v>18.689342126897891</v>
      </c>
      <c r="BG23" s="22">
        <f t="shared" si="7"/>
        <v>147.58838420434714</v>
      </c>
      <c r="BH23" s="62">
        <f t="shared" si="8"/>
        <v>364.10308709124286</v>
      </c>
      <c r="BI23" s="62">
        <f ca="1">AVERAGE(OFFSET($BH$3,0,0,'Données projet'!$E$11+1,1))-AVERAGE(OFFSET($H$3,0,0,'Données projet'!$E$11+1,1))</f>
        <v>435.70500547084868</v>
      </c>
      <c r="BJ23" s="62">
        <f t="shared" si="38"/>
        <v>297.32483725004136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83.132400000000004</v>
      </c>
      <c r="CA23" s="14">
        <f t="shared" si="39"/>
        <v>22.901351807771078</v>
      </c>
      <c r="CB23" s="22">
        <f t="shared" si="10"/>
        <v>184.67545106520129</v>
      </c>
      <c r="CC23" s="62">
        <f t="shared" si="11"/>
        <v>401.19015395209703</v>
      </c>
      <c r="CD23" s="62">
        <f ca="1">AVERAGE(OFFSET($CC$3,0,0,'Données projet'!$E$12+1,1))-AVERAGE(OFFSET($H$3,0,0,'Données projet'!$E$12+1,1))</f>
        <v>530.15080507516973</v>
      </c>
      <c r="CE23" s="62">
        <f t="shared" si="40"/>
        <v>358.10331902702217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6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1.6</v>
      </c>
      <c r="CT23" s="13">
        <f>IF('Données projet'!$A$140&gt;35,CT22+CS23-DB22,IF(A23&lt;'Données projet'!$A$140,$CQ$205^A23,IF(A23='Données projet'!$A$140,'Données projet'!$B$140,CT22+CS23-DB22)))</f>
        <v>19.127049995800739</v>
      </c>
      <c r="CU23" s="18">
        <f>CT23*VLOOKUP('Données projet'!$B$13,Paramètres!$A$1:$I$89,3,0)*VLOOKUP('Données projet'!$B$13,Paramètres!$A$1:$I$89,5,0)</f>
        <v>16.411008896397036</v>
      </c>
      <c r="CV23" s="14">
        <f t="shared" si="41"/>
        <v>5.4606658142441402</v>
      </c>
      <c r="CW23" s="22">
        <f t="shared" si="13"/>
        <v>38.093166787700049</v>
      </c>
      <c r="CX23" s="62">
        <f t="shared" si="14"/>
        <v>254.60786967459578</v>
      </c>
      <c r="CY23" s="62">
        <f ca="1">AVERAGE(OFFSET($CX$3,0,0,'Données projet'!$E$13+1,1))-AVERAGE(OFFSET($H$3,0,0,'Données projet'!$E$13+1,1))</f>
        <v>182.98212193167009</v>
      </c>
      <c r="CZ23" s="62">
        <f t="shared" si="42"/>
        <v>195.9200038944301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147</v>
      </c>
      <c r="DM23" s="13">
        <f>VLOOKUP(A23,'Données projet'!$A$165:$I$185,9,0)</f>
        <v>21.4</v>
      </c>
      <c r="DN23" s="13">
        <f t="array" ref="DN23">INDEX(DM:DM,MIN(IF(ISNUMBER(DM23:DM219),ROW(DM23:DM219),"")))</f>
        <v>21.4</v>
      </c>
      <c r="DO23" s="13">
        <f>IF('Données projet'!$A$166&gt;35,DO22+DN23-DW22,IF(A23&lt;'Données projet'!$A$166,$DL$205^A23,IF(A23='Données projet'!$A$166,'Données projet'!$B$166,DO22+DN23-DW22)))</f>
        <v>147</v>
      </c>
      <c r="DP23" s="18">
        <f>DO23*VLOOKUP('Données projet'!$B$14,Paramètres!$A$1:$I$89,3,0)*VLOOKUP('Données projet'!$B$14,Paramètres!$A$1:$I$89,5,0)</f>
        <v>64.974000000000004</v>
      </c>
      <c r="DQ23" s="14">
        <f t="shared" si="43"/>
        <v>18.419964083720068</v>
      </c>
      <c r="DR23" s="22">
        <f t="shared" si="16"/>
        <v>145.24448744581247</v>
      </c>
      <c r="DS23" s="62">
        <f t="shared" si="17"/>
        <v>361.75919033270816</v>
      </c>
      <c r="DT23" s="62">
        <f ca="1">AVERAGE(OFFSET($DS$3,0,0,'Données projet'!$E$14+1,1))-AVERAGE(OFFSET($H$3,0,0,'Données projet'!$E$14+1,1))</f>
        <v>338.33525241236157</v>
      </c>
      <c r="DU23" s="62">
        <f t="shared" si="44"/>
        <v>373.47257029791717</v>
      </c>
      <c r="DV23" s="16">
        <f>IF(ISNA(VLOOKUP(A23,'Données projet'!$A$165:$I$185,3,0)),0,VLOOKUP(A23,'Données projet'!$A$165:$I$185,3,0))</f>
        <v>2</v>
      </c>
      <c r="DW23" s="16">
        <f>IF(ISNA(VLOOKUP(A23,'Données projet'!$A$165:$I$185,4,0)),0,VLOOKUP(A23,'Données projet'!$A$165:$I$185,4,0))</f>
        <v>45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0.30800000000000005</v>
      </c>
      <c r="DZ23" s="17">
        <f>IF(ISNA(VLOOKUP(A23,'Données projet'!$A$165:$I$185,7,0)),0%,VLOOKUP(A23,'Données projet'!$A$165:$I$185,7,0))</f>
        <v>0.44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8.0946951547390675</v>
      </c>
      <c r="EC23" s="23">
        <f>EXP(-LN(2)/2)*EC22+(1-EXP(-LN(2)/2))/(LN(2)/2)*DW23*DZ23*VLOOKUP('Données projet'!$B$14,Paramètres!$A$1:$I$89,3,0)*0.475*44/12</f>
        <v>9.9088441750326197</v>
      </c>
      <c r="ED23" s="24">
        <f t="shared" si="18"/>
        <v>18.003539329771687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1.2</v>
      </c>
      <c r="EJ23" s="13">
        <f>IF('Données projet'!$A$192&gt;35,EJ22+EI23-ER22,IF(A23&lt;'Données projet'!$A$192,$EG$205^A23,IF(A23='Données projet'!$A$192,'Données projet'!$B$192,EJ22+EI23-ER22)))</f>
        <v>15.194870523363559</v>
      </c>
      <c r="EK23" s="18">
        <f>EJ23*VLOOKUP('Données projet'!$B$15,Paramètres!$A$1:$I$89,3,0)*VLOOKUP('Données projet'!$B$15,Paramètres!$A$1:$I$89,5,0)</f>
        <v>11.851999008223576</v>
      </c>
      <c r="EL23" s="14">
        <f t="shared" si="45"/>
        <v>4.0959469994790974</v>
      </c>
      <c r="EM23" s="22">
        <f t="shared" si="19"/>
        <v>27.776005963415486</v>
      </c>
      <c r="EN23" s="62">
        <f t="shared" si="20"/>
        <v>244.2907088503112</v>
      </c>
      <c r="EO23" s="62">
        <f ca="1">AVERAGE(OFFSET($EN$3,0,0,'Données projet'!$E$15+1,1))-AVERAGE(OFFSET($H$3,0,0,'Données projet'!$E$15+1,1))</f>
        <v>144.92790055195192</v>
      </c>
      <c r="EP23" s="62">
        <f t="shared" si="46"/>
        <v>151.00642748754026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12.6</v>
      </c>
      <c r="N24" s="14">
        <f>IF('Données projet'!$A$36&gt;35,N23+M24-V23,IF(A24&lt;'Données projet'!$A$36,$K$205^A24,IF(A24='Données projet'!$A$36,'Données projet'!$B$36,N23+M24-V23)))</f>
        <v>64.599999999999994</v>
      </c>
      <c r="O24" s="14">
        <f>N24*VLOOKUP('Données projet'!$B$9,Paramètres!$A$1:$I$89,3,0)*VLOOKUP('Données projet'!$B$9,Paramètres!$A$1:$I$89,5,0)</f>
        <v>52.40352</v>
      </c>
      <c r="P24" s="14">
        <f t="shared" si="33"/>
        <v>15.232772897226488</v>
      </c>
      <c r="Q24" s="22">
        <f t="shared" si="2"/>
        <v>117.79987679600281</v>
      </c>
      <c r="R24" s="62">
        <f t="shared" si="0"/>
        <v>336.6574051718772</v>
      </c>
      <c r="S24" s="62">
        <f ca="1">AVERAGE(OFFSET($R$3,0,0,'Données projet'!$E$9+1,1))-AVERAGE(OFFSET($H$3,0,0,'Données projet'!$E$9+1,1))</f>
        <v>259.10606516000064</v>
      </c>
      <c r="T24" s="62">
        <f t="shared" si="34"/>
        <v>316.57989180609252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5.666666666666667</v>
      </c>
      <c r="AI24" s="14">
        <f>IF('Données projet'!$A$62&gt;35,AI23+AH24-AQ23,IF(A24&lt;'Données projet'!$A$62,$AF$205^A24,IF(A24='Données projet'!$A$62,'Données projet'!$B$62,AI23+AH24-AQ23)))</f>
        <v>36.417845151923039</v>
      </c>
      <c r="AJ24" s="14">
        <f>AI24*VLOOKUP('Données projet'!$B$10,Paramètres!$A$1:$I$89,3,0)*VLOOKUP('Données projet'!$B$10,Paramètres!$A$1:$I$89,5,0)</f>
        <v>17.043551531099983</v>
      </c>
      <c r="AK24" s="14">
        <f t="shared" si="35"/>
        <v>5.6462300295983905</v>
      </c>
      <c r="AL24" s="22">
        <f t="shared" si="4"/>
        <v>39.518036218216324</v>
      </c>
      <c r="AM24" s="62">
        <f t="shared" si="5"/>
        <v>258.37556459409069</v>
      </c>
      <c r="AN24" s="62">
        <f ca="1">AVERAGE(OFFSET($AM$3,0,0,'Données projet'!$E$10+1,1))-AVERAGE(OFFSET($H$3,0,0,'Données projet'!$E$10+1,1))</f>
        <v>186.83226999296298</v>
      </c>
      <c r="AO24" s="62">
        <f t="shared" si="36"/>
        <v>232.70925470547317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67.136160000000004</v>
      </c>
      <c r="BF24" s="14">
        <f t="shared" si="37"/>
        <v>18.960545405756019</v>
      </c>
      <c r="BG24" s="22">
        <f t="shared" si="7"/>
        <v>149.95176191502506</v>
      </c>
      <c r="BH24" s="62">
        <f t="shared" si="8"/>
        <v>368.80929029089941</v>
      </c>
      <c r="BI24" s="62">
        <f ca="1">AVERAGE(OFFSET($BH$3,0,0,'Données projet'!$E$11+1,1))-AVERAGE(OFFSET($H$3,0,0,'Données projet'!$E$11+1,1))</f>
        <v>435.70500547084868</v>
      </c>
      <c r="BJ24" s="62">
        <f t="shared" si="38"/>
        <v>297.32483725004136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74.2</v>
      </c>
      <c r="BZ24" s="14">
        <f>BY24*VLOOKUP('Données projet'!$B$12,Paramètres!$A$1:$I$89,3,0)*VLOOKUP('Données projet'!$B$12,Paramètres!$A$1:$I$89,5,0)</f>
        <v>84.498960000000011</v>
      </c>
      <c r="CA24" s="14">
        <f t="shared" si="39"/>
        <v>23.233676062866827</v>
      </c>
      <c r="CB24" s="22">
        <f t="shared" si="10"/>
        <v>187.63434114282643</v>
      </c>
      <c r="CC24" s="62">
        <f t="shared" si="11"/>
        <v>406.49186951870081</v>
      </c>
      <c r="CD24" s="62">
        <f ca="1">AVERAGE(OFFSET($CC$3,0,0,'Données projet'!$E$12+1,1))-AVERAGE(OFFSET($H$3,0,0,'Données projet'!$E$12+1,1))</f>
        <v>530.15080507516973</v>
      </c>
      <c r="CE24" s="62">
        <f t="shared" si="40"/>
        <v>358.10331902702217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1.6</v>
      </c>
      <c r="CT24" s="13">
        <f>IF('Données projet'!$A$140&gt;35,CT23+CS24-DB23,IF(A24&lt;'Données projet'!$A$140,$CQ$205^A24,IF(A24='Données projet'!$A$140,'Données projet'!$B$140,CT23+CS24-DB23)))</f>
        <v>22.168198047469673</v>
      </c>
      <c r="CU24" s="18">
        <f>CT24*VLOOKUP('Données projet'!$B$13,Paramètres!$A$1:$I$89,3,0)*VLOOKUP('Données projet'!$B$13,Paramètres!$A$1:$I$89,5,0)</f>
        <v>19.020313924728981</v>
      </c>
      <c r="CV24" s="14">
        <f t="shared" si="41"/>
        <v>6.2211232779032164</v>
      </c>
      <c r="CW24" s="22">
        <f t="shared" si="13"/>
        <v>43.962169794584405</v>
      </c>
      <c r="CX24" s="62">
        <f t="shared" si="14"/>
        <v>262.81969817045876</v>
      </c>
      <c r="CY24" s="62">
        <f ca="1">AVERAGE(OFFSET($CX$3,0,0,'Données projet'!$E$13+1,1))-AVERAGE(OFFSET($H$3,0,0,'Données projet'!$E$13+1,1))</f>
        <v>182.98212193167009</v>
      </c>
      <c r="CZ24" s="62">
        <f t="shared" si="42"/>
        <v>195.9200038944301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28</v>
      </c>
      <c r="DO24" s="13">
        <f>IF('Données projet'!$A$166&gt;35,DO23+DN24-DW23,IF(A24&lt;'Données projet'!$A$166,$DL$205^A24,IF(A24='Données projet'!$A$166,'Données projet'!$B$166,DO23+DN24-DW23)))</f>
        <v>130</v>
      </c>
      <c r="DP24" s="18">
        <f>DO24*VLOOKUP('Données projet'!$B$14,Paramètres!$A$1:$I$89,3,0)*VLOOKUP('Données projet'!$B$14,Paramètres!$A$1:$I$89,5,0)</f>
        <v>57.460000000000008</v>
      </c>
      <c r="DQ24" s="14">
        <f t="shared" si="43"/>
        <v>16.524469588732789</v>
      </c>
      <c r="DR24" s="22">
        <f t="shared" si="16"/>
        <v>128.85628453370961</v>
      </c>
      <c r="DS24" s="62">
        <f t="shared" si="17"/>
        <v>347.71381290958402</v>
      </c>
      <c r="DT24" s="62">
        <f ca="1">AVERAGE(OFFSET($DS$3,0,0,'Données projet'!$E$14+1,1))-AVERAGE(OFFSET($H$3,0,0,'Données projet'!$E$14+1,1))</f>
        <v>338.33525241236157</v>
      </c>
      <c r="DU24" s="62">
        <f t="shared" si="44"/>
        <v>373.47257029791717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7.8733452900512102</v>
      </c>
      <c r="EC24" s="23">
        <f>EXP(-LN(2)/2)*EC23+(1-EXP(-LN(2)/2))/(LN(2)/2)*DW24*DZ24*VLOOKUP('Données projet'!$B$14,Paramètres!$A$1:$I$89,3,0)*0.475*44/12</f>
        <v>7.0066109098863869</v>
      </c>
      <c r="ED24" s="24">
        <f t="shared" si="18"/>
        <v>14.879956199937597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1.2</v>
      </c>
      <c r="EJ24" s="13">
        <f>IF('Données projet'!$A$192&gt;35,EJ23+EI24-ER23,IF(A24&lt;'Données projet'!$A$192,$EG$205^A24,IF(A24='Données projet'!$A$192,'Données projet'!$B$192,EJ23+EI24-ER23)))</f>
        <v>17.409321838276906</v>
      </c>
      <c r="EK24" s="18">
        <f>EJ24*VLOOKUP('Données projet'!$B$15,Paramètres!$A$1:$I$89,3,0)*VLOOKUP('Données projet'!$B$15,Paramètres!$A$1:$I$89,5,0)</f>
        <v>13.579271033855987</v>
      </c>
      <c r="EL24" s="14">
        <f t="shared" si="45"/>
        <v>4.6191461330704211</v>
      </c>
      <c r="EM24" s="22">
        <f t="shared" si="19"/>
        <v>31.69557656573016</v>
      </c>
      <c r="EN24" s="62">
        <f t="shared" si="20"/>
        <v>250.55310494160454</v>
      </c>
      <c r="EO24" s="62">
        <f ca="1">AVERAGE(OFFSET($EN$3,0,0,'Données projet'!$E$15+1,1))-AVERAGE(OFFSET($H$3,0,0,'Données projet'!$E$15+1,1))</f>
        <v>144.92790055195192</v>
      </c>
      <c r="EP24" s="62">
        <f t="shared" si="46"/>
        <v>151.00642748754026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12.6</v>
      </c>
      <c r="N25" s="14">
        <f>IF('Données projet'!$A$36&gt;35,N24+M25-V24,IF(A25&lt;'Données projet'!$A$36,$K$205^A25,IF(A25='Données projet'!$A$36,'Données projet'!$B$36,N24+M25-V24)))</f>
        <v>77.199999999999989</v>
      </c>
      <c r="O25" s="14">
        <f>N25*VLOOKUP('Données projet'!$B$9,Paramètres!$A$1:$I$89,3,0)*VLOOKUP('Données projet'!$B$9,Paramètres!$A$1:$I$89,5,0)</f>
        <v>62.624639999999999</v>
      </c>
      <c r="P25" s="14">
        <f t="shared" si="33"/>
        <v>17.830197796836153</v>
      </c>
      <c r="Q25" s="22">
        <f t="shared" si="2"/>
        <v>140.12550916282296</v>
      </c>
      <c r="R25" s="62">
        <f t="shared" si="0"/>
        <v>361.30642306629136</v>
      </c>
      <c r="S25" s="62">
        <f ca="1">AVERAGE(OFFSET($R$3,0,0,'Données projet'!$E$9+1,1))-AVERAGE(OFFSET($H$3,0,0,'Données projet'!$E$9+1,1))</f>
        <v>259.10606516000064</v>
      </c>
      <c r="T25" s="62">
        <f t="shared" si="34"/>
        <v>316.57989180609252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5.666666666666667</v>
      </c>
      <c r="AI25" s="14">
        <f>IF('Données projet'!$A$62&gt;35,AI24+AH25-AQ24,IF(A25&lt;'Données projet'!$A$62,$AF$205^A25,IF(A25='Données projet'!$A$62,'Données projet'!$B$62,AI24+AH25-AQ24)))</f>
        <v>43.217788752441109</v>
      </c>
      <c r="AJ25" s="14">
        <f>AI25*VLOOKUP('Données projet'!$B$10,Paramètres!$A$1:$I$89,3,0)*VLOOKUP('Données projet'!$B$10,Paramètres!$A$1:$I$89,5,0)</f>
        <v>20.22592513614244</v>
      </c>
      <c r="AK25" s="14">
        <f t="shared" si="35"/>
        <v>6.5682961065488277</v>
      </c>
      <c r="AL25" s="22">
        <f t="shared" si="4"/>
        <v>46.666601997687287</v>
      </c>
      <c r="AM25" s="62">
        <f t="shared" si="5"/>
        <v>267.8475159011557</v>
      </c>
      <c r="AN25" s="62">
        <f ca="1">AVERAGE(OFFSET($AM$3,0,0,'Données projet'!$E$10+1,1))-AVERAGE(OFFSET($H$3,0,0,'Données projet'!$E$10+1,1))</f>
        <v>186.83226999296298</v>
      </c>
      <c r="AO25" s="62">
        <f t="shared" si="36"/>
        <v>232.70925470547317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73.650720000000007</v>
      </c>
      <c r="BF25" s="14">
        <f t="shared" si="37"/>
        <v>20.577360172493922</v>
      </c>
      <c r="BG25" s="22">
        <f t="shared" si="7"/>
        <v>164.11390630042692</v>
      </c>
      <c r="BH25" s="62">
        <f t="shared" si="8"/>
        <v>385.29482020389531</v>
      </c>
      <c r="BI25" s="62">
        <f ca="1">AVERAGE(OFFSET($BH$3,0,0,'Données projet'!$E$11+1,1))-AVERAGE(OFFSET($H$3,0,0,'Données projet'!$E$11+1,1))</f>
        <v>435.70500547084868</v>
      </c>
      <c r="BJ25" s="62">
        <f t="shared" si="38"/>
        <v>297.32483725004136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81.400000000000006</v>
      </c>
      <c r="BZ25" s="14">
        <f>BY25*VLOOKUP('Données projet'!$B$12,Paramètres!$A$1:$I$89,3,0)*VLOOKUP('Données projet'!$B$12,Paramètres!$A$1:$I$89,5,0)</f>
        <v>92.69832000000001</v>
      </c>
      <c r="CA25" s="14">
        <f t="shared" si="39"/>
        <v>25.214871737367016</v>
      </c>
      <c r="CB25" s="22">
        <f t="shared" si="10"/>
        <v>205.36547560924757</v>
      </c>
      <c r="CC25" s="62">
        <f t="shared" si="11"/>
        <v>426.54638951271596</v>
      </c>
      <c r="CD25" s="62">
        <f ca="1">AVERAGE(OFFSET($CC$3,0,0,'Données projet'!$E$12+1,1))-AVERAGE(OFFSET($H$3,0,0,'Données projet'!$E$12+1,1))</f>
        <v>530.15080507516973</v>
      </c>
      <c r="CE25" s="62">
        <f t="shared" si="40"/>
        <v>358.10331902702217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1.6</v>
      </c>
      <c r="CT25" s="13">
        <f>IF('Données projet'!$A$140&gt;35,CT24+CS25-DB24,IF(A25&lt;'Données projet'!$A$140,$CQ$205^A25,IF(A25='Données projet'!$A$140,'Données projet'!$B$140,CT24+CS25-DB24)))</f>
        <v>25.692880228771781</v>
      </c>
      <c r="CU25" s="18">
        <f>CT25*VLOOKUP('Données projet'!$B$13,Paramètres!$A$1:$I$89,3,0)*VLOOKUP('Données projet'!$B$13,Paramètres!$A$1:$I$89,5,0)</f>
        <v>22.044491236286191</v>
      </c>
      <c r="CV25" s="14">
        <f t="shared" si="41"/>
        <v>7.0874827640823872</v>
      </c>
      <c r="CW25" s="22">
        <f t="shared" si="13"/>
        <v>50.738188050641945</v>
      </c>
      <c r="CX25" s="62">
        <f t="shared" si="14"/>
        <v>271.91910195411032</v>
      </c>
      <c r="CY25" s="62">
        <f ca="1">AVERAGE(OFFSET($CX$3,0,0,'Données projet'!$E$13+1,1))-AVERAGE(OFFSET($H$3,0,0,'Données projet'!$E$13+1,1))</f>
        <v>182.98212193167009</v>
      </c>
      <c r="CZ25" s="62">
        <f t="shared" si="42"/>
        <v>195.9200038944301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28</v>
      </c>
      <c r="DO25" s="13">
        <f>IF('Données projet'!$A$166&gt;35,DO24+DN25-DW24,IF(A25&lt;'Données projet'!$A$166,$DL$205^A25,IF(A25='Données projet'!$A$166,'Données projet'!$B$166,DO24+DN25-DW24)))</f>
        <v>158</v>
      </c>
      <c r="DP25" s="18">
        <f>DO25*VLOOKUP('Données projet'!$B$14,Paramètres!$A$1:$I$89,3,0)*VLOOKUP('Données projet'!$B$14,Paramètres!$A$1:$I$89,5,0)</f>
        <v>69.836000000000013</v>
      </c>
      <c r="DQ25" s="14">
        <f t="shared" si="43"/>
        <v>19.632725033146617</v>
      </c>
      <c r="DR25" s="22">
        <f t="shared" si="16"/>
        <v>155.82469609939704</v>
      </c>
      <c r="DS25" s="62">
        <f t="shared" si="17"/>
        <v>377.00561000286541</v>
      </c>
      <c r="DT25" s="62">
        <f ca="1">AVERAGE(OFFSET($DS$3,0,0,'Données projet'!$E$14+1,1))-AVERAGE(OFFSET($H$3,0,0,'Données projet'!$E$14+1,1))</f>
        <v>338.33525241236157</v>
      </c>
      <c r="DU25" s="62">
        <f t="shared" si="44"/>
        <v>373.47257029791717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7.6580482490535262</v>
      </c>
      <c r="EC25" s="23">
        <f>EXP(-LN(2)/2)*EC24+(1-EXP(-LN(2)/2))/(LN(2)/2)*DW25*DZ25*VLOOKUP('Données projet'!$B$14,Paramètres!$A$1:$I$89,3,0)*0.475*44/12</f>
        <v>4.9544220875163107</v>
      </c>
      <c r="ED25" s="24">
        <f t="shared" si="18"/>
        <v>12.612470336569837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1.2</v>
      </c>
      <c r="EJ25" s="13">
        <f>IF('Données projet'!$A$192&gt;35,EJ24+EI25-ER24,IF(A25&lt;'Données projet'!$A$192,$EG$205^A25,IF(A25='Données projet'!$A$192,'Données projet'!$B$192,EJ24+EI25-ER24)))</f>
        <v>19.946500129940819</v>
      </c>
      <c r="EK25" s="18">
        <f>EJ25*VLOOKUP('Données projet'!$B$15,Paramètres!$A$1:$I$89,3,0)*VLOOKUP('Données projet'!$B$15,Paramètres!$A$1:$I$89,5,0)</f>
        <v>15.558270101353839</v>
      </c>
      <c r="EL25" s="14">
        <f t="shared" si="45"/>
        <v>5.2091765350901511</v>
      </c>
      <c r="EM25" s="22">
        <f t="shared" si="19"/>
        <v>36.169969558473291</v>
      </c>
      <c r="EN25" s="62">
        <f t="shared" si="20"/>
        <v>257.35088346194169</v>
      </c>
      <c r="EO25" s="62">
        <f ca="1">AVERAGE(OFFSET($EN$3,0,0,'Données projet'!$E$15+1,1))-AVERAGE(OFFSET($H$3,0,0,'Données projet'!$E$15+1,1))</f>
        <v>144.92790055195192</v>
      </c>
      <c r="EP25" s="62">
        <f t="shared" si="46"/>
        <v>151.00642748754026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12.6</v>
      </c>
      <c r="N26" s="14">
        <f>IF('Données projet'!$A$36&gt;35,N25+M26-V25,IF(A26&lt;'Données projet'!$A$36,$K$205^A26,IF(A26='Données projet'!$A$36,'Données projet'!$B$36,N25+M26-V25)))</f>
        <v>89.799999999999983</v>
      </c>
      <c r="O26" s="14">
        <f>N26*VLOOKUP('Données projet'!$B$9,Paramètres!$A$1:$I$89,3,0)*VLOOKUP('Données projet'!$B$9,Paramètres!$A$1:$I$89,5,0)</f>
        <v>72.845759999999984</v>
      </c>
      <c r="P26" s="14">
        <f t="shared" si="33"/>
        <v>20.378512751497539</v>
      </c>
      <c r="Q26" s="22">
        <f t="shared" si="2"/>
        <v>162.36560837552486</v>
      </c>
      <c r="R26" s="62">
        <f t="shared" si="0"/>
        <v>385.85080508507133</v>
      </c>
      <c r="S26" s="62">
        <f ca="1">AVERAGE(OFFSET($R$3,0,0,'Données projet'!$E$9+1,1))-AVERAGE(OFFSET($H$3,0,0,'Données projet'!$E$9+1,1))</f>
        <v>259.10606516000064</v>
      </c>
      <c r="T26" s="62">
        <f t="shared" si="34"/>
        <v>316.57989180609252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5.666666666666667</v>
      </c>
      <c r="AI26" s="14">
        <f>IF('Données projet'!$A$62&gt;35,AI25+AH26-AQ25,IF(A26&lt;'Données projet'!$A$62,$AF$205^A26,IF(A26='Données projet'!$A$62,'Données projet'!$B$62,AI25+AH26-AQ25)))</f>
        <v>51.287418485604626</v>
      </c>
      <c r="AJ26" s="14">
        <f>AI26*VLOOKUP('Données projet'!$B$10,Paramètres!$A$1:$I$89,3,0)*VLOOKUP('Données projet'!$B$10,Paramètres!$A$1:$I$89,5,0)</f>
        <v>24.002511851262966</v>
      </c>
      <c r="AK26" s="14">
        <f t="shared" si="35"/>
        <v>7.6409415693559897</v>
      </c>
      <c r="AL26" s="22">
        <f t="shared" si="4"/>
        <v>55.112348040911343</v>
      </c>
      <c r="AM26" s="62">
        <f t="shared" si="5"/>
        <v>278.59754475045781</v>
      </c>
      <c r="AN26" s="62">
        <f ca="1">AVERAGE(OFFSET($AM$3,0,0,'Données projet'!$E$10+1,1))-AVERAGE(OFFSET($H$3,0,0,'Données projet'!$E$10+1,1))</f>
        <v>186.83226999296298</v>
      </c>
      <c r="AO26" s="62">
        <f t="shared" si="36"/>
        <v>232.70925470547317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80.165279999999996</v>
      </c>
      <c r="BF26" s="14">
        <f t="shared" si="37"/>
        <v>22.177591092468788</v>
      </c>
      <c r="BG26" s="22">
        <f t="shared" si="7"/>
        <v>178.24716715271646</v>
      </c>
      <c r="BH26" s="62">
        <f t="shared" si="8"/>
        <v>401.73236386226296</v>
      </c>
      <c r="BI26" s="62">
        <f ca="1">AVERAGE(OFFSET($BH$3,0,0,'Données projet'!$E$11+1,1))-AVERAGE(OFFSET($H$3,0,0,'Données projet'!$E$11+1,1))</f>
        <v>435.70500547084868</v>
      </c>
      <c r="BJ26" s="62">
        <f t="shared" si="38"/>
        <v>297.32483725004136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88.600000000000009</v>
      </c>
      <c r="BZ26" s="14">
        <f>BY26*VLOOKUP('Données projet'!$B$12,Paramètres!$A$1:$I$89,3,0)*VLOOKUP('Données projet'!$B$12,Paramètres!$A$1:$I$89,5,0)</f>
        <v>100.89768000000002</v>
      </c>
      <c r="CA26" s="14">
        <f t="shared" si="39"/>
        <v>27.175746070084926</v>
      </c>
      <c r="CB26" s="22">
        <f t="shared" si="10"/>
        <v>223.06121707206464</v>
      </c>
      <c r="CC26" s="62">
        <f t="shared" si="11"/>
        <v>446.54641378161114</v>
      </c>
      <c r="CD26" s="62">
        <f ca="1">AVERAGE(OFFSET($CC$3,0,0,'Données projet'!$E$12+1,1))-AVERAGE(OFFSET($H$3,0,0,'Données projet'!$E$12+1,1))</f>
        <v>530.15080507516973</v>
      </c>
      <c r="CE26" s="62">
        <f t="shared" si="40"/>
        <v>358.10331902702217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1.6</v>
      </c>
      <c r="CT26" s="13">
        <f>IF('Données projet'!$A$140&gt;35,CT25+CS26-DB25,IF(A26&lt;'Données projet'!$A$140,$CQ$205^A26,IF(A26='Données projet'!$A$140,'Données projet'!$B$140,CT25+CS26-DB25)))</f>
        <v>29.777977129059437</v>
      </c>
      <c r="CU26" s="18">
        <f>CT26*VLOOKUP('Données projet'!$B$13,Paramètres!$A$1:$I$89,3,0)*VLOOKUP('Données projet'!$B$13,Paramètres!$A$1:$I$89,5,0)</f>
        <v>25.549504376733001</v>
      </c>
      <c r="CV26" s="14">
        <f t="shared" si="41"/>
        <v>8.074492288166871</v>
      </c>
      <c r="CW26" s="22">
        <f t="shared" si="13"/>
        <v>58.561794191367277</v>
      </c>
      <c r="CX26" s="62">
        <f t="shared" si="14"/>
        <v>282.04699090091378</v>
      </c>
      <c r="CY26" s="62">
        <f ca="1">AVERAGE(OFFSET($CX$3,0,0,'Données projet'!$E$13+1,1))-AVERAGE(OFFSET($H$3,0,0,'Données projet'!$E$13+1,1))</f>
        <v>182.98212193167009</v>
      </c>
      <c r="CZ26" s="62">
        <f t="shared" si="42"/>
        <v>195.9200038944301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28</v>
      </c>
      <c r="DO26" s="13">
        <f>IF('Données projet'!$A$166&gt;35,DO25+DN26-DW25,IF(A26&lt;'Données projet'!$A$166,$DL$205^A26,IF(A26='Données projet'!$A$166,'Données projet'!$B$166,DO25+DN26-DW25)))</f>
        <v>186</v>
      </c>
      <c r="DP26" s="18">
        <f>DO26*VLOOKUP('Données projet'!$B$14,Paramètres!$A$1:$I$89,3,0)*VLOOKUP('Données projet'!$B$14,Paramètres!$A$1:$I$89,5,0)</f>
        <v>82.212000000000003</v>
      </c>
      <c r="DQ26" s="14">
        <f t="shared" si="43"/>
        <v>22.677168109987953</v>
      </c>
      <c r="DR26" s="22">
        <f t="shared" si="16"/>
        <v>182.68196779156236</v>
      </c>
      <c r="DS26" s="62">
        <f t="shared" si="17"/>
        <v>406.16716450110886</v>
      </c>
      <c r="DT26" s="62">
        <f ca="1">AVERAGE(OFFSET($DS$3,0,0,'Données projet'!$E$14+1,1))-AVERAGE(OFFSET($H$3,0,0,'Données projet'!$E$14+1,1))</f>
        <v>338.33525241236157</v>
      </c>
      <c r="DU26" s="62">
        <f t="shared" si="44"/>
        <v>373.47257029791717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7.4486385169639027</v>
      </c>
      <c r="EC26" s="23">
        <f>EXP(-LN(2)/2)*EC25+(1-EXP(-LN(2)/2))/(LN(2)/2)*DW26*DZ26*VLOOKUP('Données projet'!$B$14,Paramètres!$A$1:$I$89,3,0)*0.475*44/12</f>
        <v>3.5033054549431943</v>
      </c>
      <c r="ED26" s="24">
        <f t="shared" si="18"/>
        <v>10.951943971907097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1.2</v>
      </c>
      <c r="EJ26" s="13">
        <f>IF('Données projet'!$A$192&gt;35,EJ25+EI26-ER25,IF(A26&lt;'Données projet'!$A$192,$EG$205^A26,IF(A26='Données projet'!$A$192,'Données projet'!$B$192,EJ25+EI26-ER25)))</f>
        <v>22.853438584779923</v>
      </c>
      <c r="EK26" s="18">
        <f>EJ26*VLOOKUP('Données projet'!$B$15,Paramètres!$A$1:$I$89,3,0)*VLOOKUP('Données projet'!$B$15,Paramètres!$A$1:$I$89,5,0)</f>
        <v>17.82568209612834</v>
      </c>
      <c r="EL26" s="14">
        <f t="shared" si="45"/>
        <v>5.8745749521668449</v>
      </c>
      <c r="EM26" s="22">
        <f t="shared" si="19"/>
        <v>41.277947692447448</v>
      </c>
      <c r="EN26" s="62">
        <f t="shared" si="20"/>
        <v>264.76314440199394</v>
      </c>
      <c r="EO26" s="62">
        <f ca="1">AVERAGE(OFFSET($EN$3,0,0,'Données projet'!$E$15+1,1))-AVERAGE(OFFSET($H$3,0,0,'Données projet'!$E$15+1,1))</f>
        <v>144.92790055195192</v>
      </c>
      <c r="EP26" s="62">
        <f t="shared" si="46"/>
        <v>151.00642748754026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12.6</v>
      </c>
      <c r="N27" s="14">
        <f>IF('Données projet'!$A$36&gt;35,N26+M27-V26,IF(A27&lt;'Données projet'!$A$36,$K$205^A27,IF(A27='Données projet'!$A$36,'Données projet'!$B$36,N26+M27-V26)))</f>
        <v>102.39999999999998</v>
      </c>
      <c r="O27" s="14">
        <f>N27*VLOOKUP('Données projet'!$B$9,Paramètres!$A$1:$I$89,3,0)*VLOOKUP('Données projet'!$B$9,Paramètres!$A$1:$I$89,5,0)</f>
        <v>83.066879999999983</v>
      </c>
      <c r="P27" s="14">
        <f t="shared" si="33"/>
        <v>22.88540255569357</v>
      </c>
      <c r="Q27" s="22">
        <f t="shared" si="2"/>
        <v>184.5335587844996</v>
      </c>
      <c r="R27" s="62">
        <f t="shared" si="0"/>
        <v>410.30426696811941</v>
      </c>
      <c r="S27" s="62">
        <f ca="1">AVERAGE(OFFSET($R$3,0,0,'Données projet'!$E$9+1,1))-AVERAGE(OFFSET($H$3,0,0,'Données projet'!$E$9+1,1))</f>
        <v>259.10606516000064</v>
      </c>
      <c r="T27" s="62">
        <f t="shared" si="34"/>
        <v>316.57989180609252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5.666666666666667</v>
      </c>
      <c r="AI27" s="14">
        <f>IF('Données projet'!$A$62&gt;35,AI26+AH27-AQ26,IF(A27&lt;'Données projet'!$A$62,$AF$205^A27,IF(A27='Données projet'!$A$62,'Données projet'!$B$62,AI26+AH27-AQ26)))</f>
        <v>60.863810270000563</v>
      </c>
      <c r="AJ27" s="14">
        <f>AI27*VLOOKUP('Données projet'!$B$10,Paramètres!$A$1:$I$89,3,0)*VLOOKUP('Données projet'!$B$10,Paramètres!$A$1:$I$89,5,0)</f>
        <v>28.484263206360264</v>
      </c>
      <c r="AK27" s="14">
        <f t="shared" si="35"/>
        <v>8.8887570108329133</v>
      </c>
      <c r="AL27" s="22">
        <f t="shared" si="4"/>
        <v>65.091343544944792</v>
      </c>
      <c r="AM27" s="62">
        <f t="shared" si="5"/>
        <v>290.86205172856461</v>
      </c>
      <c r="AN27" s="62">
        <f ca="1">AVERAGE(OFFSET($AM$3,0,0,'Données projet'!$E$10+1,1))-AVERAGE(OFFSET($H$3,0,0,'Données projet'!$E$10+1,1))</f>
        <v>186.83226999296298</v>
      </c>
      <c r="AO27" s="62">
        <f t="shared" si="36"/>
        <v>232.70925470547317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86.679839999999999</v>
      </c>
      <c r="BF27" s="14">
        <f t="shared" si="37"/>
        <v>23.762739053789723</v>
      </c>
      <c r="BG27" s="22">
        <f t="shared" si="7"/>
        <v>192.35415851868379</v>
      </c>
      <c r="BH27" s="62">
        <f t="shared" si="8"/>
        <v>418.12486670230362</v>
      </c>
      <c r="BI27" s="62">
        <f ca="1">AVERAGE(OFFSET($BH$3,0,0,'Données projet'!$E$11+1,1))-AVERAGE(OFFSET($H$3,0,0,'Données projet'!$E$11+1,1))</f>
        <v>435.70500547084868</v>
      </c>
      <c r="BJ27" s="62">
        <f t="shared" si="38"/>
        <v>297.32483725004136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95.800000000000011</v>
      </c>
      <c r="BZ27" s="14">
        <f>BY27*VLOOKUP('Données projet'!$B$12,Paramètres!$A$1:$I$89,3,0)*VLOOKUP('Données projet'!$B$12,Paramètres!$A$1:$I$89,5,0)</f>
        <v>109.09704000000002</v>
      </c>
      <c r="CA27" s="14">
        <f t="shared" si="39"/>
        <v>29.118138203692205</v>
      </c>
      <c r="CB27" s="22">
        <f t="shared" si="10"/>
        <v>240.72476870476396</v>
      </c>
      <c r="CC27" s="62">
        <f t="shared" si="11"/>
        <v>466.49547688838379</v>
      </c>
      <c r="CD27" s="62">
        <f ca="1">AVERAGE(OFFSET($CC$3,0,0,'Données projet'!$E$12+1,1))-AVERAGE(OFFSET($H$3,0,0,'Données projet'!$E$12+1,1))</f>
        <v>530.15080507516973</v>
      </c>
      <c r="CE27" s="62">
        <f t="shared" si="40"/>
        <v>358.10331902702217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1.6</v>
      </c>
      <c r="CT27" s="13">
        <f>IF('Données projet'!$A$140&gt;35,CT26+CS27-DB26,IF(A27&lt;'Données projet'!$A$140,$CQ$205^A27,IF(A27='Données projet'!$A$140,'Données projet'!$B$140,CT26+CS27-DB26)))</f>
        <v>34.5125931387715</v>
      </c>
      <c r="CU27" s="18">
        <f>CT27*VLOOKUP('Données projet'!$B$13,Paramètres!$A$1:$I$89,3,0)*VLOOKUP('Données projet'!$B$13,Paramètres!$A$1:$I$89,5,0)</f>
        <v>29.611804913065949</v>
      </c>
      <c r="CV27" s="14">
        <f t="shared" si="41"/>
        <v>9.1989536880527911</v>
      </c>
      <c r="CW27" s="22">
        <f t="shared" si="13"/>
        <v>67.595404563615133</v>
      </c>
      <c r="CX27" s="62">
        <f t="shared" si="14"/>
        <v>293.36611274723492</v>
      </c>
      <c r="CY27" s="62">
        <f ca="1">AVERAGE(OFFSET($CX$3,0,0,'Données projet'!$E$13+1,1))-AVERAGE(OFFSET($H$3,0,0,'Données projet'!$E$13+1,1))</f>
        <v>182.98212193167009</v>
      </c>
      <c r="CZ27" s="62">
        <f t="shared" si="42"/>
        <v>195.9200038944301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28</v>
      </c>
      <c r="DO27" s="13">
        <f>IF('Données projet'!$A$166&gt;35,DO26+DN27-DW26,IF(A27&lt;'Données projet'!$A$166,$DL$205^A27,IF(A27='Données projet'!$A$166,'Données projet'!$B$166,DO26+DN27-DW26)))</f>
        <v>214</v>
      </c>
      <c r="DP27" s="18">
        <f>DO27*VLOOKUP('Données projet'!$B$14,Paramètres!$A$1:$I$89,3,0)*VLOOKUP('Données projet'!$B$14,Paramètres!$A$1:$I$89,5,0)</f>
        <v>94.588000000000008</v>
      </c>
      <c r="DQ27" s="14">
        <f t="shared" si="43"/>
        <v>25.668517838649635</v>
      </c>
      <c r="DR27" s="22">
        <f t="shared" si="16"/>
        <v>209.44676856898141</v>
      </c>
      <c r="DS27" s="62">
        <f t="shared" si="17"/>
        <v>435.21747675260121</v>
      </c>
      <c r="DT27" s="62">
        <f ca="1">AVERAGE(OFFSET($DS$3,0,0,'Données projet'!$E$14+1,1))-AVERAGE(OFFSET($H$3,0,0,'Données projet'!$E$14+1,1))</f>
        <v>338.33525241236157</v>
      </c>
      <c r="DU27" s="62">
        <f t="shared" si="44"/>
        <v>373.47257029791717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7.2449551050106491</v>
      </c>
      <c r="EC27" s="23">
        <f>EXP(-LN(2)/2)*EC26+(1-EXP(-LN(2)/2))/(LN(2)/2)*DW27*DZ27*VLOOKUP('Données projet'!$B$14,Paramètres!$A$1:$I$89,3,0)*0.475*44/12</f>
        <v>2.4772110437581558</v>
      </c>
      <c r="ED27" s="24">
        <f t="shared" si="18"/>
        <v>9.7221661487688049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1.2</v>
      </c>
      <c r="EJ27" s="13">
        <f>IF('Données projet'!$A$192&gt;35,EJ26+EI27-ER26,IF(A27&lt;'Données projet'!$A$192,$EG$205^A27,IF(A27='Données projet'!$A$192,'Données projet'!$B$192,EJ26+EI27-ER26)))</f>
        <v>26.184024853780567</v>
      </c>
      <c r="EK27" s="18">
        <f>EJ27*VLOOKUP('Données projet'!$B$15,Paramètres!$A$1:$I$89,3,0)*VLOOKUP('Données projet'!$B$15,Paramètres!$A$1:$I$89,5,0)</f>
        <v>20.423539385948843</v>
      </c>
      <c r="EL27" s="14">
        <f t="shared" si="45"/>
        <v>6.6249685792283906</v>
      </c>
      <c r="EM27" s="22">
        <f t="shared" si="19"/>
        <v>47.109484706017014</v>
      </c>
      <c r="EN27" s="62">
        <f t="shared" si="20"/>
        <v>272.88019288963682</v>
      </c>
      <c r="EO27" s="62">
        <f ca="1">AVERAGE(OFFSET($EN$3,0,0,'Données projet'!$E$15+1,1))-AVERAGE(OFFSET($H$3,0,0,'Données projet'!$E$15+1,1))</f>
        <v>144.92790055195192</v>
      </c>
      <c r="EP27" s="62">
        <f t="shared" si="46"/>
        <v>151.00642748754026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115</v>
      </c>
      <c r="L28" s="13">
        <f>VLOOKUP(A28,'Données projet'!$A$35:$I$55,9,0)</f>
        <v>12.6</v>
      </c>
      <c r="M28" s="13">
        <f t="array" ref="M28">INDEX(L:L,MIN(IF(ISNUMBER(L28:L224),ROW(L28:L224),"")))</f>
        <v>12.6</v>
      </c>
      <c r="N28" s="14">
        <f>IF('Données projet'!$A$36&gt;35,N27+M28-V27,IF(A28&lt;'Données projet'!$A$36,$K$205^A28,IF(A28='Données projet'!$A$36,'Données projet'!$B$36,N27+M28-V27)))</f>
        <v>114.99999999999997</v>
      </c>
      <c r="O28" s="14">
        <f>N28*VLOOKUP('Données projet'!$B$9,Paramètres!$A$1:$I$89,3,0)*VLOOKUP('Données projet'!$B$9,Paramètres!$A$1:$I$89,5,0)</f>
        <v>93.287999999999982</v>
      </c>
      <c r="P28" s="14">
        <f t="shared" si="33"/>
        <v>25.356547829040977</v>
      </c>
      <c r="Q28" s="22">
        <f t="shared" si="2"/>
        <v>206.63925413557965</v>
      </c>
      <c r="R28" s="62">
        <f t="shared" si="0"/>
        <v>434.67702810191179</v>
      </c>
      <c r="S28" s="62">
        <f ca="1">AVERAGE(OFFSET($R$3,0,0,'Données projet'!$E$9+1,1))-AVERAGE(OFFSET($H$3,0,0,'Données projet'!$E$9+1,1))</f>
        <v>259.10606516000064</v>
      </c>
      <c r="T28" s="62">
        <f t="shared" si="34"/>
        <v>316.57989180609252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5.666666666666667</v>
      </c>
      <c r="AI28" s="14">
        <f>IF('Données projet'!$A$62&gt;35,AI27+AH28-AQ27,IF(A28&lt;'Données projet'!$A$62,$AF$205^A28,IF(A28='Données projet'!$A$62,'Données projet'!$B$62,AI27+AH28-AQ27)))</f>
        <v>72.228306862868891</v>
      </c>
      <c r="AJ28" s="14">
        <f>AI28*VLOOKUP('Données projet'!$B$10,Paramètres!$A$1:$I$89,3,0)*VLOOKUP('Données projet'!$B$10,Paramètres!$A$1:$I$89,5,0)</f>
        <v>33.802847611822642</v>
      </c>
      <c r="AK28" s="14">
        <f t="shared" si="35"/>
        <v>10.340348827492802</v>
      </c>
      <c r="AL28" s="22">
        <f t="shared" si="4"/>
        <v>76.882733798474405</v>
      </c>
      <c r="AM28" s="62">
        <f t="shared" si="5"/>
        <v>304.92050776480653</v>
      </c>
      <c r="AN28" s="62">
        <f ca="1">AVERAGE(OFFSET($AM$3,0,0,'Données projet'!$E$10+1,1))-AVERAGE(OFFSET($H$3,0,0,'Données projet'!$E$10+1,1))</f>
        <v>186.83226999296298</v>
      </c>
      <c r="AO28" s="62">
        <f t="shared" si="36"/>
        <v>232.70925470547317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93.194400000000002</v>
      </c>
      <c r="BF28" s="14">
        <f t="shared" si="37"/>
        <v>25.33406653691528</v>
      </c>
      <c r="BG28" s="22">
        <f t="shared" si="7"/>
        <v>206.43707921846078</v>
      </c>
      <c r="BH28" s="62">
        <f t="shared" si="8"/>
        <v>434.47485318479289</v>
      </c>
      <c r="BI28" s="62">
        <f ca="1">AVERAGE(OFFSET($BH$3,0,0,'Données projet'!$E$11+1,1))-AVERAGE(OFFSET($H$3,0,0,'Données projet'!$E$11+1,1))</f>
        <v>435.70500547084868</v>
      </c>
      <c r="BJ28" s="62">
        <f t="shared" si="38"/>
        <v>297.32483725004136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103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103.00000000000001</v>
      </c>
      <c r="BZ28" s="14">
        <f>BY28*VLOOKUP('Données projet'!$B$12,Paramètres!$A$1:$I$89,3,0)*VLOOKUP('Données projet'!$B$12,Paramètres!$A$1:$I$89,5,0)</f>
        <v>117.29640000000002</v>
      </c>
      <c r="CA28" s="14">
        <f t="shared" si="39"/>
        <v>31.043595143371576</v>
      </c>
      <c r="CB28" s="22">
        <f t="shared" si="10"/>
        <v>258.35882487470553</v>
      </c>
      <c r="CC28" s="62">
        <f t="shared" si="11"/>
        <v>486.39659884103764</v>
      </c>
      <c r="CD28" s="62">
        <f ca="1">AVERAGE(OFFSET($CC$3,0,0,'Données projet'!$E$12+1,1))-AVERAGE(OFFSET($H$3,0,0,'Données projet'!$E$12+1,1))</f>
        <v>530.15080507516973</v>
      </c>
      <c r="CE28" s="62">
        <f t="shared" si="40"/>
        <v>358.10331902702217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28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40</v>
      </c>
      <c r="CR28" s="13">
        <f>VLOOKUP(A28,'Données projet'!$A$139:$I$159,9,0)</f>
        <v>1.6</v>
      </c>
      <c r="CS28" s="13">
        <f t="array" ref="CS28">INDEX(CR:CR,MIN(IF(ISNUMBER(CR28:CR224),ROW(CR28:CR224),"")))</f>
        <v>1.6</v>
      </c>
      <c r="CT28" s="13">
        <f>IF('Données projet'!$A$140&gt;35,CT27+CS28-DB27,IF(A28&lt;'Données projet'!$A$140,$CQ$205^A28,IF(A28='Données projet'!$A$140,'Données projet'!$B$140,CT27+CS28-DB27)))</f>
        <v>40</v>
      </c>
      <c r="CU28" s="18">
        <f>CT28*VLOOKUP('Données projet'!$B$13,Paramètres!$A$1:$I$89,3,0)*VLOOKUP('Données projet'!$B$13,Paramètres!$A$1:$I$89,5,0)</f>
        <v>34.32</v>
      </c>
      <c r="CV28" s="14">
        <f t="shared" si="41"/>
        <v>10.480008641404153</v>
      </c>
      <c r="CW28" s="22">
        <f t="shared" si="13"/>
        <v>78.026681717112226</v>
      </c>
      <c r="CX28" s="62">
        <f t="shared" si="14"/>
        <v>306.06445568344435</v>
      </c>
      <c r="CY28" s="62">
        <f ca="1">AVERAGE(OFFSET($CX$3,0,0,'Données projet'!$E$13+1,1))-AVERAGE(OFFSET($H$3,0,0,'Données projet'!$E$13+1,1))</f>
        <v>182.98212193167009</v>
      </c>
      <c r="CZ28" s="62">
        <f t="shared" si="42"/>
        <v>195.9200038944301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242</v>
      </c>
      <c r="DM28" s="13">
        <f>VLOOKUP(A28,'Données projet'!$A$165:$I$185,9,0)</f>
        <v>28</v>
      </c>
      <c r="DN28" s="13">
        <f t="array" ref="DN28">INDEX(DM:DM,MIN(IF(ISNUMBER(DM28:DM224),ROW(DM28:DM224),"")))</f>
        <v>28</v>
      </c>
      <c r="DO28" s="13">
        <f>IF('Données projet'!$A$166&gt;35,DO27+DN28-DW27,IF(A28&lt;'Données projet'!$A$166,$DL$205^A28,IF(A28='Données projet'!$A$166,'Données projet'!$B$166,DO27+DN28-DW27)))</f>
        <v>242</v>
      </c>
      <c r="DP28" s="18">
        <f>DO28*VLOOKUP('Données projet'!$B$14,Paramètres!$A$1:$I$89,3,0)*VLOOKUP('Données projet'!$B$14,Paramètres!$A$1:$I$89,5,0)</f>
        <v>106.964</v>
      </c>
      <c r="DQ28" s="14">
        <f t="shared" si="43"/>
        <v>28.614518306762253</v>
      </c>
      <c r="DR28" s="22">
        <f t="shared" si="16"/>
        <v>236.13258605094427</v>
      </c>
      <c r="DS28" s="62">
        <f t="shared" si="17"/>
        <v>464.17036001727638</v>
      </c>
      <c r="DT28" s="62">
        <f ca="1">AVERAGE(OFFSET($DS$3,0,0,'Données projet'!$E$14+1,1))-AVERAGE(OFFSET($H$3,0,0,'Données projet'!$E$14+1,1))</f>
        <v>338.33525241236157</v>
      </c>
      <c r="DU28" s="62">
        <f t="shared" si="44"/>
        <v>373.47257029791717</v>
      </c>
      <c r="DV28" s="16">
        <f>IF(ISNA(VLOOKUP(A28,'Données projet'!$A$165:$I$185,3,0)),0,VLOOKUP(A28,'Données projet'!$A$165:$I$185,3,0))</f>
        <v>3</v>
      </c>
      <c r="DW28" s="16">
        <f>IF(ISNA(VLOOKUP(A28,'Données projet'!$A$165:$I$185,4,0)),0,VLOOKUP(A28,'Données projet'!$A$165:$I$185,4,0))</f>
        <v>70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0.30800000000000005</v>
      </c>
      <c r="DZ28" s="17">
        <f>IF(ISNA(VLOOKUP(A28,'Données projet'!$A$165:$I$185,7,0)),0%,VLOOKUP(A28,'Données projet'!$A$165:$I$185,7,0))</f>
        <v>0.44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19.638589445151496</v>
      </c>
      <c r="EC28" s="23">
        <f>EXP(-LN(2)/2)*EC27+(1-EXP(-LN(2)/2))/(LN(2)/2)*DW28*DZ28*VLOOKUP('Données projet'!$B$14,Paramètres!$A$1:$I$89,3,0)*0.475*44/12</f>
        <v>17.16541033307789</v>
      </c>
      <c r="ED28" s="24">
        <f t="shared" si="18"/>
        <v>36.803999778229382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30</v>
      </c>
      <c r="EH28" s="13">
        <f>VLOOKUP(A28,'Données projet'!$A$191:$I$211,9,0)</f>
        <v>1.2</v>
      </c>
      <c r="EI28" s="13">
        <f t="array" ref="EI28">INDEX(EH:EH,MIN(IF(ISNUMBER(EH28:EH224),ROW(EH28:EH224),"")))</f>
        <v>1.2</v>
      </c>
      <c r="EJ28" s="13">
        <f>IF('Données projet'!$A$192&gt;35,EJ27+EI28-ER27,IF(A28&lt;'Données projet'!$A$192,$EG$205^A28,IF(A28='Données projet'!$A$192,'Données projet'!$B$192,EJ27+EI28-ER27)))</f>
        <v>30</v>
      </c>
      <c r="EK28" s="18">
        <f>EJ28*VLOOKUP('Données projet'!$B$15,Paramètres!$A$1:$I$89,3,0)*VLOOKUP('Données projet'!$B$15,Paramètres!$A$1:$I$89,5,0)</f>
        <v>23.400000000000002</v>
      </c>
      <c r="EL28" s="14">
        <f t="shared" si="45"/>
        <v>7.4712143488056828</v>
      </c>
      <c r="EM28" s="22">
        <f t="shared" si="19"/>
        <v>53.767364990836569</v>
      </c>
      <c r="EN28" s="62">
        <f t="shared" si="20"/>
        <v>281.80513895716865</v>
      </c>
      <c r="EO28" s="62">
        <f ca="1">AVERAGE(OFFSET($EN$3,0,0,'Données projet'!$E$15+1,1))-AVERAGE(OFFSET($H$3,0,0,'Données projet'!$E$15+1,1))</f>
        <v>144.92790055195192</v>
      </c>
      <c r="EP28" s="62">
        <f t="shared" si="46"/>
        <v>151.00642748754026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11.8</v>
      </c>
      <c r="N29" s="14">
        <f>IF('Données projet'!$A$36&gt;35,N28+M29-V28,IF(A29&lt;'Données projet'!$A$36,$K$205^A29,IF(A29='Données projet'!$A$36,'Données projet'!$B$36,N28+M29-V28)))</f>
        <v>98.799999999999969</v>
      </c>
      <c r="O29" s="14">
        <f>N29*VLOOKUP('Données projet'!$B$9,Paramètres!$A$1:$I$89,3,0)*VLOOKUP('Données projet'!$B$9,Paramètres!$A$1:$I$89,5,0)</f>
        <v>80.14655999999998</v>
      </c>
      <c r="P29" s="14">
        <f t="shared" si="33"/>
        <v>22.17301499240547</v>
      </c>
      <c r="Q29" s="22">
        <f t="shared" si="2"/>
        <v>178.2065931117728</v>
      </c>
      <c r="R29" s="62">
        <f t="shared" si="0"/>
        <v>408.49330716096301</v>
      </c>
      <c r="S29" s="62">
        <f ca="1">AVERAGE(OFFSET($R$3,0,0,'Données projet'!$E$9+1,1))-AVERAGE(OFFSET($H$3,0,0,'Données projet'!$E$9+1,1))</f>
        <v>259.10606516000064</v>
      </c>
      <c r="T29" s="62">
        <f t="shared" si="34"/>
        <v>316.57989180609252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5.666666666666667</v>
      </c>
      <c r="AI29" s="14">
        <f>IF('Données projet'!$A$62&gt;35,AI28+AH29-AQ28,IF(A29&lt;'Données projet'!$A$62,$AF$205^A29,IF(A29='Données projet'!$A$62,'Données projet'!$B$62,AI28+AH29-AQ28)))</f>
        <v>85.714783368535649</v>
      </c>
      <c r="AJ29" s="14">
        <f>AI29*VLOOKUP('Données projet'!$B$10,Paramètres!$A$1:$I$89,3,0)*VLOOKUP('Données projet'!$B$10,Paramètres!$A$1:$I$89,5,0)</f>
        <v>40.114518616474683</v>
      </c>
      <c r="AK29" s="14">
        <f t="shared" si="35"/>
        <v>12.028995026405015</v>
      </c>
      <c r="AL29" s="22">
        <f t="shared" si="4"/>
        <v>90.816619594682138</v>
      </c>
      <c r="AM29" s="62">
        <f t="shared" si="5"/>
        <v>321.1033336438723</v>
      </c>
      <c r="AN29" s="62">
        <f ca="1">AVERAGE(OFFSET($AM$3,0,0,'Données projet'!$E$10+1,1))-AVERAGE(OFFSET($H$3,0,0,'Données projet'!$E$10+1,1))</f>
        <v>186.83226999296298</v>
      </c>
      <c r="AO29" s="62">
        <f t="shared" si="36"/>
        <v>232.70925470547317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76.184160000000006</v>
      </c>
      <c r="BF29" s="14">
        <f t="shared" si="37"/>
        <v>21.201554232857223</v>
      </c>
      <c r="BG29" s="22">
        <f t="shared" si="7"/>
        <v>169.613452288893</v>
      </c>
      <c r="BH29" s="62">
        <f t="shared" si="8"/>
        <v>399.90016633808318</v>
      </c>
      <c r="BI29" s="62">
        <f ca="1">AVERAGE(OFFSET($BH$3,0,0,'Données projet'!$E$11+1,1))-AVERAGE(OFFSET($H$3,0,0,'Données projet'!$E$11+1,1))</f>
        <v>435.70500547084868</v>
      </c>
      <c r="BJ29" s="62">
        <f t="shared" si="38"/>
        <v>297.32483725004136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95.886960000000016</v>
      </c>
      <c r="CA29" s="14">
        <f t="shared" si="39"/>
        <v>25.979740167493699</v>
      </c>
      <c r="CB29" s="22">
        <f t="shared" si="10"/>
        <v>212.25116945838488</v>
      </c>
      <c r="CC29" s="62">
        <f t="shared" si="11"/>
        <v>442.53788350757509</v>
      </c>
      <c r="CD29" s="62">
        <f ca="1">AVERAGE(OFFSET($CC$3,0,0,'Données projet'!$E$12+1,1))-AVERAGE(OFFSET($H$3,0,0,'Données projet'!$E$12+1,1))</f>
        <v>530.15080507516973</v>
      </c>
      <c r="CE29" s="62">
        <f t="shared" si="40"/>
        <v>358.10331902702217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6.6</v>
      </c>
      <c r="CT29" s="13">
        <f>IF('Données projet'!$A$140&gt;35,CT28+CS29-DB28,IF(A29&lt;'Données projet'!$A$140,$CQ$205^A29,IF(A29='Données projet'!$A$140,'Données projet'!$B$140,CT28+CS29-DB28)))</f>
        <v>46.6</v>
      </c>
      <c r="CU29" s="18">
        <f>CT29*VLOOKUP('Données projet'!$B$13,Paramètres!$A$1:$I$89,3,0)*VLOOKUP('Données projet'!$B$13,Paramètres!$A$1:$I$89,5,0)</f>
        <v>39.982800000000005</v>
      </c>
      <c r="CV29" s="14">
        <f t="shared" si="41"/>
        <v>11.994087930693277</v>
      </c>
      <c r="CW29" s="22">
        <f t="shared" si="13"/>
        <v>90.526413145957463</v>
      </c>
      <c r="CX29" s="62">
        <f t="shared" si="14"/>
        <v>320.81312719514767</v>
      </c>
      <c r="CY29" s="62">
        <f ca="1">AVERAGE(OFFSET($CX$3,0,0,'Données projet'!$E$13+1,1))-AVERAGE(OFFSET($H$3,0,0,'Données projet'!$E$13+1,1))</f>
        <v>182.98212193167009</v>
      </c>
      <c r="CZ29" s="62">
        <f t="shared" si="42"/>
        <v>195.9200038944301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31.2</v>
      </c>
      <c r="DO29" s="13">
        <f>IF('Données projet'!$A$166&gt;35,DO28+DN29-DW28,IF(A29&lt;'Données projet'!$A$166,$DL$205^A29,IF(A29='Données projet'!$A$166,'Données projet'!$B$166,DO28+DN29-DW28)))</f>
        <v>203.2</v>
      </c>
      <c r="DP29" s="18">
        <f>DO29*VLOOKUP('Données projet'!$B$14,Paramètres!$A$1:$I$89,3,0)*VLOOKUP('Données projet'!$B$14,Paramètres!$A$1:$I$89,5,0)</f>
        <v>89.81440000000002</v>
      </c>
      <c r="DQ29" s="14">
        <f t="shared" si="43"/>
        <v>24.52045736659548</v>
      </c>
      <c r="DR29" s="22">
        <f t="shared" si="16"/>
        <v>199.13320991348715</v>
      </c>
      <c r="DS29" s="62">
        <f t="shared" si="17"/>
        <v>429.41992396267733</v>
      </c>
      <c r="DT29" s="62">
        <f ca="1">AVERAGE(OFFSET($DS$3,0,0,'Données projet'!$E$14+1,1))-AVERAGE(OFFSET($H$3,0,0,'Données projet'!$E$14+1,1))</f>
        <v>338.33525241236157</v>
      </c>
      <c r="DU29" s="62">
        <f t="shared" si="44"/>
        <v>373.47257029791717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19.101571184025293</v>
      </c>
      <c r="EC29" s="23">
        <f>EXP(-LN(2)/2)*EC28+(1-EXP(-LN(2)/2))/(LN(2)/2)*DW29*DZ29*VLOOKUP('Données projet'!$B$14,Paramètres!$A$1:$I$89,3,0)*0.475*44/12</f>
        <v>12.137778048369011</v>
      </c>
      <c r="ED29" s="24">
        <f t="shared" si="18"/>
        <v>31.239349232394304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4.8</v>
      </c>
      <c r="EJ29" s="13">
        <f>IF('Données projet'!$A$192&gt;35,EJ28+EI29-ER28,IF(A29&lt;'Données projet'!$A$192,$EG$205^A29,IF(A29='Données projet'!$A$192,'Données projet'!$B$192,EJ28+EI29-ER28)))</f>
        <v>34.799999999999997</v>
      </c>
      <c r="EK29" s="18">
        <f>EJ29*VLOOKUP('Données projet'!$B$15,Paramètres!$A$1:$I$89,3,0)*VLOOKUP('Données projet'!$B$15,Paramètres!$A$1:$I$89,5,0)</f>
        <v>27.143999999999998</v>
      </c>
      <c r="EL29" s="14">
        <f t="shared" si="45"/>
        <v>8.5181694620316346</v>
      </c>
      <c r="EM29" s="22">
        <f t="shared" si="19"/>
        <v>62.111611813038422</v>
      </c>
      <c r="EN29" s="62">
        <f t="shared" si="20"/>
        <v>292.3983258622286</v>
      </c>
      <c r="EO29" s="62">
        <f ca="1">AVERAGE(OFFSET($EN$3,0,0,'Données projet'!$E$15+1,1))-AVERAGE(OFFSET($H$3,0,0,'Données projet'!$E$15+1,1))</f>
        <v>144.92790055195192</v>
      </c>
      <c r="EP29" s="62">
        <f t="shared" si="46"/>
        <v>151.00642748754026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11.8</v>
      </c>
      <c r="N30" s="14">
        <f>IF('Données projet'!$A$36&gt;35,N29+M30-V29,IF(A30&lt;'Données projet'!$A$36,$K$205^A30,IF(A30='Données projet'!$A$36,'Données projet'!$B$36,N29+M30-V29)))</f>
        <v>110.59999999999997</v>
      </c>
      <c r="O30" s="14">
        <f>N30*VLOOKUP('Données projet'!$B$9,Paramètres!$A$1:$I$89,3,0)*VLOOKUP('Données projet'!$B$9,Paramètres!$A$1:$I$89,5,0)</f>
        <v>89.718719999999976</v>
      </c>
      <c r="P30" s="14">
        <f t="shared" si="33"/>
        <v>24.49737467739692</v>
      </c>
      <c r="Q30" s="22">
        <f t="shared" si="2"/>
        <v>198.92636489646625</v>
      </c>
      <c r="R30" s="62">
        <f t="shared" si="0"/>
        <v>431.44420776902973</v>
      </c>
      <c r="S30" s="62">
        <f ca="1">AVERAGE(OFFSET($R$3,0,0,'Données projet'!$E$9+1,1))-AVERAGE(OFFSET($H$3,0,0,'Données projet'!$E$9+1,1))</f>
        <v>259.10606516000064</v>
      </c>
      <c r="T30" s="62">
        <f t="shared" si="34"/>
        <v>316.57989180609252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5.666666666666667</v>
      </c>
      <c r="AI30" s="14">
        <f>IF('Données projet'!$A$62&gt;35,AI29+AH30-AQ29,IF(A30&lt;'Données projet'!$A$62,$AF$205^A30,IF(A30='Données projet'!$A$62,'Données projet'!$B$62,AI29+AH30-AQ29)))</f>
        <v>101.71945608338704</v>
      </c>
      <c r="AJ30" s="14">
        <f>AI30*VLOOKUP('Données projet'!$B$10,Paramètres!$A$1:$I$89,3,0)*VLOOKUP('Données projet'!$B$10,Paramètres!$A$1:$I$89,5,0)</f>
        <v>47.604705447025133</v>
      </c>
      <c r="AK30" s="14">
        <f t="shared" si="35"/>
        <v>13.993408129574757</v>
      </c>
      <c r="AL30" s="22">
        <f t="shared" si="4"/>
        <v>107.28338114591146</v>
      </c>
      <c r="AM30" s="62">
        <f t="shared" si="5"/>
        <v>339.80122401847495</v>
      </c>
      <c r="AN30" s="62">
        <f ca="1">AVERAGE(OFFSET($AM$3,0,0,'Données projet'!$E$10+1,1))-AVERAGE(OFFSET($H$3,0,0,'Données projet'!$E$10+1,1))</f>
        <v>186.83226999296298</v>
      </c>
      <c r="AO30" s="62">
        <f t="shared" si="36"/>
        <v>232.70925470547317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84.508320000000026</v>
      </c>
      <c r="BF30" s="14">
        <f t="shared" si="37"/>
        <v>23.235950088324714</v>
      </c>
      <c r="BG30" s="22">
        <f t="shared" si="7"/>
        <v>187.65460373716556</v>
      </c>
      <c r="BH30" s="62">
        <f t="shared" si="8"/>
        <v>420.17244660972904</v>
      </c>
      <c r="BI30" s="62">
        <f ca="1">AVERAGE(OFFSET($BH$3,0,0,'Données projet'!$E$11+1,1))-AVERAGE(OFFSET($H$3,0,0,'Données projet'!$E$11+1,1))</f>
        <v>435.70500547084868</v>
      </c>
      <c r="BJ30" s="62">
        <f t="shared" si="38"/>
        <v>297.32483725004136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106.36392000000004</v>
      </c>
      <c r="CA30" s="14">
        <f t="shared" si="39"/>
        <v>28.472627016372076</v>
      </c>
      <c r="CB30" s="22">
        <f t="shared" si="10"/>
        <v>234.84031938684811</v>
      </c>
      <c r="CC30" s="62">
        <f t="shared" si="11"/>
        <v>467.35816225941164</v>
      </c>
      <c r="CD30" s="62">
        <f ca="1">AVERAGE(OFFSET($CC$3,0,0,'Données projet'!$E$12+1,1))-AVERAGE(OFFSET($H$3,0,0,'Données projet'!$E$12+1,1))</f>
        <v>530.15080507516973</v>
      </c>
      <c r="CE30" s="62">
        <f t="shared" si="40"/>
        <v>358.10331902702217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6.6</v>
      </c>
      <c r="CT30" s="13">
        <f>IF('Données projet'!$A$140&gt;35,CT29+CS30-DB29,IF(A30&lt;'Données projet'!$A$140,$CQ$205^A30,IF(A30='Données projet'!$A$140,'Données projet'!$B$140,CT29+CS30-DB29)))</f>
        <v>53.2</v>
      </c>
      <c r="CU30" s="18">
        <f>CT30*VLOOKUP('Données projet'!$B$13,Paramètres!$A$1:$I$89,3,0)*VLOOKUP('Données projet'!$B$13,Paramètres!$A$1:$I$89,5,0)</f>
        <v>45.645600000000009</v>
      </c>
      <c r="CV30" s="14">
        <f t="shared" si="41"/>
        <v>13.483323382303894</v>
      </c>
      <c r="CW30" s="22">
        <f t="shared" si="13"/>
        <v>102.98287489084596</v>
      </c>
      <c r="CX30" s="62">
        <f t="shared" si="14"/>
        <v>335.50071776340945</v>
      </c>
      <c r="CY30" s="62">
        <f ca="1">AVERAGE(OFFSET($CX$3,0,0,'Données projet'!$E$13+1,1))-AVERAGE(OFFSET($H$3,0,0,'Données projet'!$E$13+1,1))</f>
        <v>182.98212193167009</v>
      </c>
      <c r="CZ30" s="62">
        <f t="shared" si="42"/>
        <v>195.9200038944301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31.2</v>
      </c>
      <c r="DO30" s="13">
        <f>IF('Données projet'!$A$166&gt;35,DO29+DN30-DW29,IF(A30&lt;'Données projet'!$A$166,$DL$205^A30,IF(A30='Données projet'!$A$166,'Données projet'!$B$166,DO29+DN30-DW29)))</f>
        <v>234.39999999999998</v>
      </c>
      <c r="DP30" s="18">
        <f>DO30*VLOOKUP('Données projet'!$B$14,Paramètres!$A$1:$I$89,3,0)*VLOOKUP('Données projet'!$B$14,Paramètres!$A$1:$I$89,5,0)</f>
        <v>103.6048</v>
      </c>
      <c r="DQ30" s="14">
        <f t="shared" si="43"/>
        <v>27.819013414193847</v>
      </c>
      <c r="DR30" s="22">
        <f t="shared" si="16"/>
        <v>228.8964750297209</v>
      </c>
      <c r="DS30" s="62">
        <f t="shared" si="17"/>
        <v>461.41431790228444</v>
      </c>
      <c r="DT30" s="62">
        <f ca="1">AVERAGE(OFFSET($DS$3,0,0,'Données projet'!$E$14+1,1))-AVERAGE(OFFSET($H$3,0,0,'Données projet'!$E$14+1,1))</f>
        <v>338.33525241236157</v>
      </c>
      <c r="DU30" s="62">
        <f t="shared" si="44"/>
        <v>373.47257029791717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18.579237715490148</v>
      </c>
      <c r="EC30" s="23">
        <f>EXP(-LN(2)/2)*EC29+(1-EXP(-LN(2)/2))/(LN(2)/2)*DW30*DZ30*VLOOKUP('Données projet'!$B$14,Paramètres!$A$1:$I$89,3,0)*0.475*44/12</f>
        <v>8.5827051665389469</v>
      </c>
      <c r="ED30" s="24">
        <f t="shared" si="18"/>
        <v>27.161942882029095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4.8</v>
      </c>
      <c r="EJ30" s="13">
        <f>IF('Données projet'!$A$192&gt;35,EJ29+EI30-ER29,IF(A30&lt;'Données projet'!$A$192,$EG$205^A30,IF(A30='Données projet'!$A$192,'Données projet'!$B$192,EJ29+EI30-ER29)))</f>
        <v>39.599999999999994</v>
      </c>
      <c r="EK30" s="18">
        <f>EJ30*VLOOKUP('Données projet'!$B$15,Paramètres!$A$1:$I$89,3,0)*VLOOKUP('Données projet'!$B$15,Paramètres!$A$1:$I$89,5,0)</f>
        <v>30.887999999999998</v>
      </c>
      <c r="EL30" s="14">
        <f t="shared" si="45"/>
        <v>9.5483937995519046</v>
      </c>
      <c r="EM30" s="22">
        <f t="shared" si="19"/>
        <v>70.426719200886225</v>
      </c>
      <c r="EN30" s="62">
        <f t="shared" si="20"/>
        <v>302.94456207344973</v>
      </c>
      <c r="EO30" s="62">
        <f ca="1">AVERAGE(OFFSET($EN$3,0,0,'Données projet'!$E$15+1,1))-AVERAGE(OFFSET($H$3,0,0,'Données projet'!$E$15+1,1))</f>
        <v>144.92790055195192</v>
      </c>
      <c r="EP30" s="62">
        <f t="shared" si="46"/>
        <v>151.00642748754026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11.8</v>
      </c>
      <c r="N31" s="14">
        <f>IF('Données projet'!$A$36&gt;35,N30+M31-V30,IF(A31&lt;'Données projet'!$A$36,$K$205^A31,IF(A31='Données projet'!$A$36,'Données projet'!$B$36,N30+M31-V30)))</f>
        <v>122.39999999999996</v>
      </c>
      <c r="O31" s="14">
        <f>N31*VLOOKUP('Données projet'!$B$9,Paramètres!$A$1:$I$89,3,0)*VLOOKUP('Données projet'!$B$9,Paramètres!$A$1:$I$89,5,0)</f>
        <v>99.290879999999973</v>
      </c>
      <c r="P31" s="14">
        <f t="shared" si="33"/>
        <v>26.792989580133234</v>
      </c>
      <c r="Q31" s="22">
        <f t="shared" si="2"/>
        <v>219.5960728520653</v>
      </c>
      <c r="R31" s="62">
        <f t="shared" si="0"/>
        <v>454.32754227404939</v>
      </c>
      <c r="S31" s="62">
        <f ca="1">AVERAGE(OFFSET($R$3,0,0,'Données projet'!$E$9+1,1))-AVERAGE(OFFSET($H$3,0,0,'Données projet'!$E$9+1,1))</f>
        <v>259.10606516000064</v>
      </c>
      <c r="T31" s="62">
        <f t="shared" si="34"/>
        <v>316.57989180609252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5.666666666666667</v>
      </c>
      <c r="AI31" s="14">
        <f>IF('Données projet'!$A$62&gt;35,AI30+AH31-AQ30,IF(A31&lt;'Données projet'!$A$62,$AF$205^A31,IF(A31='Données projet'!$A$62,'Données projet'!$B$62,AI30+AH31-AQ30)))</f>
        <v>120.71252284933438</v>
      </c>
      <c r="AJ31" s="14">
        <f>AI31*VLOOKUP('Données projet'!$B$10,Paramètres!$A$1:$I$89,3,0)*VLOOKUP('Données projet'!$B$10,Paramètres!$A$1:$I$89,5,0)</f>
        <v>56.493460693488487</v>
      </c>
      <c r="AK31" s="14">
        <f t="shared" si="35"/>
        <v>16.278622665568623</v>
      </c>
      <c r="AL31" s="22">
        <f t="shared" si="4"/>
        <v>126.74471185035777</v>
      </c>
      <c r="AM31" s="62">
        <f t="shared" si="5"/>
        <v>361.47618127234188</v>
      </c>
      <c r="AN31" s="62">
        <f ca="1">AVERAGE(OFFSET($AM$3,0,0,'Données projet'!$E$10+1,1))-AVERAGE(OFFSET($H$3,0,0,'Données projet'!$E$10+1,1))</f>
        <v>186.83226999296298</v>
      </c>
      <c r="AO31" s="62">
        <f t="shared" si="36"/>
        <v>232.70925470547317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92.832480000000018</v>
      </c>
      <c r="BF31" s="14">
        <f t="shared" si="37"/>
        <v>25.247114117480137</v>
      </c>
      <c r="BG31" s="22">
        <f t="shared" si="7"/>
        <v>205.65529308794461</v>
      </c>
      <c r="BH31" s="62">
        <f t="shared" si="8"/>
        <v>440.3867625099287</v>
      </c>
      <c r="BI31" s="62">
        <f ca="1">AVERAGE(OFFSET($BH$3,0,0,'Données projet'!$E$11+1,1))-AVERAGE(OFFSET($H$3,0,0,'Données projet'!$E$11+1,1))</f>
        <v>435.70500547084868</v>
      </c>
      <c r="BJ31" s="62">
        <f t="shared" si="38"/>
        <v>297.32483725004136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116.84088000000003</v>
      </c>
      <c r="CA31" s="14">
        <f t="shared" si="39"/>
        <v>30.937046291384185</v>
      </c>
      <c r="CB31" s="22">
        <f t="shared" si="10"/>
        <v>257.37988829082747</v>
      </c>
      <c r="CC31" s="62">
        <f t="shared" si="11"/>
        <v>492.11135771281158</v>
      </c>
      <c r="CD31" s="62">
        <f ca="1">AVERAGE(OFFSET($CC$3,0,0,'Données projet'!$E$12+1,1))-AVERAGE(OFFSET($H$3,0,0,'Données projet'!$E$12+1,1))</f>
        <v>530.15080507516973</v>
      </c>
      <c r="CE31" s="62">
        <f t="shared" si="40"/>
        <v>358.10331902702217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6.6</v>
      </c>
      <c r="CT31" s="13">
        <f>IF('Données projet'!$A$140&gt;35,CT30+CS31-DB30,IF(A31&lt;'Données projet'!$A$140,$CQ$205^A31,IF(A31='Données projet'!$A$140,'Données projet'!$B$140,CT30+CS31-DB30)))</f>
        <v>59.800000000000004</v>
      </c>
      <c r="CU31" s="18">
        <f>CT31*VLOOKUP('Données projet'!$B$13,Paramètres!$A$1:$I$89,3,0)*VLOOKUP('Données projet'!$B$13,Paramètres!$A$1:$I$89,5,0)</f>
        <v>51.308400000000013</v>
      </c>
      <c r="CV31" s="14">
        <f t="shared" si="41"/>
        <v>14.95114999798154</v>
      </c>
      <c r="CW31" s="22">
        <f t="shared" si="13"/>
        <v>115.40204957981786</v>
      </c>
      <c r="CX31" s="62">
        <f t="shared" si="14"/>
        <v>350.13351900180191</v>
      </c>
      <c r="CY31" s="62">
        <f ca="1">AVERAGE(OFFSET($CX$3,0,0,'Données projet'!$E$13+1,1))-AVERAGE(OFFSET($H$3,0,0,'Données projet'!$E$13+1,1))</f>
        <v>182.98212193167009</v>
      </c>
      <c r="CZ31" s="62">
        <f t="shared" si="42"/>
        <v>195.9200038944301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31.2</v>
      </c>
      <c r="DO31" s="13">
        <f>IF('Données projet'!$A$166&gt;35,DO30+DN31-DW30,IF(A31&lt;'Données projet'!$A$166,$DL$205^A31,IF(A31='Données projet'!$A$166,'Données projet'!$B$166,DO30+DN31-DW30)))</f>
        <v>265.59999999999997</v>
      </c>
      <c r="DP31" s="18">
        <f>DO31*VLOOKUP('Données projet'!$B$14,Paramètres!$A$1:$I$89,3,0)*VLOOKUP('Données projet'!$B$14,Paramètres!$A$1:$I$89,5,0)</f>
        <v>117.39519999999999</v>
      </c>
      <c r="DQ31" s="14">
        <f t="shared" si="43"/>
        <v>31.066698692227963</v>
      </c>
      <c r="DR31" s="22">
        <f t="shared" si="16"/>
        <v>258.57114022229695</v>
      </c>
      <c r="DS31" s="62">
        <f t="shared" si="17"/>
        <v>493.30260964428101</v>
      </c>
      <c r="DT31" s="62">
        <f ca="1">AVERAGE(OFFSET($DS$3,0,0,'Données projet'!$E$14+1,1))-AVERAGE(OFFSET($H$3,0,0,'Données projet'!$E$14+1,1))</f>
        <v>338.33525241236157</v>
      </c>
      <c r="DU31" s="62">
        <f t="shared" si="44"/>
        <v>373.47257029791717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18.071187483120422</v>
      </c>
      <c r="EC31" s="23">
        <f>EXP(-LN(2)/2)*EC30+(1-EXP(-LN(2)/2))/(LN(2)/2)*DW31*DZ31*VLOOKUP('Données projet'!$B$14,Paramètres!$A$1:$I$89,3,0)*0.475*44/12</f>
        <v>6.0688890241845064</v>
      </c>
      <c r="ED31" s="24">
        <f t="shared" si="18"/>
        <v>24.140076507304929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4.8</v>
      </c>
      <c r="EJ31" s="13">
        <f>IF('Données projet'!$A$192&gt;35,EJ30+EI31-ER30,IF(A31&lt;'Données projet'!$A$192,$EG$205^A31,IF(A31='Données projet'!$A$192,'Données projet'!$B$192,EJ30+EI31-ER30)))</f>
        <v>44.399999999999991</v>
      </c>
      <c r="EK31" s="18">
        <f>EJ31*VLOOKUP('Données projet'!$B$15,Paramètres!$A$1:$I$89,3,0)*VLOOKUP('Données projet'!$B$15,Paramètres!$A$1:$I$89,5,0)</f>
        <v>34.631999999999998</v>
      </c>
      <c r="EL31" s="14">
        <f t="shared" si="45"/>
        <v>10.564147302110392</v>
      </c>
      <c r="EM31" s="22">
        <f t="shared" si="19"/>
        <v>78.716623217842255</v>
      </c>
      <c r="EN31" s="62">
        <f t="shared" si="20"/>
        <v>313.44809263982631</v>
      </c>
      <c r="EO31" s="62">
        <f ca="1">AVERAGE(OFFSET($EN$3,0,0,'Données projet'!$E$15+1,1))-AVERAGE(OFFSET($H$3,0,0,'Données projet'!$E$15+1,1))</f>
        <v>144.92790055195192</v>
      </c>
      <c r="EP31" s="62">
        <f t="shared" si="46"/>
        <v>151.00642748754026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11.8</v>
      </c>
      <c r="N32" s="14">
        <f>IF('Données projet'!$A$36&gt;35,N31+M32-V31,IF(A32&lt;'Données projet'!$A$36,$K$205^A32,IF(A32='Données projet'!$A$36,'Données projet'!$B$36,N31+M32-V31)))</f>
        <v>134.19999999999996</v>
      </c>
      <c r="O32" s="14">
        <f>N32*VLOOKUP('Données projet'!$B$9,Paramètres!$A$1:$I$89,3,0)*VLOOKUP('Données projet'!$B$9,Paramètres!$A$1:$I$89,5,0)</f>
        <v>108.86303999999997</v>
      </c>
      <c r="P32" s="14">
        <f t="shared" si="33"/>
        <v>29.062946162784755</v>
      </c>
      <c r="Q32" s="22">
        <f t="shared" si="2"/>
        <v>240.22109256685007</v>
      </c>
      <c r="R32" s="62">
        <f t="shared" si="0"/>
        <v>477.14898988962591</v>
      </c>
      <c r="S32" s="62">
        <f ca="1">AVERAGE(OFFSET($R$3,0,0,'Données projet'!$E$9+1,1))-AVERAGE(OFFSET($H$3,0,0,'Données projet'!$E$9+1,1))</f>
        <v>259.10606516000064</v>
      </c>
      <c r="T32" s="62">
        <f t="shared" si="34"/>
        <v>316.57989180609252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5.666666666666667</v>
      </c>
      <c r="AI32" s="14">
        <f>IF('Données projet'!$A$62&gt;35,AI31+AH32-AQ31,IF(A32&lt;'Données projet'!$A$62,$AF$205^A32,IF(A32='Données projet'!$A$62,'Données projet'!$B$62,AI31+AH32-AQ31)))</f>
        <v>143.25197689521377</v>
      </c>
      <c r="AJ32" s="14">
        <f>AI32*VLOOKUP('Données projet'!$B$10,Paramètres!$A$1:$I$89,3,0)*VLOOKUP('Données projet'!$B$10,Paramètres!$A$1:$I$89,5,0)</f>
        <v>67.041925186960043</v>
      </c>
      <c r="AK32" s="14">
        <f t="shared" si="35"/>
        <v>18.93702759429323</v>
      </c>
      <c r="AL32" s="22">
        <f t="shared" si="4"/>
        <v>149.74667609401612</v>
      </c>
      <c r="AM32" s="62">
        <f t="shared" si="5"/>
        <v>386.67457341679199</v>
      </c>
      <c r="AN32" s="62">
        <f ca="1">AVERAGE(OFFSET($AM$3,0,0,'Données projet'!$E$10+1,1))-AVERAGE(OFFSET($H$3,0,0,'Données projet'!$E$10+1,1))</f>
        <v>186.83226999296298</v>
      </c>
      <c r="AO32" s="62">
        <f t="shared" si="36"/>
        <v>232.70925470547317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101.15664000000001</v>
      </c>
      <c r="BF32" s="14">
        <f t="shared" si="37"/>
        <v>27.237366379381644</v>
      </c>
      <c r="BG32" s="22">
        <f t="shared" si="7"/>
        <v>223.61956111075639</v>
      </c>
      <c r="BH32" s="62">
        <f t="shared" si="8"/>
        <v>460.54745843353226</v>
      </c>
      <c r="BI32" s="62">
        <f ca="1">AVERAGE(OFFSET($BH$3,0,0,'Données projet'!$E$11+1,1))-AVERAGE(OFFSET($H$3,0,0,'Données projet'!$E$11+1,1))</f>
        <v>435.70500547084868</v>
      </c>
      <c r="BJ32" s="62">
        <f t="shared" si="38"/>
        <v>297.32483725004136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127.31784000000003</v>
      </c>
      <c r="CA32" s="14">
        <f t="shared" si="39"/>
        <v>33.375840922385144</v>
      </c>
      <c r="CB32" s="22">
        <f t="shared" si="10"/>
        <v>279.87482760648749</v>
      </c>
      <c r="CC32" s="62">
        <f t="shared" si="11"/>
        <v>516.80272492926338</v>
      </c>
      <c r="CD32" s="62">
        <f ca="1">AVERAGE(OFFSET($CC$3,0,0,'Données projet'!$E$12+1,1))-AVERAGE(OFFSET($H$3,0,0,'Données projet'!$E$12+1,1))</f>
        <v>530.15080507516973</v>
      </c>
      <c r="CE32" s="62">
        <f t="shared" si="40"/>
        <v>358.10331902702217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6.6</v>
      </c>
      <c r="CT32" s="13">
        <f>IF('Données projet'!$A$140&gt;35,CT31+CS32-DB31,IF(A32&lt;'Données projet'!$A$140,$CQ$205^A32,IF(A32='Données projet'!$A$140,'Données projet'!$B$140,CT31+CS32-DB31)))</f>
        <v>66.400000000000006</v>
      </c>
      <c r="CU32" s="18">
        <f>CT32*VLOOKUP('Données projet'!$B$13,Paramètres!$A$1:$I$89,3,0)*VLOOKUP('Données projet'!$B$13,Paramètres!$A$1:$I$89,5,0)</f>
        <v>56.97120000000001</v>
      </c>
      <c r="CV32" s="14">
        <f t="shared" si="41"/>
        <v>16.400200115277677</v>
      </c>
      <c r="CW32" s="22">
        <f t="shared" si="13"/>
        <v>127.78852186744196</v>
      </c>
      <c r="CX32" s="62">
        <f t="shared" si="14"/>
        <v>364.71641919021778</v>
      </c>
      <c r="CY32" s="62">
        <f ca="1">AVERAGE(OFFSET($CX$3,0,0,'Données projet'!$E$13+1,1))-AVERAGE(OFFSET($H$3,0,0,'Données projet'!$E$13+1,1))</f>
        <v>182.98212193167009</v>
      </c>
      <c r="CZ32" s="62">
        <f t="shared" si="42"/>
        <v>195.9200038944301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31.2</v>
      </c>
      <c r="DO32" s="13">
        <f>IF('Données projet'!$A$166&gt;35,DO31+DN32-DW31,IF(A32&lt;'Données projet'!$A$166,$DL$205^A32,IF(A32='Données projet'!$A$166,'Données projet'!$B$166,DO31+DN32-DW31)))</f>
        <v>296.79999999999995</v>
      </c>
      <c r="DP32" s="18">
        <f>DO32*VLOOKUP('Données projet'!$B$14,Paramètres!$A$1:$I$89,3,0)*VLOOKUP('Données projet'!$B$14,Paramètres!$A$1:$I$89,5,0)</f>
        <v>131.18559999999999</v>
      </c>
      <c r="DQ32" s="14">
        <f t="shared" si="43"/>
        <v>34.270171761239112</v>
      </c>
      <c r="DR32" s="22">
        <f t="shared" si="16"/>
        <v>288.16880248415811</v>
      </c>
      <c r="DS32" s="62">
        <f t="shared" si="17"/>
        <v>525.09669980693388</v>
      </c>
      <c r="DT32" s="62">
        <f ca="1">AVERAGE(OFFSET($DS$3,0,0,'Données projet'!$E$14+1,1))-AVERAGE(OFFSET($H$3,0,0,'Données projet'!$E$14+1,1))</f>
        <v>338.33525241236157</v>
      </c>
      <c r="DU32" s="62">
        <f t="shared" si="44"/>
        <v>373.47257029791717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17.577029911072046</v>
      </c>
      <c r="EC32" s="23">
        <f>EXP(-LN(2)/2)*EC31+(1-EXP(-LN(2)/2))/(LN(2)/2)*DW32*DZ32*VLOOKUP('Données projet'!$B$14,Paramètres!$A$1:$I$89,3,0)*0.475*44/12</f>
        <v>4.2913525832694743</v>
      </c>
      <c r="ED32" s="24">
        <f t="shared" si="18"/>
        <v>21.868382494341521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4.8</v>
      </c>
      <c r="EJ32" s="13">
        <f>IF('Données projet'!$A$192&gt;35,EJ31+EI32-ER31,IF(A32&lt;'Données projet'!$A$192,$EG$205^A32,IF(A32='Données projet'!$A$192,'Données projet'!$B$192,EJ31+EI32-ER31)))</f>
        <v>49.199999999999989</v>
      </c>
      <c r="EK32" s="18">
        <f>EJ32*VLOOKUP('Données projet'!$B$15,Paramètres!$A$1:$I$89,3,0)*VLOOKUP('Données projet'!$B$15,Paramètres!$A$1:$I$89,5,0)</f>
        <v>38.375999999999991</v>
      </c>
      <c r="EL32" s="14">
        <f t="shared" si="45"/>
        <v>11.56717272359286</v>
      </c>
      <c r="EM32" s="22">
        <f t="shared" si="19"/>
        <v>86.98435916025754</v>
      </c>
      <c r="EN32" s="62">
        <f t="shared" si="20"/>
        <v>323.91225648303339</v>
      </c>
      <c r="EO32" s="62">
        <f ca="1">AVERAGE(OFFSET($EN$3,0,0,'Données projet'!$E$15+1,1))-AVERAGE(OFFSET($H$3,0,0,'Données projet'!$E$15+1,1))</f>
        <v>144.92790055195192</v>
      </c>
      <c r="EP32" s="62">
        <f t="shared" si="46"/>
        <v>151.00642748754026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146</v>
      </c>
      <c r="L33" s="13">
        <f>VLOOKUP(A33,'Données projet'!$A$35:$I$55,9,0)</f>
        <v>11.8</v>
      </c>
      <c r="M33" s="13">
        <f t="array" ref="M33">INDEX(L:L,MIN(IF(ISNUMBER(L33:L229),ROW(L33:L229),"")))</f>
        <v>11.8</v>
      </c>
      <c r="N33" s="14">
        <f>IF('Données projet'!$A$36&gt;35,N32+M33-V32,IF(A33&lt;'Données projet'!$A$36,$K$205^A33,IF(A33='Données projet'!$A$36,'Données projet'!$B$36,N32+M33-V32)))</f>
        <v>145.99999999999997</v>
      </c>
      <c r="O33" s="14">
        <f>N33*VLOOKUP('Données projet'!$B$9,Paramètres!$A$1:$I$89,3,0)*VLOOKUP('Données projet'!$B$9,Paramètres!$A$1:$I$89,5,0)</f>
        <v>118.43519999999998</v>
      </c>
      <c r="P33" s="14">
        <f t="shared" si="33"/>
        <v>31.309757056296963</v>
      </c>
      <c r="Q33" s="22">
        <f t="shared" si="2"/>
        <v>260.80580020638388</v>
      </c>
      <c r="R33" s="62">
        <f t="shared" si="0"/>
        <v>499.91322513942589</v>
      </c>
      <c r="S33" s="62">
        <f ca="1">AVERAGE(OFFSET($R$3,0,0,'Données projet'!$E$9+1,1))-AVERAGE(OFFSET($H$3,0,0,'Données projet'!$E$9+1,1))</f>
        <v>259.10606516000064</v>
      </c>
      <c r="T33" s="62">
        <f t="shared" si="34"/>
        <v>316.57989180609252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8.6000000000000007E-2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2.1593922330801276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2.1593922330801276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170</v>
      </c>
      <c r="AG33" s="13">
        <f>VLOOKUP(A33,'Données projet'!$A$61:$I$81,9,0)</f>
        <v>5.666666666666667</v>
      </c>
      <c r="AH33" s="13">
        <f t="array" ref="AH33">INDEX(AG:AG,MIN(IF(ISNUMBER(AG33:AG229),ROW(AG33:AG229),"")))</f>
        <v>5.666666666666667</v>
      </c>
      <c r="AI33" s="14">
        <f>IF('Données projet'!$A$62&gt;35,AI32+AH33-AQ32,IF(A33&lt;'Données projet'!$A$62,$AF$205^A33,IF(A33='Données projet'!$A$62,'Données projet'!$B$62,AI32+AH33-AQ32)))</f>
        <v>170</v>
      </c>
      <c r="AJ33" s="14">
        <f>AI33*VLOOKUP('Données projet'!$B$10,Paramètres!$A$1:$I$89,3,0)*VLOOKUP('Données projet'!$B$10,Paramètres!$A$1:$I$89,5,0)</f>
        <v>79.56</v>
      </c>
      <c r="AK33" s="14">
        <f t="shared" si="35"/>
        <v>22.029567333453311</v>
      </c>
      <c r="AL33" s="22">
        <f t="shared" si="4"/>
        <v>176.93516310576453</v>
      </c>
      <c r="AM33" s="62">
        <f t="shared" si="5"/>
        <v>416.04258803880651</v>
      </c>
      <c r="AN33" s="62">
        <f ca="1">AVERAGE(OFFSET($AM$3,0,0,'Données projet'!$E$10+1,1))-AVERAGE(OFFSET($H$3,0,0,'Données projet'!$E$10+1,1))</f>
        <v>186.83226999296298</v>
      </c>
      <c r="AO33" s="62">
        <f t="shared" si="36"/>
        <v>232.70925470547317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40</v>
      </c>
      <c r="AR33" s="17">
        <f>IF(ISNA(VLOOKUP(A33,'Données projet'!$A$61:$I$81,5,0)),0%,VLOOKUP(A33,'Données projet'!$A$61:$I$81,5,0)*VLOOKUP('Données projet'!$B$10,Paramètres!$A$1:$I$89,7,0))</f>
        <v>0.16500000000000001</v>
      </c>
      <c r="AS33" s="17">
        <f>IF(ISNA(VLOOKUP(A33,'Données projet'!$A$61:$I$81,6,0)),0%,VLOOKUP(A33,'Données projet'!$A$61:$I$81,6,0)*VLOOKUP('Données projet'!$B$10,Paramètres!$A$1:$I$89,7,0))</f>
        <v>0.21450000000000002</v>
      </c>
      <c r="AT33" s="17">
        <f>IF(ISNA(VLOOKUP(A33,'Données projet'!$A$61:$I$81,7,0)),0%,VLOOKUP(A33,'Données projet'!$A$61:$I$81,7,0))</f>
        <v>0.31</v>
      </c>
      <c r="AU33" s="23">
        <f>EXP(-LN(2)/35)*AU32+(1-EXP(-LN(2)/35))/(LN(2)/35)*AQ33*AR33*VLOOKUP('Données projet'!$B$10,Paramètres!$A$1:$I$89,3,0)*0.475*44/12</f>
        <v>4.097492289961651</v>
      </c>
      <c r="AV33" s="23">
        <f>EXP(-LN(2)/25)*AV32+(1-EXP(-LN(2)/25))/(LN(2)/25)*Calculateur!AQ33*Calculateur!AS33*VLOOKUP('Données projet'!$B$10,Paramètres!$A$1:$I$89,3,0)*0.475*44/12</f>
        <v>5.3057665720138409</v>
      </c>
      <c r="AW33" s="23">
        <f>EXP(-LN(2)/2)*AW32+(1-EXP(-LN(2)/2))/(LN(2)/2)*AQ33*AT33*VLOOKUP('Données projet'!$B$10,Paramètres!$A$1:$I$89,3,0)*0.475*44/12</f>
        <v>6.5705704690055873</v>
      </c>
      <c r="AX33" s="23">
        <f t="shared" si="6"/>
        <v>15.973829330981079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109.48080000000002</v>
      </c>
      <c r="BF33" s="14">
        <f t="shared" si="37"/>
        <v>29.208623339903898</v>
      </c>
      <c r="BG33" s="22">
        <f t="shared" si="7"/>
        <v>241.55074565033269</v>
      </c>
      <c r="BH33" s="62">
        <f t="shared" si="8"/>
        <v>480.65817058337467</v>
      </c>
      <c r="BI33" s="62">
        <f ca="1">AVERAGE(OFFSET($BH$3,0,0,'Données projet'!$E$11+1,1))-AVERAGE(OFFSET($H$3,0,0,'Données projet'!$E$11+1,1))</f>
        <v>435.70500547084868</v>
      </c>
      <c r="BJ33" s="62">
        <f t="shared" si="38"/>
        <v>297.32483725004136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137.79480000000004</v>
      </c>
      <c r="CA33" s="14">
        <f t="shared" si="39"/>
        <v>35.791359288409659</v>
      </c>
      <c r="CB33" s="22">
        <f t="shared" si="10"/>
        <v>302.32922742731353</v>
      </c>
      <c r="CC33" s="62">
        <f t="shared" si="11"/>
        <v>541.43665236035554</v>
      </c>
      <c r="CD33" s="62">
        <f ca="1">AVERAGE(OFFSET($CC$3,0,0,'Données projet'!$E$12+1,1))-AVERAGE(OFFSET($H$3,0,0,'Données projet'!$E$12+1,1))</f>
        <v>530.15080507516973</v>
      </c>
      <c r="CE33" s="62">
        <f t="shared" si="40"/>
        <v>358.10331902702217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28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73</v>
      </c>
      <c r="CR33" s="13">
        <f>VLOOKUP(A33,'Données projet'!$A$139:$I$159,9,0)</f>
        <v>6.6</v>
      </c>
      <c r="CS33" s="13">
        <f t="array" ref="CS33">INDEX(CR:CR,MIN(IF(ISNUMBER(CR33:CR229),ROW(CR33:CR229),"")))</f>
        <v>6.6</v>
      </c>
      <c r="CT33" s="13">
        <f>IF('Données projet'!$A$140&gt;35,CT32+CS33-DB32,IF(A33&lt;'Données projet'!$A$140,$CQ$205^A33,IF(A33='Données projet'!$A$140,'Données projet'!$B$140,CT32+CS33-DB32)))</f>
        <v>73</v>
      </c>
      <c r="CU33" s="18">
        <f>CT33*VLOOKUP('Données projet'!$B$13,Paramètres!$A$1:$I$89,3,0)*VLOOKUP('Données projet'!$B$13,Paramètres!$A$1:$I$89,5,0)</f>
        <v>62.634000000000015</v>
      </c>
      <c r="CV33" s="14">
        <f t="shared" si="41"/>
        <v>17.832552513715669</v>
      </c>
      <c r="CW33" s="22">
        <f t="shared" si="13"/>
        <v>140.14591229472146</v>
      </c>
      <c r="CX33" s="62">
        <f t="shared" si="14"/>
        <v>379.25333722776344</v>
      </c>
      <c r="CY33" s="62">
        <f ca="1">AVERAGE(OFFSET($CX$3,0,0,'Données projet'!$E$13+1,1))-AVERAGE(OFFSET($H$3,0,0,'Données projet'!$E$13+1,1))</f>
        <v>182.98212193167009</v>
      </c>
      <c r="CZ33" s="62">
        <f t="shared" si="42"/>
        <v>195.9200038944301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12</v>
      </c>
      <c r="DC33" s="17">
        <f>IF(ISNA(VLOOKUP(A33,'Données projet'!$A$139:$I$159,5,0)),0%,VLOOKUP(A33,'Données projet'!$A$139:$I$159,5,0)*VLOOKUP('Données projet'!$B$13,Paramètres!$A$1:$I$89,7,0))</f>
        <v>0.10600000000000001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1.2064838409331531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1.2064838409331531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328</v>
      </c>
      <c r="DM33" s="13">
        <f>VLOOKUP(A33,'Données projet'!$A$165:$I$185,9,0)</f>
        <v>31.2</v>
      </c>
      <c r="DN33" s="13">
        <f t="array" ref="DN33">INDEX(DM:DM,MIN(IF(ISNUMBER(DM33:DM229),ROW(DM33:DM229),"")))</f>
        <v>31.2</v>
      </c>
      <c r="DO33" s="13">
        <f>IF('Données projet'!$A$166&gt;35,DO32+DN33-DW32,IF(A33&lt;'Données projet'!$A$166,$DL$205^A33,IF(A33='Données projet'!$A$166,'Données projet'!$B$166,DO32+DN33-DW32)))</f>
        <v>327.99999999999994</v>
      </c>
      <c r="DP33" s="18">
        <f>DO33*VLOOKUP('Données projet'!$B$14,Paramètres!$A$1:$I$89,3,0)*VLOOKUP('Données projet'!$B$14,Paramètres!$A$1:$I$89,5,0)</f>
        <v>144.97599999999997</v>
      </c>
      <c r="DQ33" s="14">
        <f t="shared" si="43"/>
        <v>37.434609778875767</v>
      </c>
      <c r="DR33" s="22">
        <f t="shared" si="16"/>
        <v>317.69847869820859</v>
      </c>
      <c r="DS33" s="62">
        <f t="shared" si="17"/>
        <v>556.80590363125054</v>
      </c>
      <c r="DT33" s="62">
        <f ca="1">AVERAGE(OFFSET($DS$3,0,0,'Données projet'!$E$14+1,1))-AVERAGE(OFFSET($H$3,0,0,'Données projet'!$E$14+1,1))</f>
        <v>338.33525241236157</v>
      </c>
      <c r="DU33" s="62">
        <f t="shared" si="44"/>
        <v>373.47257029791717</v>
      </c>
      <c r="DV33" s="16">
        <f>IF(ISNA(VLOOKUP(A33,'Données projet'!$A$165:$I$185,3,0)),0,VLOOKUP(A33,'Données projet'!$A$165:$I$185,3,0))</f>
        <v>4</v>
      </c>
      <c r="DW33" s="16">
        <f>IF(ISNA(VLOOKUP(A33,'Données projet'!$A$165:$I$185,4,0)),0,VLOOKUP(A33,'Données projet'!$A$165:$I$185,4,0))</f>
        <v>70</v>
      </c>
      <c r="DX33" s="17">
        <f>IF(ISNA(VLOOKUP(A33,'Données projet'!$A$165:$I$185,5,0)),0%,VLOOKUP(A33,'Données projet'!$A$165:$I$185,5,0)*VLOOKUP('Données projet'!$B$14,Paramètres!$A$1:$I$89,7,0))</f>
        <v>0.11000000000000001</v>
      </c>
      <c r="DY33" s="17">
        <f>IF(ISNA(VLOOKUP(A33,'Données projet'!$A$165:$I$185,6,0)),0%,VLOOKUP(A33,'Données projet'!$A$165:$I$185,6,0)*VLOOKUP('Données projet'!$B$14,Paramètres!$A$1:$I$89,7,0))</f>
        <v>0.24640000000000006</v>
      </c>
      <c r="DZ33" s="17">
        <f>IF(ISNA(VLOOKUP(A33,'Données projet'!$A$165:$I$185,7,0)),0%,VLOOKUP(A33,'Données projet'!$A$165:$I$185,7,0))</f>
        <v>0.35200000000000004</v>
      </c>
      <c r="EA33" s="23">
        <f>EXP(-LN(2)/35)*EA32+(1-EXP(-LN(2)/35))/(LN(2)/35)*DW33*DX33*VLOOKUP('Données projet'!$B$14,Paramètres!$A$1:$I$89,3,0)*0.475*44/12</f>
        <v>4.5148294676429321</v>
      </c>
      <c r="EB33" s="23">
        <f>EXP(-LN(2)/25)*EB32+(1-EXP(-LN(2)/25))/(LN(2)/25)*Calculateur!DW33*Calculateur!DY33*VLOOKUP('Données projet'!$B$14,Paramètres!$A$1:$I$89,3,0)*0.475*44/12</f>
        <v>27.169783518604348</v>
      </c>
      <c r="EC33" s="23">
        <f>EXP(-LN(2)/2)*EC32+(1-EXP(-LN(2)/2))/(LN(2)/2)*DW33*DZ33*VLOOKUP('Données projet'!$B$14,Paramètres!$A$1:$I$89,3,0)*0.475*44/12</f>
        <v>15.365450596577292</v>
      </c>
      <c r="ED33" s="24">
        <f t="shared" si="18"/>
        <v>47.050063582824571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54</v>
      </c>
      <c r="EH33" s="13">
        <f>VLOOKUP(A33,'Données projet'!$A$191:$I$211,9,0)</f>
        <v>4.8</v>
      </c>
      <c r="EI33" s="13">
        <f t="array" ref="EI33">INDEX(EH:EH,MIN(IF(ISNUMBER(EH33:EH229),ROW(EH33:EH229),"")))</f>
        <v>4.8</v>
      </c>
      <c r="EJ33" s="13">
        <f>IF('Données projet'!$A$192&gt;35,EJ32+EI33-ER32,IF(A33&lt;'Données projet'!$A$192,$EG$205^A33,IF(A33='Données projet'!$A$192,'Données projet'!$B$192,EJ32+EI33-ER32)))</f>
        <v>53.999999999999986</v>
      </c>
      <c r="EK33" s="18">
        <f>EJ33*VLOOKUP('Données projet'!$B$15,Paramètres!$A$1:$I$89,3,0)*VLOOKUP('Données projet'!$B$15,Paramètres!$A$1:$I$89,5,0)</f>
        <v>42.11999999999999</v>
      </c>
      <c r="EL33" s="14">
        <f t="shared" si="45"/>
        <v>12.558853141338753</v>
      </c>
      <c r="EM33" s="22">
        <f t="shared" si="19"/>
        <v>95.232335887831638</v>
      </c>
      <c r="EN33" s="62">
        <f t="shared" si="20"/>
        <v>334.33976082087361</v>
      </c>
      <c r="EO33" s="62">
        <f ca="1">AVERAGE(OFFSET($EN$3,0,0,'Données projet'!$E$15+1,1))-AVERAGE(OFFSET($H$3,0,0,'Données projet'!$E$15+1,1))</f>
        <v>144.92790055195192</v>
      </c>
      <c r="EP33" s="62">
        <f t="shared" si="46"/>
        <v>151.00642748754026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128.79999999999998</v>
      </c>
      <c r="O34" s="14">
        <f>N34*VLOOKUP('Données projet'!$B$9,Paramètres!$A$1:$I$89,3,0)*VLOOKUP('Données projet'!$B$9,Paramètres!$A$1:$I$89,5,0)</f>
        <v>104.48256000000001</v>
      </c>
      <c r="P34" s="14">
        <f t="shared" si="33"/>
        <v>28.02716504477474</v>
      </c>
      <c r="Q34" s="22">
        <f t="shared" si="2"/>
        <v>230.78777111964931</v>
      </c>
      <c r="R34" s="62">
        <f t="shared" si="0"/>
        <v>470.83589433246686</v>
      </c>
      <c r="S34" s="62">
        <f ca="1">AVERAGE(OFFSET($R$3,0,0,'Données projet'!$E$9+1,1))-AVERAGE(OFFSET($H$3,0,0,'Données projet'!$E$9+1,1))</f>
        <v>259.10606516000064</v>
      </c>
      <c r="T34" s="62">
        <f t="shared" si="34"/>
        <v>316.57989180609252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2.1170478684886356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2.1170478684886356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140</v>
      </c>
      <c r="AJ34" s="14">
        <f>AI34*VLOOKUP('Données projet'!$B$10,Paramètres!$A$1:$I$89,3,0)*VLOOKUP('Données projet'!$B$10,Paramètres!$A$1:$I$89,5,0)</f>
        <v>65.52</v>
      </c>
      <c r="AK34" s="14">
        <f t="shared" si="35"/>
        <v>18.556669503136725</v>
      </c>
      <c r="AL34" s="22">
        <f t="shared" si="4"/>
        <v>146.43353271796309</v>
      </c>
      <c r="AM34" s="62">
        <f t="shared" si="5"/>
        <v>386.48165593078068</v>
      </c>
      <c r="AN34" s="62">
        <f ca="1">AVERAGE(OFFSET($AM$3,0,0,'Données projet'!$E$10+1,1))-AVERAGE(OFFSET($H$3,0,0,'Données projet'!$E$10+1,1))</f>
        <v>186.83226999296298</v>
      </c>
      <c r="AO34" s="62">
        <f t="shared" si="36"/>
        <v>232.70925470547317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4.0171429653790218</v>
      </c>
      <c r="AV34" s="23">
        <f>EXP(-LN(2)/25)*AV33+(1-EXP(-LN(2)/25))/(LN(2)/25)*Calculateur!AQ34*Calculateur!AS34*VLOOKUP('Données projet'!$B$10,Paramètres!$A$1:$I$89,3,0)*0.475*44/12</f>
        <v>5.1606801060839853</v>
      </c>
      <c r="AW34" s="23">
        <f>EXP(-LN(2)/2)*AW33+(1-EXP(-LN(2)/2))/(LN(2)/2)*AQ34*AT34*VLOOKUP('Données projet'!$B$10,Paramètres!$A$1:$I$89,3,0)*0.475*44/12</f>
        <v>4.646094934897925</v>
      </c>
      <c r="AX34" s="23">
        <f t="shared" si="6"/>
        <v>13.82391800636093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103.80000000000004</v>
      </c>
      <c r="BE34" s="14">
        <f>BD34*VLOOKUP('Données projet'!$B$11,Paramètres!$A$1:$I$89,3,0)*VLOOKUP('Données projet'!$B$11,Paramètres!$A$1:$I$89,5,0)</f>
        <v>93.91824000000004</v>
      </c>
      <c r="BF34" s="14">
        <f t="shared" si="37"/>
        <v>25.507853654186022</v>
      </c>
      <c r="BG34" s="22">
        <f t="shared" si="7"/>
        <v>208.00044644770739</v>
      </c>
      <c r="BH34" s="62">
        <f t="shared" si="8"/>
        <v>448.04856966052495</v>
      </c>
      <c r="BI34" s="62">
        <f ca="1">AVERAGE(OFFSET($BH$3,0,0,'Données projet'!$E$11+1,1))-AVERAGE(OFFSET($H$3,0,0,'Données projet'!$E$11+1,1))</f>
        <v>435.70500547084868</v>
      </c>
      <c r="BJ34" s="62">
        <f t="shared" si="38"/>
        <v>297.32483725004136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103.80000000000004</v>
      </c>
      <c r="BZ34" s="14">
        <f>BY34*VLOOKUP('Données projet'!$B$12,Paramètres!$A$1:$I$89,3,0)*VLOOKUP('Données projet'!$B$12,Paramètres!$A$1:$I$89,5,0)</f>
        <v>118.20744000000005</v>
      </c>
      <c r="CA34" s="14">
        <f t="shared" si="39"/>
        <v>31.256548594876303</v>
      </c>
      <c r="CB34" s="22">
        <f t="shared" si="10"/>
        <v>260.31644680274297</v>
      </c>
      <c r="CC34" s="62">
        <f t="shared" si="11"/>
        <v>500.3645700155605</v>
      </c>
      <c r="CD34" s="62">
        <f ca="1">AVERAGE(OFFSET($CC$3,0,0,'Données projet'!$E$12+1,1))-AVERAGE(OFFSET($H$3,0,0,'Données projet'!$E$12+1,1))</f>
        <v>530.15080507516973</v>
      </c>
      <c r="CE34" s="62">
        <f t="shared" si="40"/>
        <v>358.10331902702217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7.2</v>
      </c>
      <c r="CT34" s="13">
        <f>IF('Données projet'!$A$140&gt;35,CT33+CS34-DB33,IF(A34&lt;'Données projet'!$A$140,$CQ$205^A34,IF(A34='Données projet'!$A$140,'Données projet'!$B$140,CT33+CS34-DB33)))</f>
        <v>68.2</v>
      </c>
      <c r="CU34" s="18">
        <f>CT34*VLOOKUP('Données projet'!$B$13,Paramètres!$A$1:$I$89,3,0)*VLOOKUP('Données projet'!$B$13,Paramètres!$A$1:$I$89,5,0)</f>
        <v>58.515600000000013</v>
      </c>
      <c r="CV34" s="14">
        <f t="shared" si="41"/>
        <v>16.792420691577682</v>
      </c>
      <c r="CW34" s="22">
        <f t="shared" si="13"/>
        <v>131.16146937116449</v>
      </c>
      <c r="CX34" s="62">
        <f t="shared" si="14"/>
        <v>371.20959258398204</v>
      </c>
      <c r="CY34" s="62">
        <f ca="1">AVERAGE(OFFSET($CX$3,0,0,'Données projet'!$E$13+1,1))-AVERAGE(OFFSET($H$3,0,0,'Données projet'!$E$13+1,1))</f>
        <v>182.98212193167009</v>
      </c>
      <c r="CZ34" s="62">
        <f t="shared" si="42"/>
        <v>195.9200038944301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1.1828254286949345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1.1828254286949345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31.4</v>
      </c>
      <c r="DO34" s="13">
        <f>IF('Données projet'!$A$166&gt;35,DO33+DN34-DW33,IF(A34&lt;'Données projet'!$A$166,$DL$205^A34,IF(A34='Données projet'!$A$166,'Données projet'!$B$166,DO33+DN34-DW33)))</f>
        <v>289.39999999999992</v>
      </c>
      <c r="DP34" s="18">
        <f>DO34*VLOOKUP('Données projet'!$B$14,Paramètres!$A$1:$I$89,3,0)*VLOOKUP('Données projet'!$B$14,Paramètres!$A$1:$I$89,5,0)</f>
        <v>127.91479999999999</v>
      </c>
      <c r="DQ34" s="14">
        <f t="shared" si="43"/>
        <v>33.514078327052218</v>
      </c>
      <c r="DR34" s="22">
        <f t="shared" si="16"/>
        <v>281.15529641961587</v>
      </c>
      <c r="DS34" s="62">
        <f t="shared" si="17"/>
        <v>521.20341963243345</v>
      </c>
      <c r="DT34" s="62">
        <f ca="1">AVERAGE(OFFSET($DS$3,0,0,'Données projet'!$E$14+1,1))-AVERAGE(OFFSET($H$3,0,0,'Données projet'!$E$14+1,1))</f>
        <v>338.33525241236157</v>
      </c>
      <c r="DU34" s="62">
        <f t="shared" si="44"/>
        <v>373.47257029791717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4.426296415556517</v>
      </c>
      <c r="EB34" s="23">
        <f>EXP(-LN(2)/25)*EB33+(1-EXP(-LN(2)/25))/(LN(2)/25)*Calculateur!DW34*Calculateur!DY34*VLOOKUP('Données projet'!$B$14,Paramètres!$A$1:$I$89,3,0)*0.475*44/12</f>
        <v>26.426824359491295</v>
      </c>
      <c r="EC34" s="23">
        <f>EXP(-LN(2)/2)*EC33+(1-EXP(-LN(2)/2))/(LN(2)/2)*DW34*DZ34*VLOOKUP('Données projet'!$B$14,Paramètres!$A$1:$I$89,3,0)*0.475*44/12</f>
        <v>10.865014312826686</v>
      </c>
      <c r="ED34" s="24">
        <f t="shared" si="18"/>
        <v>41.718135087874501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5</v>
      </c>
      <c r="EJ34" s="13">
        <f>IF('Données projet'!$A$192&gt;35,EJ33+EI34-ER33,IF(A34&lt;'Données projet'!$A$192,$EG$205^A34,IF(A34='Données projet'!$A$192,'Données projet'!$B$192,EJ33+EI34-ER33)))</f>
        <v>58.999999999999986</v>
      </c>
      <c r="EK34" s="18">
        <f>EJ34*VLOOKUP('Données projet'!$B$15,Paramètres!$A$1:$I$89,3,0)*VLOOKUP('Données projet'!$B$15,Paramètres!$A$1:$I$89,5,0)</f>
        <v>46.019999999999989</v>
      </c>
      <c r="EL34" s="14">
        <f t="shared" si="45"/>
        <v>13.58099825126992</v>
      </c>
      <c r="EM34" s="22">
        <f t="shared" si="19"/>
        <v>103.80507195429509</v>
      </c>
      <c r="EN34" s="62">
        <f t="shared" si="20"/>
        <v>343.85319516711263</v>
      </c>
      <c r="EO34" s="62">
        <f ca="1">AVERAGE(OFFSET($EN$3,0,0,'Données projet'!$E$15+1,1))-AVERAGE(OFFSET($H$3,0,0,'Données projet'!$E$15+1,1))</f>
        <v>144.92790055195192</v>
      </c>
      <c r="EP34" s="62">
        <f t="shared" si="46"/>
        <v>151.00642748754026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139.6</v>
      </c>
      <c r="O35" s="14">
        <f>N35*VLOOKUP('Données projet'!$B$9,Paramètres!$A$1:$I$89,3,0)*VLOOKUP('Données projet'!$B$9,Paramètres!$A$1:$I$89,5,0)</f>
        <v>113.24352</v>
      </c>
      <c r="P35" s="14">
        <f t="shared" si="33"/>
        <v>30.093885898919435</v>
      </c>
      <c r="Q35" s="22">
        <f t="shared" ref="Q35:Q66" si="53">(O35+P35)*0.475*44/12</f>
        <v>249.64598194061804</v>
      </c>
      <c r="R35" s="62">
        <f t="shared" si="0"/>
        <v>490.61848442114336</v>
      </c>
      <c r="S35" s="62">
        <f ca="1">AVERAGE(OFFSET($R$3,0,0,'Données projet'!$E$9+1,1))-AVERAGE(OFFSET($H$3,0,0,'Données projet'!$E$9+1,1))</f>
        <v>259.10606516000064</v>
      </c>
      <c r="T35" s="62">
        <f t="shared" si="34"/>
        <v>316.57989180609252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2.0755338510592707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2.0755338510592707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150</v>
      </c>
      <c r="AJ35" s="14">
        <f>AI35*VLOOKUP('Données projet'!$B$10,Paramètres!$A$1:$I$89,3,0)*VLOOKUP('Données projet'!$B$10,Paramètres!$A$1:$I$89,5,0)</f>
        <v>70.2</v>
      </c>
      <c r="AK35" s="14">
        <f t="shared" si="35"/>
        <v>19.723116370112194</v>
      </c>
      <c r="AL35" s="22">
        <f t="shared" si="4"/>
        <v>156.61609434461207</v>
      </c>
      <c r="AM35" s="62">
        <f t="shared" si="5"/>
        <v>397.58859682513742</v>
      </c>
      <c r="AN35" s="62">
        <f ca="1">AVERAGE(OFFSET($AM$3,0,0,'Données projet'!$E$10+1,1))-AVERAGE(OFFSET($H$3,0,0,'Données projet'!$E$10+1,1))</f>
        <v>186.83226999296298</v>
      </c>
      <c r="AO35" s="62">
        <f t="shared" si="36"/>
        <v>232.70925470547317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3.9383692420432093</v>
      </c>
      <c r="AV35" s="23">
        <f>EXP(-LN(2)/25)*AV34+(1-EXP(-LN(2)/25))/(LN(2)/25)*Calculateur!AQ35*Calculateur!AS35*VLOOKUP('Données projet'!$B$10,Paramètres!$A$1:$I$89,3,0)*0.475*44/12</f>
        <v>5.0195610371947472</v>
      </c>
      <c r="AW35" s="23">
        <f>EXP(-LN(2)/2)*AW34+(1-EXP(-LN(2)/2))/(LN(2)/2)*AQ35*AT35*VLOOKUP('Données projet'!$B$10,Paramètres!$A$1:$I$89,3,0)*0.475*44/12</f>
        <v>3.2852852345027941</v>
      </c>
      <c r="AX35" s="23">
        <f t="shared" si="6"/>
        <v>12.243215513740751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114.60000000000004</v>
      </c>
      <c r="BE35" s="14">
        <f>BD35*VLOOKUP('Données projet'!$B$11,Paramètres!$A$1:$I$89,3,0)*VLOOKUP('Données projet'!$B$11,Paramètres!$A$1:$I$89,5,0)</f>
        <v>103.69008000000004</v>
      </c>
      <c r="BF35" s="14">
        <f t="shared" si="37"/>
        <v>27.83924565319537</v>
      </c>
      <c r="BG35" s="22">
        <f t="shared" si="7"/>
        <v>229.08024217931529</v>
      </c>
      <c r="BH35" s="62">
        <f t="shared" si="8"/>
        <v>470.05274465984064</v>
      </c>
      <c r="BI35" s="62">
        <f ca="1">AVERAGE(OFFSET($BH$3,0,0,'Données projet'!$E$11+1,1))-AVERAGE(OFFSET($H$3,0,0,'Données projet'!$E$11+1,1))</f>
        <v>435.70500547084868</v>
      </c>
      <c r="BJ35" s="62">
        <f t="shared" si="38"/>
        <v>297.32483725004136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114.60000000000004</v>
      </c>
      <c r="BZ35" s="14">
        <f>BY35*VLOOKUP('Données projet'!$B$12,Paramètres!$A$1:$I$89,3,0)*VLOOKUP('Données projet'!$B$12,Paramètres!$A$1:$I$89,5,0)</f>
        <v>130.50648000000004</v>
      </c>
      <c r="CA35" s="14">
        <f t="shared" si="39"/>
        <v>34.113365491298431</v>
      </c>
      <c r="CB35" s="22">
        <f t="shared" si="10"/>
        <v>286.71289756401148</v>
      </c>
      <c r="CC35" s="62">
        <f t="shared" si="11"/>
        <v>527.68540004453678</v>
      </c>
      <c r="CD35" s="62">
        <f ca="1">AVERAGE(OFFSET($CC$3,0,0,'Données projet'!$E$12+1,1))-AVERAGE(OFFSET($H$3,0,0,'Données projet'!$E$12+1,1))</f>
        <v>530.15080507516973</v>
      </c>
      <c r="CE35" s="62">
        <f t="shared" si="40"/>
        <v>358.10331902702217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7.2</v>
      </c>
      <c r="CT35" s="13">
        <f>IF('Données projet'!$A$140&gt;35,CT34+CS35-DB34,IF(A35&lt;'Données projet'!$A$140,$CQ$205^A35,IF(A35='Données projet'!$A$140,'Données projet'!$B$140,CT34+CS35-DB34)))</f>
        <v>75.400000000000006</v>
      </c>
      <c r="CU35" s="18">
        <f>CT35*VLOOKUP('Données projet'!$B$13,Paramètres!$A$1:$I$89,3,0)*VLOOKUP('Données projet'!$B$13,Paramètres!$A$1:$I$89,5,0)</f>
        <v>64.693200000000004</v>
      </c>
      <c r="CV35" s="14">
        <f t="shared" si="41"/>
        <v>18.349606424257921</v>
      </c>
      <c r="CW35" s="22">
        <f t="shared" si="13"/>
        <v>144.63288785558254</v>
      </c>
      <c r="CX35" s="62">
        <f t="shared" si="14"/>
        <v>385.60539033610786</v>
      </c>
      <c r="CY35" s="62">
        <f ca="1">AVERAGE(OFFSET($CX$3,0,0,'Données projet'!$E$13+1,1))-AVERAGE(OFFSET($H$3,0,0,'Données projet'!$E$13+1,1))</f>
        <v>182.98212193167009</v>
      </c>
      <c r="CZ35" s="62">
        <f t="shared" si="42"/>
        <v>195.9200038944301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1.1596309434905008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1.1596309434905008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31.4</v>
      </c>
      <c r="DO35" s="13">
        <f>IF('Données projet'!$A$166&gt;35,DO34+DN35-DW34,IF(A35&lt;'Données projet'!$A$166,$DL$205^A35,IF(A35='Données projet'!$A$166,'Données projet'!$B$166,DO34+DN35-DW34)))</f>
        <v>320.7999999999999</v>
      </c>
      <c r="DP35" s="18">
        <f>DO35*VLOOKUP('Données projet'!$B$14,Paramètres!$A$1:$I$89,3,0)*VLOOKUP('Données projet'!$B$14,Paramètres!$A$1:$I$89,5,0)</f>
        <v>141.79359999999997</v>
      </c>
      <c r="DQ35" s="14">
        <f t="shared" si="43"/>
        <v>36.707589150406982</v>
      </c>
      <c r="DR35" s="22">
        <f t="shared" si="16"/>
        <v>310.88957110362543</v>
      </c>
      <c r="DS35" s="62">
        <f t="shared" si="17"/>
        <v>551.86207358415072</v>
      </c>
      <c r="DT35" s="62">
        <f ca="1">AVERAGE(OFFSET($DS$3,0,0,'Données projet'!$E$14+1,1))-AVERAGE(OFFSET($H$3,0,0,'Données projet'!$E$14+1,1))</f>
        <v>338.33525241236157</v>
      </c>
      <c r="DU35" s="62">
        <f t="shared" si="44"/>
        <v>373.47257029791717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4.3394994426216869</v>
      </c>
      <c r="EB35" s="23">
        <f>EXP(-LN(2)/25)*EB34+(1-EXP(-LN(2)/25))/(LN(2)/25)*Calculateur!DW35*Calculateur!DY35*VLOOKUP('Données projet'!$B$14,Paramètres!$A$1:$I$89,3,0)*0.475*44/12</f>
        <v>25.704181457654713</v>
      </c>
      <c r="EC35" s="23">
        <f>EXP(-LN(2)/2)*EC34+(1-EXP(-LN(2)/2))/(LN(2)/2)*DW35*DZ35*VLOOKUP('Données projet'!$B$14,Paramètres!$A$1:$I$89,3,0)*0.475*44/12</f>
        <v>7.6827252982886467</v>
      </c>
      <c r="ED35" s="24">
        <f t="shared" si="18"/>
        <v>37.726406198565044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5</v>
      </c>
      <c r="EJ35" s="13">
        <f>IF('Données projet'!$A$192&gt;35,EJ34+EI35-ER34,IF(A35&lt;'Données projet'!$A$192,$EG$205^A35,IF(A35='Données projet'!$A$192,'Données projet'!$B$192,EJ34+EI35-ER34)))</f>
        <v>63.999999999999986</v>
      </c>
      <c r="EK35" s="18">
        <f>EJ35*VLOOKUP('Données projet'!$B$15,Paramètres!$A$1:$I$89,3,0)*VLOOKUP('Données projet'!$B$15,Paramètres!$A$1:$I$89,5,0)</f>
        <v>49.919999999999987</v>
      </c>
      <c r="EL35" s="14">
        <f t="shared" si="45"/>
        <v>14.593097389553812</v>
      </c>
      <c r="EM35" s="22">
        <f t="shared" si="19"/>
        <v>112.36031128680618</v>
      </c>
      <c r="EN35" s="62">
        <f t="shared" si="20"/>
        <v>353.33281376733152</v>
      </c>
      <c r="EO35" s="62">
        <f ca="1">AVERAGE(OFFSET($EN$3,0,0,'Données projet'!$E$15+1,1))-AVERAGE(OFFSET($H$3,0,0,'Données projet'!$E$15+1,1))</f>
        <v>144.92790055195192</v>
      </c>
      <c r="EP35" s="62">
        <f t="shared" si="46"/>
        <v>151.00642748754026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150.4</v>
      </c>
      <c r="O36" s="14">
        <f>N36*VLOOKUP('Données projet'!$B$9,Paramètres!$A$1:$I$89,3,0)*VLOOKUP('Données projet'!$B$9,Paramètres!$A$1:$I$89,5,0)</f>
        <v>122.00448000000003</v>
      </c>
      <c r="P36" s="14">
        <f t="shared" si="33"/>
        <v>32.142059634860118</v>
      </c>
      <c r="Q36" s="22">
        <f t="shared" si="53"/>
        <v>268.47188986404808</v>
      </c>
      <c r="R36" s="62">
        <f t="shared" si="0"/>
        <v>510.35273569858884</v>
      </c>
      <c r="S36" s="62">
        <f ca="1">AVERAGE(OFFSET($R$3,0,0,'Données projet'!$E$9+1,1))-AVERAGE(OFFSET($H$3,0,0,'Données projet'!$E$9+1,1))</f>
        <v>259.10606516000064</v>
      </c>
      <c r="T36" s="62">
        <f t="shared" si="34"/>
        <v>316.57989180609252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2.0348338981906453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2.0348338981906453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160</v>
      </c>
      <c r="AJ36" s="14">
        <f>AI36*VLOOKUP('Données projet'!$B$10,Paramètres!$A$1:$I$89,3,0)*VLOOKUP('Données projet'!$B$10,Paramètres!$A$1:$I$89,5,0)</f>
        <v>74.88</v>
      </c>
      <c r="AK36" s="14">
        <f t="shared" si="35"/>
        <v>20.880539585643231</v>
      </c>
      <c r="AL36" s="22">
        <f t="shared" si="4"/>
        <v>166.78293977832863</v>
      </c>
      <c r="AM36" s="62">
        <f t="shared" si="5"/>
        <v>408.66378561286933</v>
      </c>
      <c r="AN36" s="62">
        <f ca="1">AVERAGE(OFFSET($AM$3,0,0,'Données projet'!$E$10+1,1))-AVERAGE(OFFSET($H$3,0,0,'Données projet'!$E$10+1,1))</f>
        <v>186.83226999296298</v>
      </c>
      <c r="AO36" s="62">
        <f t="shared" si="36"/>
        <v>232.70925470547317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3.8611402233747851</v>
      </c>
      <c r="AV36" s="23">
        <f>EXP(-LN(2)/25)*AV35+(1-EXP(-LN(2)/25))/(LN(2)/25)*Calculateur!AQ36*Calculateur!AS36*VLOOKUP('Données projet'!$B$10,Paramètres!$A$1:$I$89,3,0)*0.475*44/12</f>
        <v>4.8823008766654139</v>
      </c>
      <c r="AW36" s="23">
        <f>EXP(-LN(2)/2)*AW35+(1-EXP(-LN(2)/2))/(LN(2)/2)*AQ36*AT36*VLOOKUP('Données projet'!$B$10,Paramètres!$A$1:$I$89,3,0)*0.475*44/12</f>
        <v>2.323047467448963</v>
      </c>
      <c r="AX36" s="23">
        <f t="shared" si="6"/>
        <v>11.066488567489163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125.40000000000003</v>
      </c>
      <c r="BE36" s="14">
        <f>BD36*VLOOKUP('Données projet'!$B$11,Paramètres!$A$1:$I$89,3,0)*VLOOKUP('Données projet'!$B$11,Paramètres!$A$1:$I$89,5,0)</f>
        <v>113.46192000000002</v>
      </c>
      <c r="BF36" s="14">
        <f t="shared" si="37"/>
        <v>30.145163126535493</v>
      </c>
      <c r="BG36" s="22">
        <f t="shared" si="7"/>
        <v>250.11566977871598</v>
      </c>
      <c r="BH36" s="62">
        <f t="shared" si="8"/>
        <v>491.99651561325675</v>
      </c>
      <c r="BI36" s="62">
        <f ca="1">AVERAGE(OFFSET($BH$3,0,0,'Données projet'!$E$11+1,1))-AVERAGE(OFFSET($H$3,0,0,'Données projet'!$E$11+1,1))</f>
        <v>435.70500547084868</v>
      </c>
      <c r="BJ36" s="62">
        <f t="shared" si="38"/>
        <v>297.32483725004136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125.40000000000003</v>
      </c>
      <c r="BZ36" s="14">
        <f>BY36*VLOOKUP('Données projet'!$B$12,Paramètres!$A$1:$I$89,3,0)*VLOOKUP('Données projet'!$B$12,Paramètres!$A$1:$I$89,5,0)</f>
        <v>142.80552000000003</v>
      </c>
      <c r="CA36" s="14">
        <f t="shared" si="39"/>
        <v>36.938966678225533</v>
      </c>
      <c r="CB36" s="22">
        <f t="shared" si="10"/>
        <v>313.0549809645762</v>
      </c>
      <c r="CC36" s="62">
        <f t="shared" si="11"/>
        <v>554.93582679911697</v>
      </c>
      <c r="CD36" s="62">
        <f ca="1">AVERAGE(OFFSET($CC$3,0,0,'Données projet'!$E$12+1,1))-AVERAGE(OFFSET($H$3,0,0,'Données projet'!$E$12+1,1))</f>
        <v>530.15080507516973</v>
      </c>
      <c r="CE36" s="62">
        <f t="shared" si="40"/>
        <v>358.10331902702217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7.2</v>
      </c>
      <c r="CT36" s="13">
        <f>IF('Données projet'!$A$140&gt;35,CT35+CS36-DB35,IF(A36&lt;'Données projet'!$A$140,$CQ$205^A36,IF(A36='Données projet'!$A$140,'Données projet'!$B$140,CT35+CS36-DB35)))</f>
        <v>82.600000000000009</v>
      </c>
      <c r="CU36" s="18">
        <f>CT36*VLOOKUP('Données projet'!$B$13,Paramètres!$A$1:$I$89,3,0)*VLOOKUP('Données projet'!$B$13,Paramètres!$A$1:$I$89,5,0)</f>
        <v>70.870800000000017</v>
      </c>
      <c r="CV36" s="14">
        <f t="shared" si="41"/>
        <v>19.88955205532633</v>
      </c>
      <c r="CW36" s="22">
        <f t="shared" si="13"/>
        <v>158.07427982969338</v>
      </c>
      <c r="CX36" s="62">
        <f t="shared" si="14"/>
        <v>399.95512566423412</v>
      </c>
      <c r="CY36" s="62">
        <f ca="1">AVERAGE(OFFSET($CX$3,0,0,'Données projet'!$E$13+1,1))-AVERAGE(OFFSET($H$3,0,0,'Données projet'!$E$13+1,1))</f>
        <v>182.98212193167009</v>
      </c>
      <c r="CZ36" s="62">
        <f t="shared" si="42"/>
        <v>195.9200038944301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1.136891287993687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1.136891287993687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31.4</v>
      </c>
      <c r="DO36" s="13">
        <f>IF('Données projet'!$A$166&gt;35,DO35+DN36-DW35,IF(A36&lt;'Données projet'!$A$166,$DL$205^A36,IF(A36='Données projet'!$A$166,'Données projet'!$B$166,DO35+DN36-DW35)))</f>
        <v>352.19999999999987</v>
      </c>
      <c r="DP36" s="18">
        <f>DO36*VLOOKUP('Données projet'!$B$14,Paramètres!$A$1:$I$89,3,0)*VLOOKUP('Données projet'!$B$14,Paramètres!$A$1:$I$89,5,0)</f>
        <v>155.67239999999995</v>
      </c>
      <c r="DQ36" s="14">
        <f t="shared" si="43"/>
        <v>39.86486091051038</v>
      </c>
      <c r="DR36" s="22">
        <f t="shared" si="16"/>
        <v>340.5607294191388</v>
      </c>
      <c r="DS36" s="62">
        <f t="shared" si="17"/>
        <v>582.4415752536795</v>
      </c>
      <c r="DT36" s="62">
        <f ca="1">AVERAGE(OFFSET($DS$3,0,0,'Données projet'!$E$14+1,1))-AVERAGE(OFFSET($H$3,0,0,'Données projet'!$E$14+1,1))</f>
        <v>338.33525241236157</v>
      </c>
      <c r="DU36" s="62">
        <f t="shared" si="44"/>
        <v>373.47257029791717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4.2544045053851827</v>
      </c>
      <c r="EB36" s="23">
        <f>EXP(-LN(2)/25)*EB35+(1-EXP(-LN(2)/25))/(LN(2)/25)*Calculateur!DW36*Calculateur!DY36*VLOOKUP('Données projet'!$B$14,Paramètres!$A$1:$I$89,3,0)*0.475*44/12</f>
        <v>25.001299263970989</v>
      </c>
      <c r="EC36" s="23">
        <f>EXP(-LN(2)/2)*EC35+(1-EXP(-LN(2)/2))/(LN(2)/2)*DW36*DZ36*VLOOKUP('Données projet'!$B$14,Paramètres!$A$1:$I$89,3,0)*0.475*44/12</f>
        <v>5.4325071564133438</v>
      </c>
      <c r="ED36" s="24">
        <f t="shared" si="18"/>
        <v>34.688210925769511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5</v>
      </c>
      <c r="EJ36" s="13">
        <f>IF('Données projet'!$A$192&gt;35,EJ35+EI36-ER35,IF(A36&lt;'Données projet'!$A$192,$EG$205^A36,IF(A36='Données projet'!$A$192,'Données projet'!$B$192,EJ35+EI36-ER35)))</f>
        <v>68.999999999999986</v>
      </c>
      <c r="EK36" s="18">
        <f>EJ36*VLOOKUP('Données projet'!$B$15,Paramètres!$A$1:$I$89,3,0)*VLOOKUP('Données projet'!$B$15,Paramètres!$A$1:$I$89,5,0)</f>
        <v>53.819999999999993</v>
      </c>
      <c r="EL36" s="14">
        <f t="shared" si="45"/>
        <v>15.596024630246266</v>
      </c>
      <c r="EM36" s="22">
        <f t="shared" si="19"/>
        <v>120.89957623101223</v>
      </c>
      <c r="EN36" s="62">
        <f t="shared" si="20"/>
        <v>362.78042206555295</v>
      </c>
      <c r="EO36" s="62">
        <f ca="1">AVERAGE(OFFSET($EN$3,0,0,'Données projet'!$E$15+1,1))-AVERAGE(OFFSET($H$3,0,0,'Données projet'!$E$15+1,1))</f>
        <v>144.92790055195192</v>
      </c>
      <c r="EP36" s="62">
        <f t="shared" si="46"/>
        <v>151.00642748754026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161.20000000000002</v>
      </c>
      <c r="O37" s="14">
        <f>N37*VLOOKUP('Données projet'!$B$9,Paramètres!$A$1:$I$89,3,0)*VLOOKUP('Données projet'!$B$9,Paramètres!$A$1:$I$89,5,0)</f>
        <v>130.76544000000001</v>
      </c>
      <c r="P37" s="14">
        <f t="shared" si="33"/>
        <v>34.173169564532692</v>
      </c>
      <c r="Q37" s="22">
        <f t="shared" si="53"/>
        <v>287.26807832489447</v>
      </c>
      <c r="R37" s="62">
        <f t="shared" si="0"/>
        <v>530.04150978701</v>
      </c>
      <c r="S37" s="62">
        <f ca="1">AVERAGE(OFFSET($R$3,0,0,'Données projet'!$E$9+1,1))-AVERAGE(OFFSET($H$3,0,0,'Données projet'!$E$9+1,1))</f>
        <v>259.10606516000064</v>
      </c>
      <c r="T37" s="62">
        <f t="shared" si="34"/>
        <v>316.57989180609252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1.9949320465732536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1.9949320465732536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170</v>
      </c>
      <c r="AJ37" s="14">
        <f>AI37*VLOOKUP('Données projet'!$B$10,Paramètres!$A$1:$I$89,3,0)*VLOOKUP('Données projet'!$B$10,Paramètres!$A$1:$I$89,5,0)</f>
        <v>79.56</v>
      </c>
      <c r="AK37" s="14">
        <f t="shared" si="35"/>
        <v>22.029567333453311</v>
      </c>
      <c r="AL37" s="22">
        <f t="shared" si="4"/>
        <v>176.93516310576453</v>
      </c>
      <c r="AM37" s="62">
        <f t="shared" si="5"/>
        <v>419.70859456788014</v>
      </c>
      <c r="AN37" s="62">
        <f ca="1">AVERAGE(OFFSET($AM$3,0,0,'Données projet'!$E$10+1,1))-AVERAGE(OFFSET($H$3,0,0,'Données projet'!$E$10+1,1))</f>
        <v>186.83226999296298</v>
      </c>
      <c r="AO37" s="62">
        <f t="shared" si="36"/>
        <v>232.70925470547317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3.7854256186573987</v>
      </c>
      <c r="AV37" s="23">
        <f>EXP(-LN(2)/25)*AV36+(1-EXP(-LN(2)/25))/(LN(2)/25)*Calculateur!AQ37*Calculateur!AS37*VLOOKUP('Données projet'!$B$10,Paramètres!$A$1:$I$89,3,0)*0.475*44/12</f>
        <v>4.7487941024439539</v>
      </c>
      <c r="AW37" s="23">
        <f>EXP(-LN(2)/2)*AW36+(1-EXP(-LN(2)/2))/(LN(2)/2)*AQ37*AT37*VLOOKUP('Données projet'!$B$10,Paramètres!$A$1:$I$89,3,0)*0.475*44/12</f>
        <v>1.6426426172513973</v>
      </c>
      <c r="AX37" s="23">
        <f t="shared" si="6"/>
        <v>10.17686233835275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136.20000000000005</v>
      </c>
      <c r="BE37" s="14">
        <f>BD37*VLOOKUP('Données projet'!$B$11,Paramètres!$A$1:$I$89,3,0)*VLOOKUP('Données projet'!$B$11,Paramètres!$A$1:$I$89,5,0)</f>
        <v>123.23376000000005</v>
      </c>
      <c r="BF37" s="14">
        <f t="shared" si="37"/>
        <v>32.428049504876491</v>
      </c>
      <c r="BG37" s="22">
        <f t="shared" si="7"/>
        <v>271.11098488765998</v>
      </c>
      <c r="BH37" s="62">
        <f t="shared" si="8"/>
        <v>513.88441634977562</v>
      </c>
      <c r="BI37" s="62">
        <f ca="1">AVERAGE(OFFSET($BH$3,0,0,'Données projet'!$E$11+1,1))-AVERAGE(OFFSET($H$3,0,0,'Données projet'!$E$11+1,1))</f>
        <v>435.70500547084868</v>
      </c>
      <c r="BJ37" s="62">
        <f t="shared" si="38"/>
        <v>297.32483725004136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136.20000000000005</v>
      </c>
      <c r="BZ37" s="14">
        <f>BY37*VLOOKUP('Données projet'!$B$12,Paramètres!$A$1:$I$89,3,0)*VLOOKUP('Données projet'!$B$12,Paramètres!$A$1:$I$89,5,0)</f>
        <v>155.10456000000005</v>
      </c>
      <c r="CA37" s="14">
        <f t="shared" si="39"/>
        <v>39.736346261336237</v>
      </c>
      <c r="CB37" s="22">
        <f t="shared" si="10"/>
        <v>339.34791173849402</v>
      </c>
      <c r="CC37" s="62">
        <f t="shared" si="11"/>
        <v>582.12134320060954</v>
      </c>
      <c r="CD37" s="62">
        <f ca="1">AVERAGE(OFFSET($CC$3,0,0,'Données projet'!$E$12+1,1))-AVERAGE(OFFSET($H$3,0,0,'Données projet'!$E$12+1,1))</f>
        <v>530.15080507516973</v>
      </c>
      <c r="CE37" s="62">
        <f t="shared" si="40"/>
        <v>358.10331902702217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7.2</v>
      </c>
      <c r="CT37" s="13">
        <f>IF('Données projet'!$A$140&gt;35,CT36+CS37-DB36,IF(A37&lt;'Données projet'!$A$140,$CQ$205^A37,IF(A37='Données projet'!$A$140,'Données projet'!$B$140,CT36+CS37-DB36)))</f>
        <v>89.800000000000011</v>
      </c>
      <c r="CU37" s="18">
        <f>CT37*VLOOKUP('Données projet'!$B$13,Paramètres!$A$1:$I$89,3,0)*VLOOKUP('Données projet'!$B$13,Paramètres!$A$1:$I$89,5,0)</f>
        <v>77.048400000000015</v>
      </c>
      <c r="CV37" s="14">
        <f t="shared" si="41"/>
        <v>21.413931223592172</v>
      </c>
      <c r="CW37" s="22">
        <f t="shared" si="13"/>
        <v>171.48856021442305</v>
      </c>
      <c r="CX37" s="62">
        <f t="shared" si="14"/>
        <v>414.26199167653863</v>
      </c>
      <c r="CY37" s="62">
        <f ca="1">AVERAGE(OFFSET($CX$3,0,0,'Données projet'!$E$13+1,1))-AVERAGE(OFFSET($H$3,0,0,'Données projet'!$E$13+1,1))</f>
        <v>182.98212193167009</v>
      </c>
      <c r="CZ37" s="62">
        <f t="shared" si="42"/>
        <v>195.9200038944301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1.1145975432713455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1.1145975432713455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31.4</v>
      </c>
      <c r="DO37" s="13">
        <f>IF('Données projet'!$A$166&gt;35,DO36+DN37-DW36,IF(A37&lt;'Données projet'!$A$166,$DL$205^A37,IF(A37='Données projet'!$A$166,'Données projet'!$B$166,DO36+DN37-DW36)))</f>
        <v>383.59999999999985</v>
      </c>
      <c r="DP37" s="18">
        <f>DO37*VLOOKUP('Données projet'!$B$14,Paramètres!$A$1:$I$89,3,0)*VLOOKUP('Données projet'!$B$14,Paramètres!$A$1:$I$89,5,0)</f>
        <v>169.55119999999994</v>
      </c>
      <c r="DQ37" s="14">
        <f t="shared" si="43"/>
        <v>42.989491855616606</v>
      </c>
      <c r="DR37" s="22">
        <f t="shared" si="16"/>
        <v>370.17503831519883</v>
      </c>
      <c r="DS37" s="62">
        <f t="shared" si="17"/>
        <v>612.94846977731436</v>
      </c>
      <c r="DT37" s="62">
        <f ca="1">AVERAGE(OFFSET($DS$3,0,0,'Données projet'!$E$14+1,1))-AVERAGE(OFFSET($H$3,0,0,'Données projet'!$E$14+1,1))</f>
        <v>338.33525241236157</v>
      </c>
      <c r="DU37" s="62">
        <f t="shared" si="44"/>
        <v>373.47257029791717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4.1709782279650991</v>
      </c>
      <c r="EB37" s="23">
        <f>EXP(-LN(2)/25)*EB36+(1-EXP(-LN(2)/25))/(LN(2)/25)*Calculateur!DW37*Calculateur!DY37*VLOOKUP('Données projet'!$B$14,Paramètres!$A$1:$I$89,3,0)*0.475*44/12</f>
        <v>24.317637420836515</v>
      </c>
      <c r="EC37" s="23">
        <f>EXP(-LN(2)/2)*EC36+(1-EXP(-LN(2)/2))/(LN(2)/2)*DW37*DZ37*VLOOKUP('Données projet'!$B$14,Paramètres!$A$1:$I$89,3,0)*0.475*44/12</f>
        <v>3.8413626491443242</v>
      </c>
      <c r="ED37" s="24">
        <f t="shared" si="18"/>
        <v>32.329978297945935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5</v>
      </c>
      <c r="EJ37" s="13">
        <f>IF('Données projet'!$A$192&gt;35,EJ36+EI37-ER36,IF(A37&lt;'Données projet'!$A$192,$EG$205^A37,IF(A37='Données projet'!$A$192,'Données projet'!$B$192,EJ36+EI37-ER36)))</f>
        <v>73.999999999999986</v>
      </c>
      <c r="EK37" s="18">
        <f>EJ37*VLOOKUP('Données projet'!$B$15,Paramètres!$A$1:$I$89,3,0)*VLOOKUP('Données projet'!$B$15,Paramètres!$A$1:$I$89,5,0)</f>
        <v>57.719999999999992</v>
      </c>
      <c r="EL37" s="14">
        <f t="shared" si="45"/>
        <v>16.59052018887764</v>
      </c>
      <c r="EM37" s="22">
        <f t="shared" si="19"/>
        <v>129.42415599562852</v>
      </c>
      <c r="EN37" s="62">
        <f t="shared" si="20"/>
        <v>372.19758745774413</v>
      </c>
      <c r="EO37" s="62">
        <f ca="1">AVERAGE(OFFSET($EN$3,0,0,'Données projet'!$E$15+1,1))-AVERAGE(OFFSET($H$3,0,0,'Données projet'!$E$15+1,1))</f>
        <v>144.92790055195192</v>
      </c>
      <c r="EP37" s="62">
        <f t="shared" si="46"/>
        <v>151.00642748754026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172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172.00000000000003</v>
      </c>
      <c r="O38" s="14">
        <f>N38*VLOOKUP('Données projet'!$B$9,Paramètres!$A$1:$I$89,3,0)*VLOOKUP('Données projet'!$B$9,Paramètres!$A$1:$I$89,5,0)</f>
        <v>139.52640000000002</v>
      </c>
      <c r="P38" s="14">
        <f t="shared" si="33"/>
        <v>36.188488997813884</v>
      </c>
      <c r="Q38" s="22">
        <f t="shared" si="53"/>
        <v>306.03676500452588</v>
      </c>
      <c r="R38" s="62">
        <f t="shared" si="0"/>
        <v>549.68729772910035</v>
      </c>
      <c r="S38" s="62">
        <f ca="1">AVERAGE(OFFSET($R$3,0,0,'Données projet'!$E$9+1,1))-AVERAGE(OFFSET($H$3,0,0,'Données projet'!$E$9+1,1))</f>
        <v>259.10606516000064</v>
      </c>
      <c r="T38" s="62">
        <f t="shared" si="34"/>
        <v>316.57989180609252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8.6000000000000007E-2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4.1152048790084805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4.1152048790084805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180</v>
      </c>
      <c r="AJ38" s="14">
        <f>AI38*VLOOKUP('Données projet'!$B$10,Paramètres!$A$1:$I$89,3,0)*VLOOKUP('Données projet'!$B$10,Paramètres!$A$1:$I$89,5,0)</f>
        <v>84.24</v>
      </c>
      <c r="AK38" s="14">
        <f t="shared" si="35"/>
        <v>23.170749718409468</v>
      </c>
      <c r="AL38" s="22">
        <f t="shared" si="4"/>
        <v>187.07372242622981</v>
      </c>
      <c r="AM38" s="62">
        <f t="shared" si="5"/>
        <v>430.72425515080431</v>
      </c>
      <c r="AN38" s="62">
        <f ca="1">AVERAGE(OFFSET($AM$3,0,0,'Données projet'!$E$10+1,1))-AVERAGE(OFFSET($H$3,0,0,'Données projet'!$E$10+1,1))</f>
        <v>186.83226999296298</v>
      </c>
      <c r="AO38" s="62">
        <f t="shared" si="36"/>
        <v>232.70925470547317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3.7111957311571713</v>
      </c>
      <c r="AV38" s="23">
        <f>EXP(-LN(2)/25)*AV37+(1-EXP(-LN(2)/25))/(LN(2)/25)*Calculateur!AQ38*Calculateur!AS38*VLOOKUP('Données projet'!$B$10,Paramètres!$A$1:$I$89,3,0)*0.475*44/12</f>
        <v>4.6189380779843958</v>
      </c>
      <c r="AW38" s="23">
        <f>EXP(-LN(2)/2)*AW37+(1-EXP(-LN(2)/2))/(LN(2)/2)*AQ38*AT38*VLOOKUP('Données projet'!$B$10,Paramètres!$A$1:$I$89,3,0)*0.475*44/12</f>
        <v>1.1615237337244815</v>
      </c>
      <c r="AX38" s="23">
        <f t="shared" si="6"/>
        <v>9.491657542866049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147.00000000000006</v>
      </c>
      <c r="BE38" s="14">
        <f>BD38*VLOOKUP('Données projet'!$B$11,Paramètres!$A$1:$I$89,3,0)*VLOOKUP('Données projet'!$B$11,Paramètres!$A$1:$I$89,5,0)</f>
        <v>133.00560000000004</v>
      </c>
      <c r="BF38" s="14">
        <f t="shared" si="37"/>
        <v>34.689938673073549</v>
      </c>
      <c r="BG38" s="22">
        <f t="shared" si="7"/>
        <v>292.06972985560316</v>
      </c>
      <c r="BH38" s="62">
        <f t="shared" si="8"/>
        <v>535.72026258017763</v>
      </c>
      <c r="BI38" s="62">
        <f ca="1">AVERAGE(OFFSET($BH$3,0,0,'Données projet'!$E$11+1,1))-AVERAGE(OFFSET($H$3,0,0,'Données projet'!$E$11+1,1))</f>
        <v>435.70500547084868</v>
      </c>
      <c r="BJ38" s="62">
        <f t="shared" si="38"/>
        <v>297.32483725004136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8.6000000000000007E-2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2.4085528753586032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2.4085528753586032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147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147.00000000000006</v>
      </c>
      <c r="BZ38" s="14">
        <f>BY38*VLOOKUP('Données projet'!$B$12,Paramètres!$A$1:$I$89,3,0)*VLOOKUP('Données projet'!$B$12,Paramètres!$A$1:$I$89,5,0)</f>
        <v>167.40360000000007</v>
      </c>
      <c r="CA38" s="14">
        <f t="shared" si="39"/>
        <v>42.50799650131534</v>
      </c>
      <c r="CB38" s="22">
        <f t="shared" si="10"/>
        <v>365.59603057312432</v>
      </c>
      <c r="CC38" s="62">
        <f t="shared" si="11"/>
        <v>609.2465632976988</v>
      </c>
      <c r="CD38" s="62">
        <f ca="1">AVERAGE(OFFSET($CC$3,0,0,'Données projet'!$E$12+1,1))-AVERAGE(OFFSET($H$3,0,0,'Données projet'!$E$12+1,1))</f>
        <v>530.15080507516973</v>
      </c>
      <c r="CE38" s="62">
        <f t="shared" si="40"/>
        <v>358.10331902702217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28</v>
      </c>
      <c r="CH38" s="17">
        <f>IF(ISNA(VLOOKUP(A38,'Données projet'!$A$113:$I$133,5,0)),0%,VLOOKUP(A38,'Données projet'!$A$113:$I$133,5,0)*VLOOKUP('Données projet'!$B$12,Paramètres!$A$1:$I$89,7,0))</f>
        <v>8.6000000000000007E-2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3.0314544810547943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3.0314544810547943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97</v>
      </c>
      <c r="CR38" s="13">
        <f>VLOOKUP(A38,'Données projet'!$A$139:$I$159,9,0)</f>
        <v>7.2</v>
      </c>
      <c r="CS38" s="13">
        <f t="array" ref="CS38">INDEX(CR:CR,MIN(IF(ISNUMBER(CR38:CR234),ROW(CR38:CR234),"")))</f>
        <v>7.2</v>
      </c>
      <c r="CT38" s="13">
        <f>IF('Données projet'!$A$140&gt;35,CT37+CS38-DB37,IF(A38&lt;'Données projet'!$A$140,$CQ$205^A38,IF(A38='Données projet'!$A$140,'Données projet'!$B$140,CT37+CS38-DB37)))</f>
        <v>97.000000000000014</v>
      </c>
      <c r="CU38" s="18">
        <f>CT38*VLOOKUP('Données projet'!$B$13,Paramètres!$A$1:$I$89,3,0)*VLOOKUP('Données projet'!$B$13,Paramètres!$A$1:$I$89,5,0)</f>
        <v>83.226000000000028</v>
      </c>
      <c r="CV38" s="14">
        <f t="shared" si="41"/>
        <v>22.924133915866854</v>
      </c>
      <c r="CW38" s="22">
        <f t="shared" si="13"/>
        <v>184.87814990346817</v>
      </c>
      <c r="CX38" s="62">
        <f t="shared" si="14"/>
        <v>428.5286826280427</v>
      </c>
      <c r="CY38" s="62">
        <f ca="1">AVERAGE(OFFSET($CX$3,0,0,'Données projet'!$E$13+1,1))-AVERAGE(OFFSET($H$3,0,0,'Données projet'!$E$13+1,1))</f>
        <v>182.98212193167009</v>
      </c>
      <c r="CZ38" s="62">
        <f t="shared" si="42"/>
        <v>195.9200038944301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21</v>
      </c>
      <c r="DC38" s="17">
        <f>IF(ISNA(VLOOKUP(A38,'Données projet'!$A$139:$I$159,5,0)),0%,VLOOKUP(A38,'Données projet'!$A$139:$I$159,5,0)*VLOOKUP('Données projet'!$B$13,Paramètres!$A$1:$I$89,7,0))</f>
        <v>0.10600000000000001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3.2040876869181858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3.2040876869181858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415</v>
      </c>
      <c r="DM38" s="13">
        <f>VLOOKUP(A38,'Données projet'!$A$165:$I$185,9,0)</f>
        <v>31.4</v>
      </c>
      <c r="DN38" s="13">
        <f t="array" ref="DN38">INDEX(DM:DM,MIN(IF(ISNUMBER(DM38:DM234),ROW(DM38:DM234),"")))</f>
        <v>31.4</v>
      </c>
      <c r="DO38" s="13">
        <f>IF('Données projet'!$A$166&gt;35,DO37+DN38-DW37,IF(A38&lt;'Données projet'!$A$166,$DL$205^A38,IF(A38='Données projet'!$A$166,'Données projet'!$B$166,DO37+DN38-DW37)))</f>
        <v>414.99999999999983</v>
      </c>
      <c r="DP38" s="18">
        <f>DO38*VLOOKUP('Données projet'!$B$14,Paramètres!$A$1:$I$89,3,0)*VLOOKUP('Données projet'!$B$14,Paramètres!$A$1:$I$89,5,0)</f>
        <v>183.42999999999995</v>
      </c>
      <c r="DQ38" s="14">
        <f t="shared" si="43"/>
        <v>46.084457597740531</v>
      </c>
      <c r="DR38" s="22">
        <f t="shared" si="16"/>
        <v>399.73768031606465</v>
      </c>
      <c r="DS38" s="62">
        <f t="shared" si="17"/>
        <v>643.38821304063913</v>
      </c>
      <c r="DT38" s="62">
        <f ca="1">AVERAGE(OFFSET($DS$3,0,0,'Données projet'!$E$14+1,1))-AVERAGE(OFFSET($H$3,0,0,'Données projet'!$E$14+1,1))</f>
        <v>338.33525241236157</v>
      </c>
      <c r="DU38" s="62">
        <f t="shared" si="44"/>
        <v>373.47257029791717</v>
      </c>
      <c r="DV38" s="16">
        <f>IF(ISNA(VLOOKUP(A38,'Données projet'!$A$165:$I$185,3,0)),0,VLOOKUP(A38,'Données projet'!$A$165:$I$185,3,0))</f>
        <v>5</v>
      </c>
      <c r="DW38" s="16">
        <f>IF(ISNA(VLOOKUP(A38,'Données projet'!$A$165:$I$185,4,0)),0,VLOOKUP(A38,'Données projet'!$A$165:$I$185,4,0))</f>
        <v>70</v>
      </c>
      <c r="DX38" s="17">
        <f>IF(ISNA(VLOOKUP(A38,'Données projet'!$A$165:$I$185,5,0)),0%,VLOOKUP(A38,'Données projet'!$A$165:$I$185,5,0)*VLOOKUP('Données projet'!$B$14,Paramètres!$A$1:$I$89,7,0))</f>
        <v>0.11000000000000001</v>
      </c>
      <c r="DY38" s="17">
        <f>IF(ISNA(VLOOKUP(A38,'Données projet'!$A$165:$I$185,6,0)),0%,VLOOKUP(A38,'Données projet'!$A$165:$I$185,6,0)*VLOOKUP('Données projet'!$B$14,Paramètres!$A$1:$I$89,7,0))</f>
        <v>0.24750000000000003</v>
      </c>
      <c r="DZ38" s="17">
        <f>IF(ISNA(VLOOKUP(A38,'Données projet'!$A$165:$I$185,7,0)),0%,VLOOKUP(A38,'Données projet'!$A$165:$I$185,7,0))</f>
        <v>0.35</v>
      </c>
      <c r="EA38" s="23">
        <f>EXP(-LN(2)/35)*EA37+(1-EXP(-LN(2)/35))/(LN(2)/35)*DW38*DX38*VLOOKUP('Données projet'!$B$14,Paramètres!$A$1:$I$89,3,0)*0.475*44/12</f>
        <v>8.6040173566031513</v>
      </c>
      <c r="EB38" s="23">
        <f>EXP(-LN(2)/25)*EB37+(1-EXP(-LN(2)/25))/(LN(2)/25)*Calculateur!DW38*Calculateur!DY38*VLOOKUP('Données projet'!$B$14,Paramètres!$A$1:$I$89,3,0)*0.475*44/12</f>
        <v>33.771039290178599</v>
      </c>
      <c r="EC38" s="23">
        <f>EXP(-LN(2)/2)*EC37+(1-EXP(-LN(2)/2))/(LN(2)/2)*DW38*DZ38*VLOOKUP('Données projet'!$B$14,Paramètres!$A$1:$I$89,3,0)*0.475*44/12</f>
        <v>14.977197128120769</v>
      </c>
      <c r="ED38" s="24">
        <f t="shared" si="18"/>
        <v>57.352253774902522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79</v>
      </c>
      <c r="EH38" s="13">
        <f>VLOOKUP(A38,'Données projet'!$A$191:$I$211,9,0)</f>
        <v>5</v>
      </c>
      <c r="EI38" s="13">
        <f t="array" ref="EI38">INDEX(EH:EH,MIN(IF(ISNUMBER(EH38:EH234),ROW(EH38:EH234),"")))</f>
        <v>5</v>
      </c>
      <c r="EJ38" s="13">
        <f>IF('Données projet'!$A$192&gt;35,EJ37+EI38-ER37,IF(A38&lt;'Données projet'!$A$192,$EG$205^A38,IF(A38='Données projet'!$A$192,'Données projet'!$B$192,EJ37+EI38-ER37)))</f>
        <v>78.999999999999986</v>
      </c>
      <c r="EK38" s="18">
        <f>EJ38*VLOOKUP('Données projet'!$B$15,Paramètres!$A$1:$I$89,3,0)*VLOOKUP('Données projet'!$B$15,Paramètres!$A$1:$I$89,5,0)</f>
        <v>61.61999999999999</v>
      </c>
      <c r="EL38" s="14">
        <f t="shared" si="45"/>
        <v>17.577218591267972</v>
      </c>
      <c r="EM38" s="22">
        <f t="shared" si="19"/>
        <v>137.935155713125</v>
      </c>
      <c r="EN38" s="62">
        <f t="shared" si="20"/>
        <v>381.5856884376995</v>
      </c>
      <c r="EO38" s="62">
        <f ca="1">AVERAGE(OFFSET($EN$3,0,0,'Données projet'!$E$15+1,1))-AVERAGE(OFFSET($H$3,0,0,'Données projet'!$E$15+1,1))</f>
        <v>144.92790055195192</v>
      </c>
      <c r="EP38" s="62">
        <f t="shared" si="46"/>
        <v>151.00642748754026</v>
      </c>
      <c r="EQ38" s="16">
        <f>IF(ISNA(VLOOKUP(A38,'Données projet'!$A$191:$I$211,3,0)),0,VLOOKUP(A38,'Données projet'!$A$191:$I$211,3,0))</f>
        <v>3</v>
      </c>
      <c r="ER38" s="16">
        <f>IF(ISNA(VLOOKUP(A38,'Données projet'!$A$191:$I$211,4,0)),0,VLOOKUP(A38,'Données projet'!$A$191:$I$211,4,0))</f>
        <v>13</v>
      </c>
      <c r="ES38" s="17">
        <f>IF(ISNA(VLOOKUP(A38,'Données projet'!$A$191:$I$211,5,0)),0%,VLOOKUP(A38,'Données projet'!$A$191:$I$211,5,0)*VLOOKUP('Données projet'!$B$15,Paramètres!$A$1:$I$89,7,0))</f>
        <v>8.6000000000000007E-2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0.96401438976791409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0.96401438976791409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9.6</v>
      </c>
      <c r="N39" s="14">
        <f>IF('Données projet'!$A$36&gt;35,N38+M39-V38,IF(A39&lt;'Données projet'!$A$36,$K$205^A39,IF(A39='Données projet'!$A$36,'Données projet'!$B$36,N38+M39-V38)))</f>
        <v>153.60000000000002</v>
      </c>
      <c r="O39" s="14">
        <f>N39*VLOOKUP('Données projet'!$B$9,Paramètres!$A$1:$I$89,3,0)*VLOOKUP('Données projet'!$B$9,Paramètres!$A$1:$I$89,5,0)</f>
        <v>124.60032000000002</v>
      </c>
      <c r="P39" s="14">
        <f t="shared" si="33"/>
        <v>32.745587947600931</v>
      </c>
      <c r="Q39" s="22">
        <f t="shared" si="53"/>
        <v>274.04412300873832</v>
      </c>
      <c r="R39" s="62">
        <f t="shared" si="0"/>
        <v>518.55654124977275</v>
      </c>
      <c r="S39" s="62">
        <f ca="1">AVERAGE(OFFSET($R$3,0,0,'Données projet'!$E$9+1,1))-AVERAGE(OFFSET($H$3,0,0,'Données projet'!$E$9+1,1))</f>
        <v>259.10606516000064</v>
      </c>
      <c r="T39" s="62">
        <f t="shared" si="34"/>
        <v>316.57989180609252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4.0345082213582559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4.0345082213582559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</v>
      </c>
      <c r="AI39" s="14">
        <f>IF('Données projet'!$A$62&gt;35,AI38+AH39-AQ38,IF(A39&lt;'Données projet'!$A$62,$AF$205^A39,IF(A39='Données projet'!$A$62,'Données projet'!$B$62,AI38+AH39-AQ38)))</f>
        <v>190</v>
      </c>
      <c r="AJ39" s="14">
        <f>AI39*VLOOKUP('Données projet'!$B$10,Paramètres!$A$1:$I$89,3,0)*VLOOKUP('Données projet'!$B$10,Paramètres!$A$1:$I$89,5,0)</f>
        <v>88.919999999999987</v>
      </c>
      <c r="AK39" s="14">
        <f t="shared" si="35"/>
        <v>24.30457227046648</v>
      </c>
      <c r="AL39" s="22">
        <f t="shared" si="4"/>
        <v>197.19946337106239</v>
      </c>
      <c r="AM39" s="62">
        <f t="shared" si="5"/>
        <v>441.71188161209682</v>
      </c>
      <c r="AN39" s="62">
        <f ca="1">AVERAGE(OFFSET($AM$3,0,0,'Données projet'!$E$10+1,1))-AVERAGE(OFFSET($H$3,0,0,'Données projet'!$E$10+1,1))</f>
        <v>186.83226999296298</v>
      </c>
      <c r="AO39" s="62">
        <f t="shared" si="36"/>
        <v>232.70925470547317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3.6384214464750628</v>
      </c>
      <c r="AV39" s="23">
        <f>EXP(-LN(2)/25)*AV38+(1-EXP(-LN(2)/25))/(LN(2)/25)*Calculateur!AQ39*Calculateur!AS39*VLOOKUP('Données projet'!$B$10,Paramètres!$A$1:$I$89,3,0)*0.475*44/12</f>
        <v>4.4926329733425154</v>
      </c>
      <c r="AW39" s="23">
        <f>EXP(-LN(2)/2)*AW38+(1-EXP(-LN(2)/2))/(LN(2)/2)*AQ39*AT39*VLOOKUP('Données projet'!$B$10,Paramètres!$A$1:$I$89,3,0)*0.475*44/12</f>
        <v>0.82132130862569863</v>
      </c>
      <c r="AX39" s="23">
        <f t="shared" si="6"/>
        <v>8.9523757284432772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130.20000000000005</v>
      </c>
      <c r="BE39" s="14">
        <f>BD39*VLOOKUP('Données projet'!$B$11,Paramètres!$A$1:$I$89,3,0)*VLOOKUP('Données projet'!$B$11,Paramètres!$A$1:$I$89,5,0)</f>
        <v>117.80496000000004</v>
      </c>
      <c r="BF39" s="14">
        <f t="shared" si="37"/>
        <v>31.162493487829593</v>
      </c>
      <c r="BG39" s="22">
        <f t="shared" si="7"/>
        <v>259.45164815796994</v>
      </c>
      <c r="BH39" s="62">
        <f t="shared" si="8"/>
        <v>503.96406639900437</v>
      </c>
      <c r="BI39" s="62">
        <f ca="1">AVERAGE(OFFSET($BH$3,0,0,'Données projet'!$E$11+1,1))-AVERAGE(OFFSET($H$3,0,0,'Données projet'!$E$11+1,1))</f>
        <v>435.70500547084868</v>
      </c>
      <c r="BJ39" s="62">
        <f t="shared" si="38"/>
        <v>297.32483725004136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2.3613226225450159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2.3613226225450159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130.20000000000005</v>
      </c>
      <c r="BZ39" s="14">
        <f>BY39*VLOOKUP('Données projet'!$B$12,Paramètres!$A$1:$I$89,3,0)*VLOOKUP('Données projet'!$B$12,Paramètres!$A$1:$I$89,5,0)</f>
        <v>148.27176000000006</v>
      </c>
      <c r="CA39" s="14">
        <f t="shared" si="39"/>
        <v>38.185572382724459</v>
      </c>
      <c r="CB39" s="22">
        <f t="shared" si="10"/>
        <v>324.74652056657857</v>
      </c>
      <c r="CC39" s="62">
        <f t="shared" si="11"/>
        <v>569.25893880761305</v>
      </c>
      <c r="CD39" s="62">
        <f ca="1">AVERAGE(OFFSET($CC$3,0,0,'Données projet'!$E$12+1,1))-AVERAGE(OFFSET($H$3,0,0,'Données projet'!$E$12+1,1))</f>
        <v>530.15080507516973</v>
      </c>
      <c r="CE39" s="62">
        <f t="shared" si="40"/>
        <v>358.10331902702217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2.9720095076859692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2.9720095076859692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7.8</v>
      </c>
      <c r="CT39" s="13">
        <f>IF('Données projet'!$A$140&gt;35,CT38+CS39-DB38,IF(A39&lt;'Données projet'!$A$140,$CQ$205^A39,IF(A39='Données projet'!$A$140,'Données projet'!$B$140,CT38+CS39-DB38)))</f>
        <v>83.800000000000011</v>
      </c>
      <c r="CU39" s="18">
        <f>CT39*VLOOKUP('Données projet'!$B$13,Paramètres!$A$1:$I$89,3,0)*VLOOKUP('Données projet'!$B$13,Paramètres!$A$1:$I$89,5,0)</f>
        <v>71.900400000000019</v>
      </c>
      <c r="CV39" s="14">
        <f t="shared" si="41"/>
        <v>20.144655615547983</v>
      </c>
      <c r="CW39" s="22">
        <f t="shared" si="13"/>
        <v>160.31180519707939</v>
      </c>
      <c r="CX39" s="62">
        <f t="shared" si="14"/>
        <v>404.82422343811379</v>
      </c>
      <c r="CY39" s="62">
        <f ca="1">AVERAGE(OFFSET($CX$3,0,0,'Données projet'!$E$13+1,1))-AVERAGE(OFFSET($H$3,0,0,'Données projet'!$E$13+1,1))</f>
        <v>182.98212193167009</v>
      </c>
      <c r="CZ39" s="62">
        <f t="shared" si="42"/>
        <v>195.9200038944301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3.1412574816782382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3.1412574816782382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29.2</v>
      </c>
      <c r="DO39" s="13">
        <f>IF('Données projet'!$A$166&gt;35,DO38+DN39-DW38,IF(A39&lt;'Données projet'!$A$166,$DL$205^A39,IF(A39='Données projet'!$A$166,'Données projet'!$B$166,DO38+DN39-DW38)))</f>
        <v>374.19999999999982</v>
      </c>
      <c r="DP39" s="18">
        <f>DO39*VLOOKUP('Données projet'!$B$14,Paramètres!$A$1:$I$89,3,0)*VLOOKUP('Données projet'!$B$14,Paramètres!$A$1:$I$89,5,0)</f>
        <v>165.39639999999994</v>
      </c>
      <c r="DQ39" s="14">
        <f t="shared" si="43"/>
        <v>42.057328715000679</v>
      </c>
      <c r="DR39" s="22">
        <f t="shared" si="16"/>
        <v>361.31524417862607</v>
      </c>
      <c r="DS39" s="62">
        <f t="shared" si="17"/>
        <v>605.82766241966056</v>
      </c>
      <c r="DT39" s="62">
        <f ca="1">AVERAGE(OFFSET($DS$3,0,0,'Données projet'!$E$14+1,1))-AVERAGE(OFFSET($H$3,0,0,'Données projet'!$E$14+1,1))</f>
        <v>338.33525241236157</v>
      </c>
      <c r="DU39" s="62">
        <f t="shared" si="44"/>
        <v>373.47257029791717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8.4352978241725616</v>
      </c>
      <c r="EB39" s="23">
        <f>EXP(-LN(2)/25)*EB38+(1-EXP(-LN(2)/25))/(LN(2)/25)*Calculateur!DW39*Calculateur!DY39*VLOOKUP('Données projet'!$B$14,Paramètres!$A$1:$I$89,3,0)*0.475*44/12</f>
        <v>32.847568444846893</v>
      </c>
      <c r="EC39" s="23">
        <f>EXP(-LN(2)/2)*EC38+(1-EXP(-LN(2)/2))/(LN(2)/2)*DW39*DZ39*VLOOKUP('Données projet'!$B$14,Paramètres!$A$1:$I$89,3,0)*0.475*44/12</f>
        <v>10.590477652461882</v>
      </c>
      <c r="ED39" s="24">
        <f t="shared" si="18"/>
        <v>51.873343921481336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5.4</v>
      </c>
      <c r="EJ39" s="13">
        <f>IF('Données projet'!$A$192&gt;35,EJ38+EI39-ER38,IF(A39&lt;'Données projet'!$A$192,$EG$205^A39,IF(A39='Données projet'!$A$192,'Données projet'!$B$192,EJ38+EI39-ER38)))</f>
        <v>71.399999999999991</v>
      </c>
      <c r="EK39" s="18">
        <f>EJ39*VLOOKUP('Données projet'!$B$15,Paramètres!$A$1:$I$89,3,0)*VLOOKUP('Données projet'!$B$15,Paramètres!$A$1:$I$89,5,0)</f>
        <v>55.691999999999993</v>
      </c>
      <c r="EL39" s="14">
        <f t="shared" si="45"/>
        <v>16.074393504165204</v>
      </c>
      <c r="EM39" s="22">
        <f t="shared" si="19"/>
        <v>124.99313535308771</v>
      </c>
      <c r="EN39" s="62">
        <f t="shared" si="20"/>
        <v>369.50555359412215</v>
      </c>
      <c r="EO39" s="62">
        <f ca="1">AVERAGE(OFFSET($EN$3,0,0,'Données projet'!$E$15+1,1))-AVERAGE(OFFSET($H$3,0,0,'Données projet'!$E$15+1,1))</f>
        <v>144.92790055195192</v>
      </c>
      <c r="EP39" s="62">
        <f t="shared" si="46"/>
        <v>151.00642748754026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0.94511065557528384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0.94511065557528384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9.6</v>
      </c>
      <c r="N40" s="14">
        <f>IF('Données projet'!$A$36&gt;35,N39+M40-V39,IF(A40&lt;'Données projet'!$A$36,$K$205^A40,IF(A40='Données projet'!$A$36,'Données projet'!$B$36,N39+M40-V39)))</f>
        <v>163.20000000000002</v>
      </c>
      <c r="O40" s="14">
        <f>N40*VLOOKUP('Données projet'!$B$9,Paramètres!$A$1:$I$89,3,0)*VLOOKUP('Données projet'!$B$9,Paramètres!$A$1:$I$89,5,0)</f>
        <v>132.38784000000004</v>
      </c>
      <c r="P40" s="14">
        <f t="shared" si="33"/>
        <v>34.547533199821324</v>
      </c>
      <c r="Q40" s="22">
        <f t="shared" si="53"/>
        <v>290.74577498968887</v>
      </c>
      <c r="R40" s="62">
        <f t="shared" si="0"/>
        <v>536.10512696035994</v>
      </c>
      <c r="S40" s="62">
        <f ca="1">AVERAGE(OFFSET($R$3,0,0,'Données projet'!$E$9+1,1))-AVERAGE(OFFSET($H$3,0,0,'Données projet'!$E$9+1,1))</f>
        <v>259.10606516000064</v>
      </c>
      <c r="T40" s="62">
        <f t="shared" si="34"/>
        <v>316.57989180609252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3.955393975944451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3.955393975944451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</v>
      </c>
      <c r="AI40" s="14">
        <f>IF('Données projet'!$A$62&gt;35,AI39+AH40-AQ39,IF(A40&lt;'Données projet'!$A$62,$AF$205^A40,IF(A40='Données projet'!$A$62,'Données projet'!$B$62,AI39+AH40-AQ39)))</f>
        <v>200</v>
      </c>
      <c r="AJ40" s="14">
        <f>AI40*VLOOKUP('Données projet'!$B$10,Paramètres!$A$1:$I$89,3,0)*VLOOKUP('Données projet'!$B$10,Paramètres!$A$1:$I$89,5,0)</f>
        <v>93.600000000000009</v>
      </c>
      <c r="AK40" s="14">
        <f t="shared" si="35"/>
        <v>25.431466524572937</v>
      </c>
      <c r="AL40" s="22">
        <f t="shared" si="4"/>
        <v>207.31313753029789</v>
      </c>
      <c r="AM40" s="62">
        <f t="shared" si="5"/>
        <v>452.67248950096899</v>
      </c>
      <c r="AN40" s="62">
        <f ca="1">AVERAGE(OFFSET($AM$3,0,0,'Données projet'!$E$10+1,1))-AVERAGE(OFFSET($H$3,0,0,'Données projet'!$E$10+1,1))</f>
        <v>186.83226999296298</v>
      </c>
      <c r="AO40" s="62">
        <f t="shared" si="36"/>
        <v>232.70925470547317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3.5670742211276396</v>
      </c>
      <c r="AV40" s="23">
        <f>EXP(-LN(2)/25)*AV39+(1-EXP(-LN(2)/25))/(LN(2)/25)*Calculateur!AQ40*Calculateur!AS40*VLOOKUP('Données projet'!$B$10,Paramètres!$A$1:$I$89,3,0)*0.475*44/12</f>
        <v>4.369781688429164</v>
      </c>
      <c r="AW40" s="23">
        <f>EXP(-LN(2)/2)*AW39+(1-EXP(-LN(2)/2))/(LN(2)/2)*AQ40*AT40*VLOOKUP('Données projet'!$B$10,Paramètres!$A$1:$I$89,3,0)*0.475*44/12</f>
        <v>0.58076186686224074</v>
      </c>
      <c r="AX40" s="23">
        <f t="shared" si="6"/>
        <v>8.5176177764190442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141.40000000000003</v>
      </c>
      <c r="BE40" s="14">
        <f>BD40*VLOOKUP('Données projet'!$B$11,Paramètres!$A$1:$I$89,3,0)*VLOOKUP('Données projet'!$B$11,Paramètres!$A$1:$I$89,5,0)</f>
        <v>127.93872000000003</v>
      </c>
      <c r="BF40" s="14">
        <f t="shared" si="37"/>
        <v>33.519615889545641</v>
      </c>
      <c r="BG40" s="22">
        <f t="shared" si="7"/>
        <v>281.20660167429202</v>
      </c>
      <c r="BH40" s="62">
        <f t="shared" si="8"/>
        <v>526.56595364496309</v>
      </c>
      <c r="BI40" s="62">
        <f ca="1">AVERAGE(OFFSET($BH$3,0,0,'Données projet'!$E$11+1,1))-AVERAGE(OFFSET($H$3,0,0,'Données projet'!$E$11+1,1))</f>
        <v>435.70500547084868</v>
      </c>
      <c r="BJ40" s="62">
        <f t="shared" si="38"/>
        <v>297.32483725004136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2.3150185261814937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2.3150185261814937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141.40000000000003</v>
      </c>
      <c r="BZ40" s="14">
        <f>BY40*VLOOKUP('Données projet'!$B$12,Paramètres!$A$1:$I$89,3,0)*VLOOKUP('Données projet'!$B$12,Paramètres!$A$1:$I$89,5,0)</f>
        <v>161.02632000000003</v>
      </c>
      <c r="CA40" s="14">
        <f t="shared" si="39"/>
        <v>41.073918532586333</v>
      </c>
      <c r="CB40" s="22">
        <f t="shared" si="10"/>
        <v>351.99124877758794</v>
      </c>
      <c r="CC40" s="62">
        <f t="shared" si="11"/>
        <v>597.35060074825901</v>
      </c>
      <c r="CD40" s="62">
        <f ca="1">AVERAGE(OFFSET($CC$3,0,0,'Données projet'!$E$12+1,1))-AVERAGE(OFFSET($H$3,0,0,'Données projet'!$E$12+1,1))</f>
        <v>530.15080507516973</v>
      </c>
      <c r="CE40" s="62">
        <f t="shared" si="40"/>
        <v>358.10331902702217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2.9137302139870531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2.9137302139870531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7.8</v>
      </c>
      <c r="CT40" s="13">
        <f>IF('Données projet'!$A$140&gt;35,CT39+CS40-DB39,IF(A40&lt;'Données projet'!$A$140,$CQ$205^A40,IF(A40='Données projet'!$A$140,'Données projet'!$B$140,CT39+CS40-DB39)))</f>
        <v>91.600000000000009</v>
      </c>
      <c r="CU40" s="18">
        <f>CT40*VLOOKUP('Données projet'!$B$13,Paramètres!$A$1:$I$89,3,0)*VLOOKUP('Données projet'!$B$13,Paramètres!$A$1:$I$89,5,0)</f>
        <v>78.592800000000011</v>
      </c>
      <c r="CV40" s="14">
        <f t="shared" si="41"/>
        <v>21.792761850487381</v>
      </c>
      <c r="CW40" s="22">
        <f t="shared" si="13"/>
        <v>174.83818688959886</v>
      </c>
      <c r="CX40" s="62">
        <f t="shared" si="14"/>
        <v>420.19753886026996</v>
      </c>
      <c r="CY40" s="62">
        <f ca="1">AVERAGE(OFFSET($CX$3,0,0,'Données projet'!$E$13+1,1))-AVERAGE(OFFSET($H$3,0,0,'Données projet'!$E$13+1,1))</f>
        <v>182.98212193167009</v>
      </c>
      <c r="CZ40" s="62">
        <f t="shared" si="42"/>
        <v>195.9200038944301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3.0796593384404045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3.0796593384404045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29.2</v>
      </c>
      <c r="DO40" s="13">
        <f>IF('Données projet'!$A$166&gt;35,DO39+DN40-DW39,IF(A40&lt;'Données projet'!$A$166,$DL$205^A40,IF(A40='Données projet'!$A$166,'Données projet'!$B$166,DO39+DN40-DW39)))</f>
        <v>403.39999999999981</v>
      </c>
      <c r="DP40" s="18">
        <f>DO40*VLOOKUP('Données projet'!$B$14,Paramètres!$A$1:$I$89,3,0)*VLOOKUP('Données projet'!$B$14,Paramètres!$A$1:$I$89,5,0)</f>
        <v>178.30279999999993</v>
      </c>
      <c r="DQ40" s="14">
        <f t="shared" si="43"/>
        <v>44.944382494974199</v>
      </c>
      <c r="DR40" s="22">
        <f t="shared" si="16"/>
        <v>388.82217617874659</v>
      </c>
      <c r="DS40" s="62">
        <f t="shared" si="17"/>
        <v>634.18152814941766</v>
      </c>
      <c r="DT40" s="62">
        <f ca="1">AVERAGE(OFFSET($DS$3,0,0,'Données projet'!$E$14+1,1))-AVERAGE(OFFSET($H$3,0,0,'Données projet'!$E$14+1,1))</f>
        <v>338.33525241236157</v>
      </c>
      <c r="DU40" s="62">
        <f t="shared" si="44"/>
        <v>373.47257029791717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8.2698867788641817</v>
      </c>
      <c r="EB40" s="23">
        <f>EXP(-LN(2)/25)*EB39+(1-EXP(-LN(2)/25))/(LN(2)/25)*Calculateur!DW40*Calculateur!DY40*VLOOKUP('Données projet'!$B$14,Paramètres!$A$1:$I$89,3,0)*0.475*44/12</f>
        <v>31.949349958344005</v>
      </c>
      <c r="EC40" s="23">
        <f>EXP(-LN(2)/2)*EC39+(1-EXP(-LN(2)/2))/(LN(2)/2)*DW40*DZ40*VLOOKUP('Données projet'!$B$14,Paramètres!$A$1:$I$89,3,0)*0.475*44/12</f>
        <v>7.4885985640603856</v>
      </c>
      <c r="ED40" s="24">
        <f t="shared" si="18"/>
        <v>47.707835301268574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5.4</v>
      </c>
      <c r="EJ40" s="13">
        <f>IF('Données projet'!$A$192&gt;35,EJ39+EI40-ER39,IF(A40&lt;'Données projet'!$A$192,$EG$205^A40,IF(A40='Données projet'!$A$192,'Données projet'!$B$192,EJ39+EI40-ER39)))</f>
        <v>76.8</v>
      </c>
      <c r="EK40" s="18">
        <f>EJ40*VLOOKUP('Données projet'!$B$15,Paramètres!$A$1:$I$89,3,0)*VLOOKUP('Données projet'!$B$15,Paramètres!$A$1:$I$89,5,0)</f>
        <v>59.903999999999996</v>
      </c>
      <c r="EL40" s="14">
        <f t="shared" si="45"/>
        <v>17.143994938960184</v>
      </c>
      <c r="EM40" s="22">
        <f t="shared" si="19"/>
        <v>134.19192451868898</v>
      </c>
      <c r="EN40" s="62">
        <f t="shared" si="20"/>
        <v>379.55127648936008</v>
      </c>
      <c r="EO40" s="62">
        <f ca="1">AVERAGE(OFFSET($EN$3,0,0,'Données projet'!$E$15+1,1))-AVERAGE(OFFSET($H$3,0,0,'Données projet'!$E$15+1,1))</f>
        <v>144.92790055195192</v>
      </c>
      <c r="EP40" s="62">
        <f t="shared" si="46"/>
        <v>151.00642748754026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0.92657761208003164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0.92657761208003164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9.6</v>
      </c>
      <c r="N41" s="14">
        <f>IF('Données projet'!$A$36&gt;35,N40+M41-V40,IF(A41&lt;'Données projet'!$A$36,$K$205^A41,IF(A41='Données projet'!$A$36,'Données projet'!$B$36,N40+M41-V40)))</f>
        <v>172.8</v>
      </c>
      <c r="O41" s="14">
        <f>N41*VLOOKUP('Données projet'!$B$9,Paramètres!$A$1:$I$89,3,0)*VLOOKUP('Données projet'!$B$9,Paramètres!$A$1:$I$89,5,0)</f>
        <v>140.17536000000001</v>
      </c>
      <c r="P41" s="14">
        <f t="shared" si="33"/>
        <v>36.337175081323657</v>
      </c>
      <c r="Q41" s="22">
        <f t="shared" si="53"/>
        <v>307.42599859997205</v>
      </c>
      <c r="R41" s="62">
        <f t="shared" si="0"/>
        <v>553.61759189353074</v>
      </c>
      <c r="S41" s="62">
        <f ca="1">AVERAGE(OFFSET($R$3,0,0,'Données projet'!$E$9+1,1))-AVERAGE(OFFSET($H$3,0,0,'Données projet'!$E$9+1,1))</f>
        <v>259.10606516000064</v>
      </c>
      <c r="T41" s="62">
        <f t="shared" si="34"/>
        <v>316.57989180609252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3.8778311126282858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3.8778311126282858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</v>
      </c>
      <c r="AI41" s="14">
        <f>IF('Données projet'!$A$62&gt;35,AI40+AH41-AQ40,IF(A41&lt;'Données projet'!$A$62,$AF$205^A41,IF(A41='Données projet'!$A$62,'Données projet'!$B$62,AI40+AH41-AQ40)))</f>
        <v>210</v>
      </c>
      <c r="AJ41" s="14">
        <f>AI41*VLOOKUP('Données projet'!$B$10,Paramètres!$A$1:$I$89,3,0)*VLOOKUP('Données projet'!$B$10,Paramètres!$A$1:$I$89,5,0)</f>
        <v>98.28</v>
      </c>
      <c r="AK41" s="14">
        <f t="shared" si="35"/>
        <v>26.551818424463473</v>
      </c>
      <c r="AL41" s="22">
        <f t="shared" si="4"/>
        <v>217.41541708927389</v>
      </c>
      <c r="AM41" s="62">
        <f t="shared" si="5"/>
        <v>463.60701038283264</v>
      </c>
      <c r="AN41" s="62">
        <f ca="1">AVERAGE(OFFSET($AM$3,0,0,'Données projet'!$E$10+1,1))-AVERAGE(OFFSET($H$3,0,0,'Données projet'!$E$10+1,1))</f>
        <v>186.83226999296298</v>
      </c>
      <c r="AO41" s="62">
        <f t="shared" si="36"/>
        <v>232.70925470547317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3.4971260713517691</v>
      </c>
      <c r="AV41" s="23">
        <f>EXP(-LN(2)/25)*AV40+(1-EXP(-LN(2)/25))/(LN(2)/25)*Calculateur!AQ41*Calculateur!AS41*VLOOKUP('Données projet'!$B$10,Paramètres!$A$1:$I$89,3,0)*0.475*44/12</f>
        <v>4.2502897783622364</v>
      </c>
      <c r="AW41" s="23">
        <f>EXP(-LN(2)/2)*AW40+(1-EXP(-LN(2)/2))/(LN(2)/2)*AQ41*AT41*VLOOKUP('Données projet'!$B$10,Paramètres!$A$1:$I$89,3,0)*0.475*44/12</f>
        <v>0.41066065431284932</v>
      </c>
      <c r="AX41" s="23">
        <f t="shared" si="6"/>
        <v>8.1580765040268552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152.60000000000002</v>
      </c>
      <c r="BE41" s="14">
        <f>BD41*VLOOKUP('Données projet'!$B$11,Paramètres!$A$1:$I$89,3,0)*VLOOKUP('Données projet'!$B$11,Paramètres!$A$1:$I$89,5,0)</f>
        <v>138.07248000000001</v>
      </c>
      <c r="BF41" s="14">
        <f t="shared" si="37"/>
        <v>35.85508207677799</v>
      </c>
      <c r="BG41" s="22">
        <f t="shared" si="7"/>
        <v>302.9238372837217</v>
      </c>
      <c r="BH41" s="62">
        <f t="shared" si="8"/>
        <v>549.11543057728045</v>
      </c>
      <c r="BI41" s="62">
        <f ca="1">AVERAGE(OFFSET($BH$3,0,0,'Données projet'!$E$11+1,1))-AVERAGE(OFFSET($H$3,0,0,'Données projet'!$E$11+1,1))</f>
        <v>435.70500547084868</v>
      </c>
      <c r="BJ41" s="62">
        <f t="shared" si="38"/>
        <v>297.32483725004136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2.2696224249049499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2.2696224249049499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152.60000000000002</v>
      </c>
      <c r="BZ41" s="14">
        <f>BY41*VLOOKUP('Données projet'!$B$12,Paramètres!$A$1:$I$89,3,0)*VLOOKUP('Données projet'!$B$12,Paramètres!$A$1:$I$89,5,0)</f>
        <v>173.78088000000002</v>
      </c>
      <c r="CA41" s="14">
        <f t="shared" si="39"/>
        <v>43.935727815428123</v>
      </c>
      <c r="CB41" s="22">
        <f t="shared" si="10"/>
        <v>379.18975861187067</v>
      </c>
      <c r="CC41" s="62">
        <f t="shared" si="11"/>
        <v>625.38135190542937</v>
      </c>
      <c r="CD41" s="62">
        <f ca="1">AVERAGE(OFFSET($CC$3,0,0,'Données projet'!$E$12+1,1))-AVERAGE(OFFSET($H$3,0,0,'Données projet'!$E$12+1,1))</f>
        <v>530.15080507516973</v>
      </c>
      <c r="CE41" s="62">
        <f t="shared" si="40"/>
        <v>358.10331902702217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2.8565937416907135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2.8565937416907135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7.8</v>
      </c>
      <c r="CT41" s="13">
        <f>IF('Données projet'!$A$140&gt;35,CT40+CS41-DB40,IF(A41&lt;'Données projet'!$A$140,$CQ$205^A41,IF(A41='Données projet'!$A$140,'Données projet'!$B$140,CT40+CS41-DB40)))</f>
        <v>99.4</v>
      </c>
      <c r="CU41" s="18">
        <f>CT41*VLOOKUP('Données projet'!$B$13,Paramètres!$A$1:$I$89,3,0)*VLOOKUP('Données projet'!$B$13,Paramètres!$A$1:$I$89,5,0)</f>
        <v>85.285200000000017</v>
      </c>
      <c r="CV41" s="14">
        <f t="shared" si="41"/>
        <v>23.424592345455938</v>
      </c>
      <c r="CW41" s="22">
        <f t="shared" si="13"/>
        <v>189.33622166833575</v>
      </c>
      <c r="CX41" s="62">
        <f t="shared" si="14"/>
        <v>435.52781496189448</v>
      </c>
      <c r="CY41" s="62">
        <f ca="1">AVERAGE(OFFSET($CX$3,0,0,'Données projet'!$E$13+1,1))-AVERAGE(OFFSET($H$3,0,0,'Données projet'!$E$13+1,1))</f>
        <v>182.98212193167009</v>
      </c>
      <c r="CZ41" s="62">
        <f t="shared" si="42"/>
        <v>195.9200038944301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3.0192690972203073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3.0192690972203073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29.2</v>
      </c>
      <c r="DO41" s="13">
        <f>IF('Données projet'!$A$166&gt;35,DO40+DN41-DW40,IF(A41&lt;'Données projet'!$A$166,$DL$205^A41,IF(A41='Données projet'!$A$166,'Données projet'!$B$166,DO40+DN41-DW40)))</f>
        <v>432.5999999999998</v>
      </c>
      <c r="DP41" s="18">
        <f>DO41*VLOOKUP('Données projet'!$B$14,Paramètres!$A$1:$I$89,3,0)*VLOOKUP('Données projet'!$B$14,Paramètres!$A$1:$I$89,5,0)</f>
        <v>191.20919999999992</v>
      </c>
      <c r="DQ41" s="14">
        <f t="shared" si="43"/>
        <v>47.807191015656663</v>
      </c>
      <c r="DR41" s="22">
        <f t="shared" si="16"/>
        <v>416.28688101893516</v>
      </c>
      <c r="DS41" s="62">
        <f t="shared" si="17"/>
        <v>662.47847431249386</v>
      </c>
      <c r="DT41" s="62">
        <f ca="1">AVERAGE(OFFSET($DS$3,0,0,'Données projet'!$E$14+1,1))-AVERAGE(OFFSET($H$3,0,0,'Données projet'!$E$14+1,1))</f>
        <v>338.33525241236157</v>
      </c>
      <c r="DU41" s="62">
        <f t="shared" si="44"/>
        <v>373.47257029791717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8.1077193432635237</v>
      </c>
      <c r="EB41" s="23">
        <f>EXP(-LN(2)/25)*EB40+(1-EXP(-LN(2)/25))/(LN(2)/25)*Calculateur!DW41*Calculateur!DY41*VLOOKUP('Données projet'!$B$14,Paramètres!$A$1:$I$89,3,0)*0.475*44/12</f>
        <v>31.075693303589794</v>
      </c>
      <c r="EC41" s="23">
        <f>EXP(-LN(2)/2)*EC40+(1-EXP(-LN(2)/2))/(LN(2)/2)*DW41*DZ41*VLOOKUP('Données projet'!$B$14,Paramètres!$A$1:$I$89,3,0)*0.475*44/12</f>
        <v>5.2952388262309418</v>
      </c>
      <c r="ED41" s="24">
        <f t="shared" si="18"/>
        <v>44.478651473084263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5.4</v>
      </c>
      <c r="EJ41" s="13">
        <f>IF('Données projet'!$A$192&gt;35,EJ40+EI41-ER40,IF(A41&lt;'Données projet'!$A$192,$EG$205^A41,IF(A41='Données projet'!$A$192,'Données projet'!$B$192,EJ40+EI41-ER40)))</f>
        <v>82.2</v>
      </c>
      <c r="EK41" s="18">
        <f>EJ41*VLOOKUP('Données projet'!$B$15,Paramètres!$A$1:$I$89,3,0)*VLOOKUP('Données projet'!$B$15,Paramètres!$A$1:$I$89,5,0)</f>
        <v>64.116</v>
      </c>
      <c r="EL41" s="14">
        <f t="shared" si="45"/>
        <v>18.204870493705258</v>
      </c>
      <c r="EM41" s="22">
        <f t="shared" si="19"/>
        <v>143.37551610986998</v>
      </c>
      <c r="EN41" s="62">
        <f t="shared" si="20"/>
        <v>389.56710940342873</v>
      </c>
      <c r="EO41" s="62">
        <f ca="1">AVERAGE(OFFSET($EN$3,0,0,'Données projet'!$E$15+1,1))-AVERAGE(OFFSET($H$3,0,0,'Données projet'!$E$15+1,1))</f>
        <v>144.92790055195192</v>
      </c>
      <c r="EP41" s="62">
        <f t="shared" si="46"/>
        <v>151.00642748754026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0.90840799026368102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0.90840799026368102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9.6</v>
      </c>
      <c r="N42" s="14">
        <f>IF('Données projet'!$A$36&gt;35,N41+M42-V41,IF(A42&lt;'Données projet'!$A$36,$K$205^A42,IF(A42='Données projet'!$A$36,'Données projet'!$B$36,N41+M42-V41)))</f>
        <v>182.4</v>
      </c>
      <c r="O42" s="14">
        <f>N42*VLOOKUP('Données projet'!$B$9,Paramètres!$A$1:$I$89,3,0)*VLOOKUP('Données projet'!$B$9,Paramètres!$A$1:$I$89,5,0)</f>
        <v>147.96288000000001</v>
      </c>
      <c r="P42" s="14">
        <f t="shared" si="33"/>
        <v>38.115275017059226</v>
      </c>
      <c r="Q42" s="22">
        <f t="shared" si="53"/>
        <v>324.0861199880448</v>
      </c>
      <c r="R42" s="62">
        <f t="shared" si="0"/>
        <v>571.09551707815194</v>
      </c>
      <c r="S42" s="62">
        <f ca="1">AVERAGE(OFFSET($R$3,0,0,'Données projet'!$E$9+1,1))-AVERAGE(OFFSET($H$3,0,0,'Données projet'!$E$9+1,1))</f>
        <v>259.10606516000064</v>
      </c>
      <c r="T42" s="62">
        <f t="shared" si="34"/>
        <v>316.57989180609252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3.8017892097530757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3.8017892097530757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</v>
      </c>
      <c r="AI42" s="14">
        <f>IF('Données projet'!$A$62&gt;35,AI41+AH42-AQ41,IF(A42&lt;'Données projet'!$A$62,$AF$205^A42,IF(A42='Données projet'!$A$62,'Données projet'!$B$62,AI41+AH42-AQ41)))</f>
        <v>220</v>
      </c>
      <c r="AJ42" s="14">
        <f>AI42*VLOOKUP('Données projet'!$B$10,Paramètres!$A$1:$I$89,3,0)*VLOOKUP('Données projet'!$B$10,Paramètres!$A$1:$I$89,5,0)</f>
        <v>102.96000000000001</v>
      </c>
      <c r="AK42" s="14">
        <f t="shared" si="35"/>
        <v>27.665975080374633</v>
      </c>
      <c r="AL42" s="22">
        <f t="shared" si="4"/>
        <v>227.50690659831915</v>
      </c>
      <c r="AM42" s="62">
        <f t="shared" si="5"/>
        <v>474.51630368842626</v>
      </c>
      <c r="AN42" s="62">
        <f ca="1">AVERAGE(OFFSET($AM$3,0,0,'Données projet'!$E$10+1,1))-AVERAGE(OFFSET($H$3,0,0,'Données projet'!$E$10+1,1))</f>
        <v>186.83226999296298</v>
      </c>
      <c r="AO42" s="62">
        <f t="shared" si="36"/>
        <v>232.70925470547317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3.4285495621288447</v>
      </c>
      <c r="AV42" s="23">
        <f>EXP(-LN(2)/25)*AV41+(1-EXP(-LN(2)/25))/(LN(2)/25)*Calculateur!AQ42*Calculateur!AS42*VLOOKUP('Données projet'!$B$10,Paramètres!$A$1:$I$89,3,0)*0.475*44/12</f>
        <v>4.1340653808598962</v>
      </c>
      <c r="AW42" s="23">
        <f>EXP(-LN(2)/2)*AW41+(1-EXP(-LN(2)/2))/(LN(2)/2)*AQ42*AT42*VLOOKUP('Données projet'!$B$10,Paramètres!$A$1:$I$89,3,0)*0.475*44/12</f>
        <v>0.29038093343112037</v>
      </c>
      <c r="AX42" s="23">
        <f t="shared" si="6"/>
        <v>7.852995876419862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163.80000000000001</v>
      </c>
      <c r="BE42" s="14">
        <f>BD42*VLOOKUP('Données projet'!$B$11,Paramètres!$A$1:$I$89,3,0)*VLOOKUP('Données projet'!$B$11,Paramètres!$A$1:$I$89,5,0)</f>
        <v>148.20624000000001</v>
      </c>
      <c r="BF42" s="14">
        <f t="shared" si="37"/>
        <v>38.170662245893794</v>
      </c>
      <c r="BG42" s="22">
        <f t="shared" si="7"/>
        <v>324.60643807826506</v>
      </c>
      <c r="BH42" s="62">
        <f t="shared" si="8"/>
        <v>571.6158351683722</v>
      </c>
      <c r="BI42" s="62">
        <f ca="1">AVERAGE(OFFSET($BH$3,0,0,'Données projet'!$E$11+1,1))-AVERAGE(OFFSET($H$3,0,0,'Données projet'!$E$11+1,1))</f>
        <v>435.70500547084868</v>
      </c>
      <c r="BJ42" s="62">
        <f t="shared" si="38"/>
        <v>297.32483725004136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2.2251165134855517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2.2251165134855517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163.80000000000001</v>
      </c>
      <c r="BZ42" s="14">
        <f>BY42*VLOOKUP('Données projet'!$B$12,Paramètres!$A$1:$I$89,3,0)*VLOOKUP('Données projet'!$B$12,Paramètres!$A$1:$I$89,5,0)</f>
        <v>186.53544000000002</v>
      </c>
      <c r="CA42" s="14">
        <f t="shared" si="39"/>
        <v>46.773169376075565</v>
      </c>
      <c r="CB42" s="22">
        <f t="shared" si="10"/>
        <v>406.34582799666504</v>
      </c>
      <c r="CC42" s="62">
        <f t="shared" si="11"/>
        <v>653.35522508677218</v>
      </c>
      <c r="CD42" s="62">
        <f ca="1">AVERAGE(OFFSET($CC$3,0,0,'Données projet'!$E$12+1,1))-AVERAGE(OFFSET($H$3,0,0,'Données projet'!$E$12+1,1))</f>
        <v>530.15080507516973</v>
      </c>
      <c r="CE42" s="62">
        <f t="shared" si="40"/>
        <v>358.10331902702217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2.8005776807662981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2.8005776807662981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7.8</v>
      </c>
      <c r="CT42" s="13">
        <f>IF('Données projet'!$A$140&gt;35,CT41+CS42-DB41,IF(A42&lt;'Données projet'!$A$140,$CQ$205^A42,IF(A42='Données projet'!$A$140,'Données projet'!$B$140,CT41+CS42-DB41)))</f>
        <v>107.2</v>
      </c>
      <c r="CU42" s="18">
        <f>CT42*VLOOKUP('Données projet'!$B$13,Paramètres!$A$1:$I$89,3,0)*VLOOKUP('Données projet'!$B$13,Paramètres!$A$1:$I$89,5,0)</f>
        <v>91.97760000000001</v>
      </c>
      <c r="CV42" s="14">
        <f t="shared" si="41"/>
        <v>25.041569477819937</v>
      </c>
      <c r="CW42" s="22">
        <f t="shared" si="13"/>
        <v>203.8083868405364</v>
      </c>
      <c r="CX42" s="62">
        <f t="shared" si="14"/>
        <v>450.81778393064349</v>
      </c>
      <c r="CY42" s="62">
        <f ca="1">AVERAGE(OFFSET($CX$3,0,0,'Données projet'!$E$13+1,1))-AVERAGE(OFFSET($H$3,0,0,'Données projet'!$E$13+1,1))</f>
        <v>182.98212193167009</v>
      </c>
      <c r="CZ42" s="62">
        <f t="shared" si="42"/>
        <v>195.9200038944301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2.9600630717961263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2.9600630717961263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29.2</v>
      </c>
      <c r="DO42" s="13">
        <f>IF('Données projet'!$A$166&gt;35,DO41+DN42-DW41,IF(A42&lt;'Données projet'!$A$166,$DL$205^A42,IF(A42='Données projet'!$A$166,'Données projet'!$B$166,DO41+DN42-DW41)))</f>
        <v>461.79999999999978</v>
      </c>
      <c r="DP42" s="18">
        <f>DO42*VLOOKUP('Données projet'!$B$14,Paramètres!$A$1:$I$89,3,0)*VLOOKUP('Données projet'!$B$14,Paramètres!$A$1:$I$89,5,0)</f>
        <v>204.11559999999994</v>
      </c>
      <c r="DQ42" s="14">
        <f t="shared" si="43"/>
        <v>50.647576998395735</v>
      </c>
      <c r="DR42" s="22">
        <f t="shared" si="16"/>
        <v>443.7125332722058</v>
      </c>
      <c r="DS42" s="62">
        <f t="shared" si="17"/>
        <v>690.72193036231295</v>
      </c>
      <c r="DT42" s="62">
        <f ca="1">AVERAGE(OFFSET($DS$3,0,0,'Données projet'!$E$14+1,1))-AVERAGE(OFFSET($H$3,0,0,'Données projet'!$E$14+1,1))</f>
        <v>338.33525241236157</v>
      </c>
      <c r="DU42" s="62">
        <f t="shared" si="44"/>
        <v>373.47257029791717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7.9487319121626259</v>
      </c>
      <c r="EB42" s="23">
        <f>EXP(-LN(2)/25)*EB41+(1-EXP(-LN(2)/25))/(LN(2)/25)*Calculateur!DW42*Calculateur!DY42*VLOOKUP('Données projet'!$B$14,Paramètres!$A$1:$I$89,3,0)*0.475*44/12</f>
        <v>30.225926836003445</v>
      </c>
      <c r="EC42" s="23">
        <f>EXP(-LN(2)/2)*EC41+(1-EXP(-LN(2)/2))/(LN(2)/2)*DW42*DZ42*VLOOKUP('Données projet'!$B$14,Paramètres!$A$1:$I$89,3,0)*0.475*44/12</f>
        <v>3.7442992820301937</v>
      </c>
      <c r="ED42" s="24">
        <f t="shared" si="18"/>
        <v>41.918958030196265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5.4</v>
      </c>
      <c r="EJ42" s="13">
        <f>IF('Données projet'!$A$192&gt;35,EJ41+EI42-ER41,IF(A42&lt;'Données projet'!$A$192,$EG$205^A42,IF(A42='Données projet'!$A$192,'Données projet'!$B$192,EJ41+EI42-ER41)))</f>
        <v>87.600000000000009</v>
      </c>
      <c r="EK42" s="18">
        <f>EJ42*VLOOKUP('Données projet'!$B$15,Paramètres!$A$1:$I$89,3,0)*VLOOKUP('Données projet'!$B$15,Paramètres!$A$1:$I$89,5,0)</f>
        <v>68.328000000000003</v>
      </c>
      <c r="EL42" s="14">
        <f t="shared" si="45"/>
        <v>19.257658633553156</v>
      </c>
      <c r="EM42" s="22">
        <f t="shared" si="19"/>
        <v>152.54502212010507</v>
      </c>
      <c r="EN42" s="62">
        <f t="shared" si="20"/>
        <v>399.55441921021219</v>
      </c>
      <c r="EO42" s="62">
        <f ca="1">AVERAGE(OFFSET($EN$3,0,0,'Données projet'!$E$15+1,1))-AVERAGE(OFFSET($H$3,0,0,'Données projet'!$E$15+1,1))</f>
        <v>144.92790055195192</v>
      </c>
      <c r="EP42" s="62">
        <f t="shared" si="46"/>
        <v>151.00642748754026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0.89059466364877404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0.89059466364877404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192</v>
      </c>
      <c r="L43" s="13">
        <f>VLOOKUP(A43,'Données projet'!$A$35:$I$55,9,0)</f>
        <v>9.6</v>
      </c>
      <c r="M43" s="13">
        <f t="array" ref="M43">INDEX(L:L,MIN(IF(ISNUMBER(L43:L239),ROW(L43:L239),"")))</f>
        <v>9.6</v>
      </c>
      <c r="N43" s="14">
        <f>IF('Données projet'!$A$36&gt;35,N42+M43-V42,IF(A43&lt;'Données projet'!$A$36,$K$205^A43,IF(A43='Données projet'!$A$36,'Données projet'!$B$36,N42+M43-V42)))</f>
        <v>192</v>
      </c>
      <c r="O43" s="14">
        <f>N43*VLOOKUP('Données projet'!$B$9,Paramètres!$A$1:$I$89,3,0)*VLOOKUP('Données projet'!$B$9,Paramètres!$A$1:$I$89,5,0)</f>
        <v>155.75040000000001</v>
      </c>
      <c r="P43" s="14">
        <f t="shared" si="33"/>
        <v>39.882509755133754</v>
      </c>
      <c r="Q43" s="22">
        <f t="shared" si="53"/>
        <v>340.72731782352463</v>
      </c>
      <c r="R43" s="62">
        <f t="shared" si="0"/>
        <v>588.54033164264547</v>
      </c>
      <c r="S43" s="62">
        <f ca="1">AVERAGE(OFFSET($R$3,0,0,'Données projet'!$E$9+1,1))-AVERAGE(OFFSET($H$3,0,0,'Données projet'!$E$9+1,1))</f>
        <v>259.10606516000064</v>
      </c>
      <c r="T43" s="62">
        <f t="shared" si="34"/>
        <v>316.57989180609252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0.17200000000000001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8.0460229083725228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8.0460229083725228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230</v>
      </c>
      <c r="AG43" s="13">
        <f>VLOOKUP(A43,'Données projet'!$A$61:$I$81,9,0)</f>
        <v>10</v>
      </c>
      <c r="AH43" s="13">
        <f t="array" ref="AH43">INDEX(AG:AG,MIN(IF(ISNUMBER(AG43:AG239),ROW(AG43:AG239),"")))</f>
        <v>10</v>
      </c>
      <c r="AI43" s="14">
        <f>IF('Données projet'!$A$62&gt;35,AI42+AH43-AQ42,IF(A43&lt;'Données projet'!$A$62,$AF$205^A43,IF(A43='Données projet'!$A$62,'Données projet'!$B$62,AI42+AH43-AQ42)))</f>
        <v>230</v>
      </c>
      <c r="AJ43" s="14">
        <f>AI43*VLOOKUP('Données projet'!$B$10,Paramètres!$A$1:$I$89,3,0)*VLOOKUP('Données projet'!$B$10,Paramètres!$A$1:$I$89,5,0)</f>
        <v>107.64</v>
      </c>
      <c r="AK43" s="14">
        <f t="shared" si="35"/>
        <v>28.774250263353583</v>
      </c>
      <c r="AL43" s="22">
        <f t="shared" si="4"/>
        <v>237.58815254200749</v>
      </c>
      <c r="AM43" s="62">
        <f t="shared" si="5"/>
        <v>485.40116636112828</v>
      </c>
      <c r="AN43" s="62">
        <f ca="1">AVERAGE(OFFSET($AM$3,0,0,'Données projet'!$E$10+1,1))-AVERAGE(OFFSET($H$3,0,0,'Données projet'!$E$10+1,1))</f>
        <v>186.83226999296298</v>
      </c>
      <c r="AO43" s="62">
        <f t="shared" si="36"/>
        <v>232.70925470547317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40</v>
      </c>
      <c r="AR43" s="17">
        <f>IF(ISNA(VLOOKUP(A43,'Données projet'!$A$61:$I$81,5,0)),0%,VLOOKUP(A43,'Données projet'!$A$61:$I$81,5,0)*VLOOKUP('Données projet'!$B$10,Paramètres!$A$1:$I$89,7,0))</f>
        <v>0.27500000000000002</v>
      </c>
      <c r="AS43" s="17">
        <f>IF(ISNA(VLOOKUP(A43,'Données projet'!$A$61:$I$81,6,0)),0%,VLOOKUP(A43,'Données projet'!$A$61:$I$81,6,0)*VLOOKUP('Données projet'!$B$10,Paramètres!$A$1:$I$89,7,0))</f>
        <v>0.15400000000000003</v>
      </c>
      <c r="AT43" s="17">
        <f>IF(ISNA(VLOOKUP(A43,'Données projet'!$A$61:$I$81,7,0)),0%,VLOOKUP(A43,'Données projet'!$A$61:$I$81,7,0))</f>
        <v>0.22</v>
      </c>
      <c r="AU43" s="23">
        <f>EXP(-LN(2)/35)*AU42+(1-EXP(-LN(2)/35))/(LN(2)/35)*AQ43*AR43*VLOOKUP('Données projet'!$B$10,Paramètres!$A$1:$I$89,3,0)*0.475*44/12</f>
        <v>10.190471613026993</v>
      </c>
      <c r="AV43" s="23">
        <f>EXP(-LN(2)/25)*AV42+(1-EXP(-LN(2)/25))/(LN(2)/25)*Calculateur!AQ43*Calculateur!AS43*VLOOKUP('Données projet'!$B$10,Paramètres!$A$1:$I$89,3,0)*0.475*44/12</f>
        <v>7.8302874537317333</v>
      </c>
      <c r="AW43" s="23">
        <f>EXP(-LN(2)/2)*AW42+(1-EXP(-LN(2)/2))/(LN(2)/2)*AQ43*AT43*VLOOKUP('Données projet'!$B$10,Paramètres!$A$1:$I$89,3,0)*0.475*44/12</f>
        <v>4.8683158212894213</v>
      </c>
      <c r="AX43" s="23">
        <f t="shared" si="6"/>
        <v>22.88907488804815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</v>
      </c>
      <c r="BE43" s="14">
        <f>BD43*VLOOKUP('Données projet'!$B$11,Paramètres!$A$1:$I$89,3,0)*VLOOKUP('Données projet'!$B$11,Paramètres!$A$1:$I$89,5,0)</f>
        <v>158.34</v>
      </c>
      <c r="BF43" s="14">
        <f t="shared" si="37"/>
        <v>40.467870812652819</v>
      </c>
      <c r="BG43" s="22">
        <f t="shared" si="7"/>
        <v>346.25704166537031</v>
      </c>
      <c r="BH43" s="62">
        <f t="shared" si="8"/>
        <v>594.07005548449115</v>
      </c>
      <c r="BI43" s="62">
        <f ca="1">AVERAGE(OFFSET($BH$3,0,0,'Données projet'!$E$11+1,1))-AVERAGE(OFFSET($H$3,0,0,'Données projet'!$E$11+1,1))</f>
        <v>435.70500547084868</v>
      </c>
      <c r="BJ43" s="62">
        <f t="shared" si="38"/>
        <v>297.32483725004136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8.6000000000000007E-2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4.590036211201765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4.590036211201765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</v>
      </c>
      <c r="BZ43" s="14">
        <f>BY43*VLOOKUP('Données projet'!$B$12,Paramètres!$A$1:$I$89,3,0)*VLOOKUP('Données projet'!$B$12,Paramètres!$A$1:$I$89,5,0)</f>
        <v>199.29000000000002</v>
      </c>
      <c r="CA43" s="14">
        <f t="shared" si="39"/>
        <v>49.588098933572269</v>
      </c>
      <c r="CB43" s="22">
        <f t="shared" si="10"/>
        <v>433.46268897597173</v>
      </c>
      <c r="CC43" s="62">
        <f t="shared" si="11"/>
        <v>681.27570279509257</v>
      </c>
      <c r="CD43" s="62">
        <f ca="1">AVERAGE(OFFSET($CC$3,0,0,'Données projet'!$E$12+1,1))-AVERAGE(OFFSET($H$3,0,0,'Données projet'!$E$12+1,1))</f>
        <v>530.15080507516973</v>
      </c>
      <c r="CE43" s="62">
        <f t="shared" si="40"/>
        <v>358.10331902702217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8.6000000000000007E-2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5.7771145416849814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5.7771145416849814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115</v>
      </c>
      <c r="CR43" s="13">
        <f>VLOOKUP(A43,'Données projet'!$A$139:$I$159,9,0)</f>
        <v>7.8</v>
      </c>
      <c r="CS43" s="13">
        <f t="array" ref="CS43">INDEX(CR:CR,MIN(IF(ISNUMBER(CR43:CR239),ROW(CR43:CR239),"")))</f>
        <v>7.8</v>
      </c>
      <c r="CT43" s="13">
        <f>IF('Données projet'!$A$140&gt;35,CT42+CS43-DB42,IF(A43&lt;'Données projet'!$A$140,$CQ$205^A43,IF(A43='Données projet'!$A$140,'Données projet'!$B$140,CT42+CS43-DB42)))</f>
        <v>115</v>
      </c>
      <c r="CU43" s="18">
        <f>CT43*VLOOKUP('Données projet'!$B$13,Paramètres!$A$1:$I$89,3,0)*VLOOKUP('Données projet'!$B$13,Paramètres!$A$1:$I$89,5,0)</f>
        <v>98.670000000000016</v>
      </c>
      <c r="CV43" s="14">
        <f t="shared" si="41"/>
        <v>26.644896901954091</v>
      </c>
      <c r="CW43" s="22">
        <f t="shared" si="13"/>
        <v>218.25677877090342</v>
      </c>
      <c r="CX43" s="62">
        <f t="shared" si="14"/>
        <v>466.06979259002424</v>
      </c>
      <c r="CY43" s="62">
        <f ca="1">AVERAGE(OFFSET($CX$3,0,0,'Données projet'!$E$13+1,1))-AVERAGE(OFFSET($H$3,0,0,'Données projet'!$E$13+1,1))</f>
        <v>182.98212193167009</v>
      </c>
      <c r="CZ43" s="62">
        <f t="shared" si="42"/>
        <v>195.9200038944301</v>
      </c>
      <c r="DA43" s="16">
        <f>IF(ISNA(VLOOKUP(A43,'Données projet'!$A$139:$I$159,3,0)),0,VLOOKUP(A43,'Données projet'!$A$139:$I$159,3,0))</f>
        <v>4</v>
      </c>
      <c r="DB43" s="16">
        <f>IF(ISNA(VLOOKUP(A43,'Données projet'!$A$139:$I$159,4,0)),0,VLOOKUP(A43,'Données projet'!$A$139:$I$159,4,0))</f>
        <v>21</v>
      </c>
      <c r="DC43" s="17">
        <f>IF(ISNA(VLOOKUP(A43,'Données projet'!$A$139:$I$159,5,0)),0%,VLOOKUP(A43,'Données projet'!$A$139:$I$159,5,0)*VLOOKUP('Données projet'!$B$13,Paramètres!$A$1:$I$89,7,0))</f>
        <v>0.21200000000000002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7.1247114836844405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7.1247114836844405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491</v>
      </c>
      <c r="DM43" s="13">
        <f>VLOOKUP(A43,'Données projet'!$A$165:$I$185,9,0)</f>
        <v>29.2</v>
      </c>
      <c r="DN43" s="13">
        <f t="array" ref="DN43">INDEX(DM:DM,MIN(IF(ISNUMBER(DM43:DM239),ROW(DM43:DM239),"")))</f>
        <v>29.2</v>
      </c>
      <c r="DO43" s="13">
        <f>IF('Données projet'!$A$166&gt;35,DO42+DN43-DW42,IF(A43&lt;'Données projet'!$A$166,$DL$205^A43,IF(A43='Données projet'!$A$166,'Données projet'!$B$166,DO42+DN43-DW42)))</f>
        <v>490.99999999999977</v>
      </c>
      <c r="DP43" s="18">
        <f>DO43*VLOOKUP('Données projet'!$B$14,Paramètres!$A$1:$I$89,3,0)*VLOOKUP('Données projet'!$B$14,Paramètres!$A$1:$I$89,5,0)</f>
        <v>217.02199999999993</v>
      </c>
      <c r="DQ43" s="14">
        <f t="shared" si="43"/>
        <v>53.467119630174551</v>
      </c>
      <c r="DR43" s="22">
        <f t="shared" si="16"/>
        <v>471.1018833558872</v>
      </c>
      <c r="DS43" s="62">
        <f t="shared" si="17"/>
        <v>718.91489717500804</v>
      </c>
      <c r="DT43" s="62">
        <f ca="1">AVERAGE(OFFSET($DS$3,0,0,'Données projet'!$E$14+1,1))-AVERAGE(OFFSET($H$3,0,0,'Données projet'!$E$14+1,1))</f>
        <v>338.33525241236157</v>
      </c>
      <c r="DU43" s="62">
        <f t="shared" si="44"/>
        <v>373.47257029791717</v>
      </c>
      <c r="DV43" s="16">
        <f>IF(ISNA(VLOOKUP(A43,'Données projet'!$A$165:$I$185,3,0)),0,VLOOKUP(A43,'Données projet'!$A$165:$I$185,3,0))</f>
        <v>6</v>
      </c>
      <c r="DW43" s="16">
        <f>IF(ISNA(VLOOKUP(A43,'Données projet'!$A$165:$I$185,4,0)),0,VLOOKUP(A43,'Données projet'!$A$165:$I$185,4,0))</f>
        <v>70</v>
      </c>
      <c r="DX43" s="17">
        <f>IF(ISNA(VLOOKUP(A43,'Données projet'!$A$165:$I$185,5,0)),0%,VLOOKUP(A43,'Données projet'!$A$165:$I$185,5,0)*VLOOKUP('Données projet'!$B$14,Paramètres!$A$1:$I$89,7,0))</f>
        <v>0.22000000000000003</v>
      </c>
      <c r="DY43" s="17">
        <f>IF(ISNA(VLOOKUP(A43,'Données projet'!$A$165:$I$185,6,0)),0%,VLOOKUP(A43,'Données projet'!$A$165:$I$185,6,0)*VLOOKUP('Données projet'!$B$14,Paramètres!$A$1:$I$89,7,0))</f>
        <v>0.18480000000000002</v>
      </c>
      <c r="DZ43" s="17">
        <f>IF(ISNA(VLOOKUP(A43,'Données projet'!$A$165:$I$185,7,0)),0%,VLOOKUP(A43,'Données projet'!$A$165:$I$185,7,0))</f>
        <v>0.26400000000000001</v>
      </c>
      <c r="EA43" s="23">
        <f>EXP(-LN(2)/35)*EA42+(1-EXP(-LN(2)/35))/(LN(2)/35)*DW43*DX43*VLOOKUP('Données projet'!$B$14,Paramètres!$A$1:$I$89,3,0)*0.475*44/12</f>
        <v>16.822521062898723</v>
      </c>
      <c r="EB43" s="23">
        <f>EXP(-LN(2)/25)*EB42+(1-EXP(-LN(2)/25))/(LN(2)/25)*Calculateur!DW43*Calculateur!DY43*VLOOKUP('Données projet'!$B$14,Paramètres!$A$1:$I$89,3,0)*0.475*44/12</f>
        <v>36.954446088250315</v>
      </c>
      <c r="EC43" s="23">
        <f>EXP(-LN(2)/2)*EC42+(1-EXP(-LN(2)/2))/(LN(2)/2)*DW43*DZ43*VLOOKUP('Données projet'!$B$14,Paramètres!$A$1:$I$89,3,0)*0.475*44/12</f>
        <v>11.895873976479249</v>
      </c>
      <c r="ED43" s="24">
        <f t="shared" si="18"/>
        <v>65.672841127628288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93</v>
      </c>
      <c r="EH43" s="13">
        <f>VLOOKUP(A43,'Données projet'!$A$191:$I$211,9,0)</f>
        <v>5.4</v>
      </c>
      <c r="EI43" s="13">
        <f t="array" ref="EI43">INDEX(EH:EH,MIN(IF(ISNUMBER(EH43:EH239),ROW(EH43:EH239),"")))</f>
        <v>5.4</v>
      </c>
      <c r="EJ43" s="13">
        <f>IF('Données projet'!$A$192&gt;35,EJ42+EI43-ER42,IF(A43&lt;'Données projet'!$A$192,$EG$205^A43,IF(A43='Données projet'!$A$192,'Données projet'!$B$192,EJ42+EI43-ER42)))</f>
        <v>93.000000000000014</v>
      </c>
      <c r="EK43" s="18">
        <f>EJ43*VLOOKUP('Données projet'!$B$15,Paramètres!$A$1:$I$89,3,0)*VLOOKUP('Données projet'!$B$15,Paramètres!$A$1:$I$89,5,0)</f>
        <v>72.54000000000002</v>
      </c>
      <c r="EL43" s="14">
        <f t="shared" si="45"/>
        <v>20.302914660456786</v>
      </c>
      <c r="EM43" s="22">
        <f t="shared" si="19"/>
        <v>161.70140970029561</v>
      </c>
      <c r="EN43" s="62">
        <f t="shared" si="20"/>
        <v>409.51442351941643</v>
      </c>
      <c r="EO43" s="62">
        <f ca="1">AVERAGE(OFFSET($EN$3,0,0,'Données projet'!$E$15+1,1))-AVERAGE(OFFSET($H$3,0,0,'Données projet'!$E$15+1,1))</f>
        <v>144.92790055195192</v>
      </c>
      <c r="EP43" s="62">
        <f t="shared" si="46"/>
        <v>151.00642748754026</v>
      </c>
      <c r="EQ43" s="16">
        <f>IF(ISNA(VLOOKUP(A43,'Données projet'!$A$191:$I$211,3,0)),0,VLOOKUP(A43,'Données projet'!$A$191:$I$211,3,0))</f>
        <v>4</v>
      </c>
      <c r="ER43" s="16">
        <f>IF(ISNA(VLOOKUP(A43,'Données projet'!$A$191:$I$211,4,0)),0,VLOOKUP(A43,'Données projet'!$A$191:$I$211,4,0))</f>
        <v>14</v>
      </c>
      <c r="ES43" s="17">
        <f>IF(ISNA(VLOOKUP(A43,'Données projet'!$A$191:$I$211,5,0)),0%,VLOOKUP(A43,'Données projet'!$A$191:$I$211,5,0)*VLOOKUP('Données projet'!$B$15,Paramètres!$A$1:$I$89,7,0))</f>
        <v>0.17200000000000001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2.9494693311576974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2.9494693311576974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8.1999999999999993</v>
      </c>
      <c r="N44" s="14">
        <f>IF('Données projet'!$A$36&gt;35,N43+M44-V43,IF(A44&lt;'Données projet'!$A$36,$K$205^A44,IF(A44='Données projet'!$A$36,'Données projet'!$B$36,N43+M44-V43)))</f>
        <v>172.2</v>
      </c>
      <c r="O44" s="14">
        <f>N44*VLOOKUP('Données projet'!$B$9,Paramètres!$A$1:$I$89,3,0)*VLOOKUP('Données projet'!$B$9,Paramètres!$A$1:$I$89,5,0)</f>
        <v>139.68863999999999</v>
      </c>
      <c r="P44" s="14">
        <f t="shared" si="33"/>
        <v>36.22566805112433</v>
      </c>
      <c r="Q44" s="22">
        <f t="shared" si="53"/>
        <v>306.38408652237484</v>
      </c>
      <c r="R44" s="62">
        <f t="shared" si="0"/>
        <v>554.98677611687879</v>
      </c>
      <c r="S44" s="62">
        <f ca="1">AVERAGE(OFFSET($R$3,0,0,'Données projet'!$E$9+1,1))-AVERAGE(OFFSET($H$3,0,0,'Données projet'!$E$9+1,1))</f>
        <v>259.10606516000064</v>
      </c>
      <c r="T44" s="62">
        <f t="shared" si="34"/>
        <v>316.57989180609252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7.8882453067287273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7.8882453067287273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10</v>
      </c>
      <c r="AI44" s="14">
        <f>IF('Données projet'!$A$62&gt;35,AI43+AH44-AQ43,IF(A44&lt;'Données projet'!$A$62,$AF$205^A44,IF(A44='Données projet'!$A$62,'Données projet'!$B$62,AI43+AH44-AQ43)))</f>
        <v>200</v>
      </c>
      <c r="AJ44" s="14">
        <f>AI44*VLOOKUP('Données projet'!$B$10,Paramètres!$A$1:$I$89,3,0)*VLOOKUP('Données projet'!$B$10,Paramètres!$A$1:$I$89,5,0)</f>
        <v>93.600000000000009</v>
      </c>
      <c r="AK44" s="14">
        <f t="shared" si="35"/>
        <v>25.431466524572937</v>
      </c>
      <c r="AL44" s="22">
        <f t="shared" si="4"/>
        <v>207.31313753029789</v>
      </c>
      <c r="AM44" s="62">
        <f t="shared" si="5"/>
        <v>455.91582712480187</v>
      </c>
      <c r="AN44" s="62">
        <f ca="1">AVERAGE(OFFSET($AM$3,0,0,'Données projet'!$E$10+1,1))-AVERAGE(OFFSET($H$3,0,0,'Données projet'!$E$10+1,1))</f>
        <v>186.83226999296298</v>
      </c>
      <c r="AO44" s="62">
        <f t="shared" si="36"/>
        <v>232.70925470547317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9.990642680269481</v>
      </c>
      <c r="AV44" s="23">
        <f>EXP(-LN(2)/25)*AV43+(1-EXP(-LN(2)/25))/(LN(2)/25)*Calculateur!AQ44*Calculateur!AS44*VLOOKUP('Données projet'!$B$10,Paramètres!$A$1:$I$89,3,0)*0.475*44/12</f>
        <v>7.6161678315325183</v>
      </c>
      <c r="AW44" s="23">
        <f>EXP(-LN(2)/2)*AW43+(1-EXP(-LN(2)/2))/(LN(2)/2)*AQ44*AT44*VLOOKUP('Données projet'!$B$10,Paramètres!$A$1:$I$89,3,0)*0.475*44/12</f>
        <v>3.4424191301915066</v>
      </c>
      <c r="AX44" s="23">
        <f t="shared" si="6"/>
        <v>21.049229641993506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158.4</v>
      </c>
      <c r="BE44" s="14">
        <f>BD44*VLOOKUP('Données projet'!$B$11,Paramètres!$A$1:$I$89,3,0)*VLOOKUP('Données projet'!$B$11,Paramètres!$A$1:$I$89,5,0)</f>
        <v>143.32032000000001</v>
      </c>
      <c r="BF44" s="14">
        <f t="shared" si="37"/>
        <v>37.056603420232349</v>
      </c>
      <c r="BG44" s="22">
        <f t="shared" si="7"/>
        <v>314.15647495690467</v>
      </c>
      <c r="BH44" s="62">
        <f t="shared" si="8"/>
        <v>562.75916455140862</v>
      </c>
      <c r="BI44" s="62">
        <f ca="1">AVERAGE(OFFSET($BH$3,0,0,'Données projet'!$E$11+1,1))-AVERAGE(OFFSET($H$3,0,0,'Données projet'!$E$11+1,1))</f>
        <v>435.70500547084868</v>
      </c>
      <c r="BJ44" s="62">
        <f t="shared" si="38"/>
        <v>297.32483725004136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4.5000284007457454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4.5000284007457454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158.4</v>
      </c>
      <c r="BZ44" s="14">
        <f>BY44*VLOOKUP('Données projet'!$B$12,Paramètres!$A$1:$I$89,3,0)*VLOOKUP('Données projet'!$B$12,Paramètres!$A$1:$I$89,5,0)</f>
        <v>180.38592000000003</v>
      </c>
      <c r="CA44" s="14">
        <f t="shared" si="39"/>
        <v>45.408035551257477</v>
      </c>
      <c r="CB44" s="22">
        <f t="shared" si="10"/>
        <v>393.25780591844017</v>
      </c>
      <c r="CC44" s="62">
        <f t="shared" si="11"/>
        <v>641.86049551294411</v>
      </c>
      <c r="CD44" s="62">
        <f ca="1">AVERAGE(OFFSET($CC$3,0,0,'Données projet'!$E$12+1,1))-AVERAGE(OFFSET($H$3,0,0,'Données projet'!$E$12+1,1))</f>
        <v>530.15080507516973</v>
      </c>
      <c r="CE44" s="62">
        <f t="shared" si="40"/>
        <v>358.10331902702217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5.6638288492144735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5.6638288492144735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</v>
      </c>
      <c r="CT44" s="13">
        <f>IF('Données projet'!$A$140&gt;35,CT43+CS44-DB43,IF(A44&lt;'Données projet'!$A$140,$CQ$205^A44,IF(A44='Données projet'!$A$140,'Données projet'!$B$140,CT43+CS44-DB43)))</f>
        <v>102</v>
      </c>
      <c r="CU44" s="18">
        <f>CT44*VLOOKUP('Données projet'!$B$13,Paramètres!$A$1:$I$89,3,0)*VLOOKUP('Données projet'!$B$13,Paramètres!$A$1:$I$89,5,0)</f>
        <v>87.516000000000005</v>
      </c>
      <c r="CV44" s="14">
        <f t="shared" si="41"/>
        <v>23.965171662037644</v>
      </c>
      <c r="CW44" s="22">
        <f t="shared" si="13"/>
        <v>194.16304064471558</v>
      </c>
      <c r="CX44" s="62">
        <f t="shared" si="14"/>
        <v>442.76573023921958</v>
      </c>
      <c r="CY44" s="62">
        <f ca="1">AVERAGE(OFFSET($CX$3,0,0,'Données projet'!$E$13+1,1))-AVERAGE(OFFSET($H$3,0,0,'Données projet'!$E$13+1,1))</f>
        <v>182.98212193167009</v>
      </c>
      <c r="CZ44" s="62">
        <f t="shared" si="42"/>
        <v>195.9200038944301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6.9850002371342965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6.9850002371342965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26.2</v>
      </c>
      <c r="DO44" s="13">
        <f>IF('Données projet'!$A$166&gt;35,DO43+DN44-DW43,IF(A44&lt;'Données projet'!$A$166,$DL$205^A44,IF(A44='Données projet'!$A$166,'Données projet'!$B$166,DO43+DN44-DW43)))</f>
        <v>447.19999999999982</v>
      </c>
      <c r="DP44" s="18">
        <f>DO44*VLOOKUP('Données projet'!$B$14,Paramètres!$A$1:$I$89,3,0)*VLOOKUP('Données projet'!$B$14,Paramètres!$A$1:$I$89,5,0)</f>
        <v>197.66239999999993</v>
      </c>
      <c r="DQ44" s="14">
        <f t="shared" si="43"/>
        <v>49.230083004987826</v>
      </c>
      <c r="DR44" s="22">
        <f t="shared" si="16"/>
        <v>430.00440790035367</v>
      </c>
      <c r="DS44" s="62">
        <f t="shared" si="17"/>
        <v>678.60709749485761</v>
      </c>
      <c r="DT44" s="62">
        <f ca="1">AVERAGE(OFFSET($DS$3,0,0,'Données projet'!$E$14+1,1))-AVERAGE(OFFSET($H$3,0,0,'Données projet'!$E$14+1,1))</f>
        <v>338.33525241236157</v>
      </c>
      <c r="DU44" s="62">
        <f t="shared" si="44"/>
        <v>373.47257029791717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16.492641685579965</v>
      </c>
      <c r="EB44" s="23">
        <f>EXP(-LN(2)/25)*EB43+(1-EXP(-LN(2)/25))/(LN(2)/25)*Calculateur!DW44*Calculateur!DY44*VLOOKUP('Données projet'!$B$14,Paramètres!$A$1:$I$89,3,0)*0.475*44/12</f>
        <v>35.943924816617248</v>
      </c>
      <c r="EC44" s="23">
        <f>EXP(-LN(2)/2)*EC43+(1-EXP(-LN(2)/2))/(LN(2)/2)*DW44*DZ44*VLOOKUP('Données projet'!$B$14,Paramètres!$A$1:$I$89,3,0)*0.475*44/12</f>
        <v>8.4116531569090576</v>
      </c>
      <c r="ED44" s="24">
        <f t="shared" si="18"/>
        <v>60.848219659106263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5.6</v>
      </c>
      <c r="EJ44" s="13">
        <f>IF('Données projet'!$A$192&gt;35,EJ43+EI44-ER43,IF(A44&lt;'Données projet'!$A$192,$EG$205^A44,IF(A44='Données projet'!$A$192,'Données projet'!$B$192,EJ43+EI44-ER43)))</f>
        <v>84.600000000000009</v>
      </c>
      <c r="EK44" s="18">
        <f>EJ44*VLOOKUP('Données projet'!$B$15,Paramètres!$A$1:$I$89,3,0)*VLOOKUP('Données projet'!$B$15,Paramètres!$A$1:$I$89,5,0)</f>
        <v>65.988000000000014</v>
      </c>
      <c r="EL44" s="14">
        <f t="shared" si="45"/>
        <v>18.67374003807944</v>
      </c>
      <c r="EM44" s="22">
        <f t="shared" si="19"/>
        <v>147.45253056632171</v>
      </c>
      <c r="EN44" s="62">
        <f t="shared" si="20"/>
        <v>396.05522016082568</v>
      </c>
      <c r="EO44" s="62">
        <f ca="1">AVERAGE(OFFSET($EN$3,0,0,'Données projet'!$E$15+1,1))-AVERAGE(OFFSET($H$3,0,0,'Données projet'!$E$15+1,1))</f>
        <v>144.92790055195192</v>
      </c>
      <c r="EP44" s="62">
        <f t="shared" si="46"/>
        <v>151.00642748754026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2.8916320365723505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2.8916320365723505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8.1999999999999993</v>
      </c>
      <c r="N45" s="14">
        <f>IF('Données projet'!$A$36&gt;35,N44+M45-V44,IF(A45&lt;'Données projet'!$A$36,$K$205^A45,IF(A45='Données projet'!$A$36,'Données projet'!$B$36,N44+M45-V44)))</f>
        <v>180.39999999999998</v>
      </c>
      <c r="O45" s="14">
        <f>N45*VLOOKUP('Données projet'!$B$9,Paramètres!$A$1:$I$89,3,0)*VLOOKUP('Données projet'!$B$9,Paramètres!$A$1:$I$89,5,0)</f>
        <v>146.34047999999999</v>
      </c>
      <c r="P45" s="14">
        <f t="shared" si="33"/>
        <v>37.745754868861937</v>
      </c>
      <c r="Q45" s="22">
        <f t="shared" si="53"/>
        <v>320.6168590632679</v>
      </c>
      <c r="R45" s="62">
        <f t="shared" si="0"/>
        <v>569.9955253239026</v>
      </c>
      <c r="S45" s="62">
        <f ca="1">AVERAGE(OFFSET($R$3,0,0,'Données projet'!$E$9+1,1))-AVERAGE(OFFSET($H$3,0,0,'Données projet'!$E$9+1,1))</f>
        <v>259.10606516000064</v>
      </c>
      <c r="T45" s="62">
        <f t="shared" si="34"/>
        <v>316.57989180609252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7.7335616276183323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7.7335616276183323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10</v>
      </c>
      <c r="AI45" s="14">
        <f>IF('Données projet'!$A$62&gt;35,AI44+AH45-AQ44,IF(A45&lt;'Données projet'!$A$62,$AF$205^A45,IF(A45='Données projet'!$A$62,'Données projet'!$B$62,AI44+AH45-AQ44)))</f>
        <v>210</v>
      </c>
      <c r="AJ45" s="14">
        <f>AI45*VLOOKUP('Données projet'!$B$10,Paramètres!$A$1:$I$89,3,0)*VLOOKUP('Données projet'!$B$10,Paramètres!$A$1:$I$89,5,0)</f>
        <v>98.28</v>
      </c>
      <c r="AK45" s="14">
        <f t="shared" si="35"/>
        <v>26.551818424463473</v>
      </c>
      <c r="AL45" s="22">
        <f t="shared" si="4"/>
        <v>217.41541708927389</v>
      </c>
      <c r="AM45" s="62">
        <f t="shared" si="5"/>
        <v>466.79408334990865</v>
      </c>
      <c r="AN45" s="62">
        <f ca="1">AVERAGE(OFFSET($AM$3,0,0,'Données projet'!$E$10+1,1))-AVERAGE(OFFSET($H$3,0,0,'Données projet'!$E$10+1,1))</f>
        <v>186.83226999296298</v>
      </c>
      <c r="AO45" s="62">
        <f t="shared" si="36"/>
        <v>232.70925470547317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9.7947322709997291</v>
      </c>
      <c r="AV45" s="23">
        <f>EXP(-LN(2)/25)*AV44+(1-EXP(-LN(2)/25))/(LN(2)/25)*Calculateur!AQ45*Calculateur!AS45*VLOOKUP('Données projet'!$B$10,Paramètres!$A$1:$I$89,3,0)*0.475*44/12</f>
        <v>7.4079033216624026</v>
      </c>
      <c r="AW45" s="23">
        <f>EXP(-LN(2)/2)*AW44+(1-EXP(-LN(2)/2))/(LN(2)/2)*AQ45*AT45*VLOOKUP('Données projet'!$B$10,Paramètres!$A$1:$I$89,3,0)*0.475*44/12</f>
        <v>2.4341579106447111</v>
      </c>
      <c r="AX45" s="23">
        <f t="shared" si="6"/>
        <v>19.636793503306844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169.8</v>
      </c>
      <c r="BE45" s="14">
        <f>BD45*VLOOKUP('Données projet'!$B$11,Paramètres!$A$1:$I$89,3,0)*VLOOKUP('Données projet'!$B$11,Paramètres!$A$1:$I$89,5,0)</f>
        <v>153.63504</v>
      </c>
      <c r="BF45" s="14">
        <f t="shared" si="37"/>
        <v>39.403506785222667</v>
      </c>
      <c r="BG45" s="22">
        <f t="shared" si="7"/>
        <v>336.20880231759617</v>
      </c>
      <c r="BH45" s="62">
        <f t="shared" si="8"/>
        <v>585.58746857823087</v>
      </c>
      <c r="BI45" s="62">
        <f ca="1">AVERAGE(OFFSET($BH$3,0,0,'Données projet'!$E$11+1,1))-AVERAGE(OFFSET($H$3,0,0,'Données projet'!$E$11+1,1))</f>
        <v>435.70500547084868</v>
      </c>
      <c r="BJ45" s="62">
        <f t="shared" si="38"/>
        <v>297.32483725004136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4.4117855885534247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4.4117855885534247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169.8</v>
      </c>
      <c r="BZ45" s="14">
        <f>BY45*VLOOKUP('Données projet'!$B$12,Paramètres!$A$1:$I$89,3,0)*VLOOKUP('Données projet'!$B$12,Paramètres!$A$1:$I$89,5,0)</f>
        <v>193.36824000000001</v>
      </c>
      <c r="CA45" s="14">
        <f t="shared" si="39"/>
        <v>48.283859604107981</v>
      </c>
      <c r="CB45" s="22">
        <f t="shared" si="10"/>
        <v>420.87740681048808</v>
      </c>
      <c r="CC45" s="62">
        <f t="shared" si="11"/>
        <v>670.25607307112284</v>
      </c>
      <c r="CD45" s="62">
        <f ca="1">AVERAGE(OFFSET($CC$3,0,0,'Données projet'!$E$12+1,1))-AVERAGE(OFFSET($H$3,0,0,'Données projet'!$E$12+1,1))</f>
        <v>530.15080507516973</v>
      </c>
      <c r="CE45" s="62">
        <f t="shared" si="40"/>
        <v>358.10331902702217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5.5527646200758625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5.5527646200758625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</v>
      </c>
      <c r="CT45" s="13">
        <f>IF('Données projet'!$A$140&gt;35,CT44+CS45-DB44,IF(A45&lt;'Données projet'!$A$140,$CQ$205^A45,IF(A45='Données projet'!$A$140,'Données projet'!$B$140,CT44+CS45-DB44)))</f>
        <v>110</v>
      </c>
      <c r="CU45" s="18">
        <f>CT45*VLOOKUP('Données projet'!$B$13,Paramètres!$A$1:$I$89,3,0)*VLOOKUP('Données projet'!$B$13,Paramètres!$A$1:$I$89,5,0)</f>
        <v>94.38000000000001</v>
      </c>
      <c r="CV45" s="14">
        <f t="shared" si="41"/>
        <v>25.618636348883211</v>
      </c>
      <c r="CW45" s="22">
        <f t="shared" si="13"/>
        <v>208.99762497430493</v>
      </c>
      <c r="CX45" s="62">
        <f t="shared" si="14"/>
        <v>458.37629123493969</v>
      </c>
      <c r="CY45" s="62">
        <f ca="1">AVERAGE(OFFSET($CX$3,0,0,'Données projet'!$E$13+1,1))-AVERAGE(OFFSET($H$3,0,0,'Données projet'!$E$13+1,1))</f>
        <v>182.98212193167009</v>
      </c>
      <c r="CZ45" s="62">
        <f t="shared" si="42"/>
        <v>195.9200038944301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6.8480286429135555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6.8480286429135555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26.2</v>
      </c>
      <c r="DO45" s="13">
        <f>IF('Données projet'!$A$166&gt;35,DO44+DN45-DW44,IF(A45&lt;'Données projet'!$A$166,$DL$205^A45,IF(A45='Données projet'!$A$166,'Données projet'!$B$166,DO44+DN45-DW44)))</f>
        <v>473.39999999999981</v>
      </c>
      <c r="DP45" s="18">
        <f>DO45*VLOOKUP('Données projet'!$B$14,Paramètres!$A$1:$I$89,3,0)*VLOOKUP('Données projet'!$B$14,Paramètres!$A$1:$I$89,5,0)</f>
        <v>209.24279999999993</v>
      </c>
      <c r="DQ45" s="14">
        <f t="shared" si="43"/>
        <v>51.770083677016814</v>
      </c>
      <c r="DR45" s="22">
        <f t="shared" si="16"/>
        <v>454.59743907080411</v>
      </c>
      <c r="DS45" s="62">
        <f t="shared" si="17"/>
        <v>703.97610533143882</v>
      </c>
      <c r="DT45" s="62">
        <f ca="1">AVERAGE(OFFSET($DS$3,0,0,'Données projet'!$E$14+1,1))-AVERAGE(OFFSET($H$3,0,0,'Données projet'!$E$14+1,1))</f>
        <v>338.33525241236157</v>
      </c>
      <c r="DU45" s="62">
        <f t="shared" si="44"/>
        <v>373.47257029791717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16.169231041643876</v>
      </c>
      <c r="EB45" s="23">
        <f>EXP(-LN(2)/25)*EB44+(1-EXP(-LN(2)/25))/(LN(2)/25)*Calculateur!DW45*Calculateur!DY45*VLOOKUP('Données projet'!$B$14,Paramètres!$A$1:$I$89,3,0)*0.475*44/12</f>
        <v>34.961036302297991</v>
      </c>
      <c r="EC45" s="23">
        <f>EXP(-LN(2)/2)*EC44+(1-EXP(-LN(2)/2))/(LN(2)/2)*DW45*DZ45*VLOOKUP('Données projet'!$B$14,Paramètres!$A$1:$I$89,3,0)*0.475*44/12</f>
        <v>5.9479369882396247</v>
      </c>
      <c r="ED45" s="24">
        <f t="shared" si="18"/>
        <v>57.078204332181492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5.6</v>
      </c>
      <c r="EJ45" s="13">
        <f>IF('Données projet'!$A$192&gt;35,EJ44+EI45-ER44,IF(A45&lt;'Données projet'!$A$192,$EG$205^A45,IF(A45='Données projet'!$A$192,'Données projet'!$B$192,EJ44+EI45-ER44)))</f>
        <v>90.2</v>
      </c>
      <c r="EK45" s="18">
        <f>EJ45*VLOOKUP('Données projet'!$B$15,Paramètres!$A$1:$I$89,3,0)*VLOOKUP('Données projet'!$B$15,Paramètres!$A$1:$I$89,5,0)</f>
        <v>70.356000000000009</v>
      </c>
      <c r="EL45" s="14">
        <f t="shared" si="45"/>
        <v>19.761838800222563</v>
      </c>
      <c r="EM45" s="22">
        <f t="shared" si="19"/>
        <v>156.95523591038764</v>
      </c>
      <c r="EN45" s="62">
        <f t="shared" si="20"/>
        <v>406.33390217102237</v>
      </c>
      <c r="EO45" s="62">
        <f ca="1">AVERAGE(OFFSET($EN$3,0,0,'Données projet'!$E$15+1,1))-AVERAGE(OFFSET($H$3,0,0,'Données projet'!$E$15+1,1))</f>
        <v>144.92790055195192</v>
      </c>
      <c r="EP45" s="62">
        <f t="shared" si="46"/>
        <v>151.00642748754026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2.8349288960565557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2.8349288960565557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8.1999999999999993</v>
      </c>
      <c r="N46" s="14">
        <f>IF('Données projet'!$A$36&gt;35,N45+M46-V45,IF(A46&lt;'Données projet'!$A$36,$K$205^A46,IF(A46='Données projet'!$A$36,'Données projet'!$B$36,N45+M46-V45)))</f>
        <v>188.59999999999997</v>
      </c>
      <c r="O46" s="14">
        <f>N46*VLOOKUP('Données projet'!$B$9,Paramètres!$A$1:$I$89,3,0)*VLOOKUP('Données projet'!$B$9,Paramètres!$A$1:$I$89,5,0)</f>
        <v>152.99231999999998</v>
      </c>
      <c r="P46" s="14">
        <f t="shared" si="33"/>
        <v>39.257817366656973</v>
      </c>
      <c r="Q46" s="22">
        <f t="shared" si="53"/>
        <v>334.83565591359422</v>
      </c>
      <c r="R46" s="62">
        <f t="shared" si="0"/>
        <v>584.97683738002627</v>
      </c>
      <c r="S46" s="62">
        <f ca="1">AVERAGE(OFFSET($R$3,0,0,'Données projet'!$E$9+1,1))-AVERAGE(OFFSET($H$3,0,0,'Données projet'!$E$9+1,1))</f>
        <v>259.10606516000064</v>
      </c>
      <c r="T46" s="62">
        <f t="shared" si="34"/>
        <v>316.57989180609252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7.5819112011075642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7.5819112011075642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10</v>
      </c>
      <c r="AI46" s="14">
        <f>IF('Données projet'!$A$62&gt;35,AI45+AH46-AQ45,IF(A46&lt;'Données projet'!$A$62,$AF$205^A46,IF(A46='Données projet'!$A$62,'Données projet'!$B$62,AI45+AH46-AQ45)))</f>
        <v>220</v>
      </c>
      <c r="AJ46" s="14">
        <f>AI46*VLOOKUP('Données projet'!$B$10,Paramètres!$A$1:$I$89,3,0)*VLOOKUP('Données projet'!$B$10,Paramètres!$A$1:$I$89,5,0)</f>
        <v>102.96000000000001</v>
      </c>
      <c r="AK46" s="14">
        <f t="shared" si="35"/>
        <v>27.665975080374633</v>
      </c>
      <c r="AL46" s="22">
        <f t="shared" si="4"/>
        <v>227.50690659831915</v>
      </c>
      <c r="AM46" s="62">
        <f t="shared" si="5"/>
        <v>477.64808806475116</v>
      </c>
      <c r="AN46" s="62">
        <f ca="1">AVERAGE(OFFSET($AM$3,0,0,'Données projet'!$E$10+1,1))-AVERAGE(OFFSET($H$3,0,0,'Données projet'!$E$10+1,1))</f>
        <v>186.83226999296298</v>
      </c>
      <c r="AO46" s="62">
        <f t="shared" si="36"/>
        <v>232.70925470547317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9.6026635453622067</v>
      </c>
      <c r="AV46" s="23">
        <f>EXP(-LN(2)/25)*AV45+(1-EXP(-LN(2)/25))/(LN(2)/25)*Calculateur!AQ46*Calculateur!AS46*VLOOKUP('Données projet'!$B$10,Paramètres!$A$1:$I$89,3,0)*0.475*44/12</f>
        <v>7.2053338157668394</v>
      </c>
      <c r="AW46" s="23">
        <f>EXP(-LN(2)/2)*AW45+(1-EXP(-LN(2)/2))/(LN(2)/2)*AQ46*AT46*VLOOKUP('Données projet'!$B$10,Paramètres!$A$1:$I$89,3,0)*0.475*44/12</f>
        <v>1.7212095650957535</v>
      </c>
      <c r="AX46" s="23">
        <f t="shared" si="6"/>
        <v>18.529206926224802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181.20000000000002</v>
      </c>
      <c r="BE46" s="14">
        <f>BD46*VLOOKUP('Données projet'!$B$11,Paramètres!$A$1:$I$89,3,0)*VLOOKUP('Données projet'!$B$11,Paramètres!$A$1:$I$89,5,0)</f>
        <v>163.94976</v>
      </c>
      <c r="BF46" s="14">
        <f t="shared" si="37"/>
        <v>41.732126457893308</v>
      </c>
      <c r="BG46" s="22">
        <f t="shared" si="7"/>
        <v>358.22928558083089</v>
      </c>
      <c r="BH46" s="62">
        <f t="shared" si="8"/>
        <v>608.37046704726299</v>
      </c>
      <c r="BI46" s="62">
        <f ca="1">AVERAGE(OFFSET($BH$3,0,0,'Données projet'!$E$11+1,1))-AVERAGE(OFFSET($H$3,0,0,'Données projet'!$E$11+1,1))</f>
        <v>435.70500547084868</v>
      </c>
      <c r="BJ46" s="62">
        <f t="shared" si="38"/>
        <v>297.32483725004136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4.3252731640853943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4.3252731640853943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181.20000000000002</v>
      </c>
      <c r="BZ46" s="14">
        <f>BY46*VLOOKUP('Données projet'!$B$12,Paramètres!$A$1:$I$89,3,0)*VLOOKUP('Données projet'!$B$12,Paramètres!$A$1:$I$89,5,0)</f>
        <v>206.35056000000003</v>
      </c>
      <c r="CA46" s="14">
        <f t="shared" si="39"/>
        <v>51.13727937609535</v>
      </c>
      <c r="CB46" s="22">
        <f t="shared" si="10"/>
        <v>448.45798691336608</v>
      </c>
      <c r="CC46" s="62">
        <f t="shared" si="11"/>
        <v>698.59916837979813</v>
      </c>
      <c r="CD46" s="62">
        <f ca="1">AVERAGE(OFFSET($CC$3,0,0,'Données projet'!$E$12+1,1))-AVERAGE(OFFSET($H$3,0,0,'Données projet'!$E$12+1,1))</f>
        <v>530.15080507516973</v>
      </c>
      <c r="CE46" s="62">
        <f t="shared" si="40"/>
        <v>358.10331902702217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5.4438782927281695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5.4438782927281695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</v>
      </c>
      <c r="CT46" s="13">
        <f>IF('Données projet'!$A$140&gt;35,CT45+CS46-DB45,IF(A46&lt;'Données projet'!$A$140,$CQ$205^A46,IF(A46='Données projet'!$A$140,'Données projet'!$B$140,CT45+CS46-DB45)))</f>
        <v>118</v>
      </c>
      <c r="CU46" s="18">
        <f>CT46*VLOOKUP('Données projet'!$B$13,Paramètres!$A$1:$I$89,3,0)*VLOOKUP('Données projet'!$B$13,Paramètres!$A$1:$I$89,5,0)</f>
        <v>101.24400000000001</v>
      </c>
      <c r="CV46" s="14">
        <f t="shared" si="41"/>
        <v>27.258149809602468</v>
      </c>
      <c r="CW46" s="22">
        <f t="shared" si="13"/>
        <v>223.807910918391</v>
      </c>
      <c r="CX46" s="62">
        <f t="shared" si="14"/>
        <v>473.94909238482308</v>
      </c>
      <c r="CY46" s="62">
        <f ca="1">AVERAGE(OFFSET($CX$3,0,0,'Données projet'!$E$13+1,1))-AVERAGE(OFFSET($H$3,0,0,'Données projet'!$E$13+1,1))</f>
        <v>182.98212193167009</v>
      </c>
      <c r="CZ46" s="62">
        <f t="shared" si="42"/>
        <v>195.9200038944301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6.7137429781110596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6.7137429781110596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26.2</v>
      </c>
      <c r="DO46" s="13">
        <f>IF('Données projet'!$A$166&gt;35,DO45+DN46-DW45,IF(A46&lt;'Données projet'!$A$166,$DL$205^A46,IF(A46='Données projet'!$A$166,'Données projet'!$B$166,DO45+DN46-DW45)))</f>
        <v>499.5999999999998</v>
      </c>
      <c r="DP46" s="18">
        <f>DO46*VLOOKUP('Données projet'!$B$14,Paramètres!$A$1:$I$89,3,0)*VLOOKUP('Données projet'!$B$14,Paramètres!$A$1:$I$89,5,0)</f>
        <v>220.82319999999993</v>
      </c>
      <c r="DQ46" s="14">
        <f t="shared" si="43"/>
        <v>54.293765263718157</v>
      </c>
      <c r="DR46" s="22">
        <f t="shared" si="16"/>
        <v>479.16204783430902</v>
      </c>
      <c r="DS46" s="62">
        <f t="shared" si="17"/>
        <v>729.30322930074112</v>
      </c>
      <c r="DT46" s="62">
        <f ca="1">AVERAGE(OFFSET($DS$3,0,0,'Données projet'!$E$14+1,1))-AVERAGE(OFFSET($H$3,0,0,'Données projet'!$E$14+1,1))</f>
        <v>338.33525241236157</v>
      </c>
      <c r="DU46" s="62">
        <f t="shared" si="44"/>
        <v>373.47257029791717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15.852162283174358</v>
      </c>
      <c r="EB46" s="23">
        <f>EXP(-LN(2)/25)*EB45+(1-EXP(-LN(2)/25))/(LN(2)/25)*Calculateur!DW46*Calculateur!DY46*VLOOKUP('Données projet'!$B$14,Paramètres!$A$1:$I$89,3,0)*0.475*44/12</f>
        <v>34.005024926090655</v>
      </c>
      <c r="EC46" s="23">
        <f>EXP(-LN(2)/2)*EC45+(1-EXP(-LN(2)/2))/(LN(2)/2)*DW46*DZ46*VLOOKUP('Données projet'!$B$14,Paramètres!$A$1:$I$89,3,0)*0.475*44/12</f>
        <v>4.2058265784545288</v>
      </c>
      <c r="ED46" s="24">
        <f t="shared" si="18"/>
        <v>54.063013787719541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5.6</v>
      </c>
      <c r="EJ46" s="13">
        <f>IF('Données projet'!$A$192&gt;35,EJ45+EI46-ER45,IF(A46&lt;'Données projet'!$A$192,$EG$205^A46,IF(A46='Données projet'!$A$192,'Données projet'!$B$192,EJ45+EI46-ER45)))</f>
        <v>95.8</v>
      </c>
      <c r="EK46" s="18">
        <f>EJ46*VLOOKUP('Données projet'!$B$15,Paramètres!$A$1:$I$89,3,0)*VLOOKUP('Données projet'!$B$15,Paramètres!$A$1:$I$89,5,0)</f>
        <v>74.724000000000004</v>
      </c>
      <c r="EL46" s="14">
        <f t="shared" si="45"/>
        <v>20.842097328180586</v>
      </c>
      <c r="EM46" s="22">
        <f t="shared" si="19"/>
        <v>166.44428617991454</v>
      </c>
      <c r="EN46" s="62">
        <f t="shared" si="20"/>
        <v>416.58546764634661</v>
      </c>
      <c r="EO46" s="62">
        <f ca="1">AVERAGE(OFFSET($EN$3,0,0,'Données projet'!$E$15+1,1))-AVERAGE(OFFSET($H$3,0,0,'Données projet'!$E$15+1,1))</f>
        <v>144.92790055195192</v>
      </c>
      <c r="EP46" s="62">
        <f t="shared" si="46"/>
        <v>151.00642748754026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2.7793376695407752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2.7793376695407752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8.1999999999999993</v>
      </c>
      <c r="N47" s="14">
        <f>IF('Données projet'!$A$36&gt;35,N46+M47-V46,IF(A47&lt;'Données projet'!$A$36,$K$205^A47,IF(A47='Données projet'!$A$36,'Données projet'!$B$36,N46+M47-V46)))</f>
        <v>196.79999999999995</v>
      </c>
      <c r="O47" s="14">
        <f>N47*VLOOKUP('Données projet'!$B$9,Paramètres!$A$1:$I$89,3,0)*VLOOKUP('Données projet'!$B$9,Paramètres!$A$1:$I$89,5,0)</f>
        <v>159.64415999999997</v>
      </c>
      <c r="P47" s="14">
        <f t="shared" si="33"/>
        <v>40.762244304130796</v>
      </c>
      <c r="Q47" s="22">
        <f t="shared" si="53"/>
        <v>349.04115416302778</v>
      </c>
      <c r="R47" s="62">
        <f t="shared" si="0"/>
        <v>599.93162290116516</v>
      </c>
      <c r="S47" s="62">
        <f ca="1">AVERAGE(OFFSET($R$3,0,0,'Données projet'!$E$9+1,1))-AVERAGE(OFFSET($H$3,0,0,'Données projet'!$E$9+1,1))</f>
        <v>259.10606516000064</v>
      </c>
      <c r="T47" s="62">
        <f t="shared" si="34"/>
        <v>316.57989180609252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7.4332345469630452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7.4332345469630452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10</v>
      </c>
      <c r="AI47" s="14">
        <f>IF('Données projet'!$A$62&gt;35,AI46+AH47-AQ46,IF(A47&lt;'Données projet'!$A$62,$AF$205^A47,IF(A47='Données projet'!$A$62,'Données projet'!$B$62,AI46+AH47-AQ46)))</f>
        <v>230</v>
      </c>
      <c r="AJ47" s="14">
        <f>AI47*VLOOKUP('Données projet'!$B$10,Paramètres!$A$1:$I$89,3,0)*VLOOKUP('Données projet'!$B$10,Paramètres!$A$1:$I$89,5,0)</f>
        <v>107.64</v>
      </c>
      <c r="AK47" s="14">
        <f t="shared" si="35"/>
        <v>28.774250263353583</v>
      </c>
      <c r="AL47" s="22">
        <f t="shared" si="4"/>
        <v>237.58815254200749</v>
      </c>
      <c r="AM47" s="62">
        <f t="shared" si="5"/>
        <v>488.47862128014492</v>
      </c>
      <c r="AN47" s="62">
        <f ca="1">AVERAGE(OFFSET($AM$3,0,0,'Données projet'!$E$10+1,1))-AVERAGE(OFFSET($H$3,0,0,'Données projet'!$E$10+1,1))</f>
        <v>186.83226999296298</v>
      </c>
      <c r="AO47" s="62">
        <f t="shared" si="36"/>
        <v>232.70925470547317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9.4143611702840815</v>
      </c>
      <c r="AV47" s="23">
        <f>EXP(-LN(2)/25)*AV46+(1-EXP(-LN(2)/25))/(LN(2)/25)*Calculateur!AQ47*Calculateur!AS47*VLOOKUP('Données projet'!$B$10,Paramètres!$A$1:$I$89,3,0)*0.475*44/12</f>
        <v>7.0083035836626575</v>
      </c>
      <c r="AW47" s="23">
        <f>EXP(-LN(2)/2)*AW46+(1-EXP(-LN(2)/2))/(LN(2)/2)*AQ47*AT47*VLOOKUP('Données projet'!$B$10,Paramètres!$A$1:$I$89,3,0)*0.475*44/12</f>
        <v>1.2170789553223558</v>
      </c>
      <c r="AX47" s="23">
        <f t="shared" si="6"/>
        <v>17.639743709269098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192.60000000000002</v>
      </c>
      <c r="BE47" s="14">
        <f>BD47*VLOOKUP('Données projet'!$B$11,Paramètres!$A$1:$I$89,3,0)*VLOOKUP('Données projet'!$B$11,Paramètres!$A$1:$I$89,5,0)</f>
        <v>174.26447999999999</v>
      </c>
      <c r="BF47" s="14">
        <f t="shared" si="37"/>
        <v>44.043743683739521</v>
      </c>
      <c r="BG47" s="22">
        <f t="shared" si="7"/>
        <v>380.22015624917964</v>
      </c>
      <c r="BH47" s="62">
        <f t="shared" si="8"/>
        <v>631.11062498731712</v>
      </c>
      <c r="BI47" s="62">
        <f ca="1">AVERAGE(OFFSET($BH$3,0,0,'Données projet'!$E$11+1,1))-AVERAGE(OFFSET($H$3,0,0,'Données projet'!$E$11+1,1))</f>
        <v>435.70500547084868</v>
      </c>
      <c r="BJ47" s="62">
        <f t="shared" si="38"/>
        <v>297.32483725004136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4.2404571954938133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4.2404571954938133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192.60000000000002</v>
      </c>
      <c r="BZ47" s="14">
        <f>BY47*VLOOKUP('Données projet'!$B$12,Paramètres!$A$1:$I$89,3,0)*VLOOKUP('Données projet'!$B$12,Paramètres!$A$1:$I$89,5,0)</f>
        <v>219.33288000000002</v>
      </c>
      <c r="CA47" s="14">
        <f t="shared" si="39"/>
        <v>53.969864866507955</v>
      </c>
      <c r="CB47" s="22">
        <f t="shared" si="10"/>
        <v>476.00228064250132</v>
      </c>
      <c r="CC47" s="62">
        <f t="shared" si="11"/>
        <v>726.89274938063875</v>
      </c>
      <c r="CD47" s="62">
        <f ca="1">AVERAGE(OFFSET($CC$3,0,0,'Données projet'!$E$12+1,1))-AVERAGE(OFFSET($H$3,0,0,'Données projet'!$E$12+1,1))</f>
        <v>530.15080507516973</v>
      </c>
      <c r="CE47" s="62">
        <f t="shared" si="40"/>
        <v>358.10331902702217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5.3371271598456627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5.3371271598456627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</v>
      </c>
      <c r="CT47" s="13">
        <f>IF('Données projet'!$A$140&gt;35,CT46+CS47-DB46,IF(A47&lt;'Données projet'!$A$140,$CQ$205^A47,IF(A47='Données projet'!$A$140,'Données projet'!$B$140,CT46+CS47-DB46)))</f>
        <v>126</v>
      </c>
      <c r="CU47" s="18">
        <f>CT47*VLOOKUP('Données projet'!$B$13,Paramètres!$A$1:$I$89,3,0)*VLOOKUP('Données projet'!$B$13,Paramètres!$A$1:$I$89,5,0)</f>
        <v>108.10800000000002</v>
      </c>
      <c r="CV47" s="14">
        <f t="shared" si="41"/>
        <v>28.884765499467161</v>
      </c>
      <c r="CW47" s="22">
        <f t="shared" si="13"/>
        <v>238.59573324490532</v>
      </c>
      <c r="CX47" s="62">
        <f t="shared" si="14"/>
        <v>489.48620198304275</v>
      </c>
      <c r="CY47" s="62">
        <f ca="1">AVERAGE(OFFSET($CX$3,0,0,'Données projet'!$E$13+1,1))-AVERAGE(OFFSET($H$3,0,0,'Données projet'!$E$13+1,1))</f>
        <v>182.98212193167009</v>
      </c>
      <c r="CZ47" s="62">
        <f t="shared" si="42"/>
        <v>195.9200038944301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6.5820905732891726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6.5820905732891726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26.2</v>
      </c>
      <c r="DO47" s="13">
        <f>IF('Données projet'!$A$166&gt;35,DO46+DN47-DW46,IF(A47&lt;'Données projet'!$A$166,$DL$205^A47,IF(A47='Données projet'!$A$166,'Données projet'!$B$166,DO46+DN47-DW46)))</f>
        <v>525.79999999999984</v>
      </c>
      <c r="DP47" s="18">
        <f>DO47*VLOOKUP('Données projet'!$B$14,Paramètres!$A$1:$I$89,3,0)*VLOOKUP('Données projet'!$B$14,Paramètres!$A$1:$I$89,5,0)</f>
        <v>232.40359999999995</v>
      </c>
      <c r="DQ47" s="14">
        <f t="shared" si="43"/>
        <v>56.802081171534908</v>
      </c>
      <c r="DR47" s="22">
        <f t="shared" si="16"/>
        <v>503.69989470708992</v>
      </c>
      <c r="DS47" s="62">
        <f t="shared" si="17"/>
        <v>754.59036344522735</v>
      </c>
      <c r="DT47" s="62">
        <f ca="1">AVERAGE(OFFSET($DS$3,0,0,'Données projet'!$E$14+1,1))-AVERAGE(OFFSET($H$3,0,0,'Données projet'!$E$14+1,1))</f>
        <v>338.33525241236157</v>
      </c>
      <c r="DU47" s="62">
        <f t="shared" si="44"/>
        <v>373.47257029791717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15.54131104966558</v>
      </c>
      <c r="EB47" s="23">
        <f>EXP(-LN(2)/25)*EB46+(1-EXP(-LN(2)/25))/(LN(2)/25)*Calculateur!DW47*Calculateur!DY47*VLOOKUP('Données projet'!$B$14,Paramètres!$A$1:$I$89,3,0)*0.475*44/12</f>
        <v>33.075155731240166</v>
      </c>
      <c r="EC47" s="23">
        <f>EXP(-LN(2)/2)*EC46+(1-EXP(-LN(2)/2))/(LN(2)/2)*DW47*DZ47*VLOOKUP('Données projet'!$B$14,Paramètres!$A$1:$I$89,3,0)*0.475*44/12</f>
        <v>2.9739684941198123</v>
      </c>
      <c r="ED47" s="24">
        <f t="shared" si="18"/>
        <v>51.590435275025555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5.6</v>
      </c>
      <c r="EJ47" s="13">
        <f>IF('Données projet'!$A$192&gt;35,EJ46+EI47-ER46,IF(A47&lt;'Données projet'!$A$192,$EG$205^A47,IF(A47='Données projet'!$A$192,'Données projet'!$B$192,EJ46+EI47-ER46)))</f>
        <v>101.39999999999999</v>
      </c>
      <c r="EK47" s="18">
        <f>EJ47*VLOOKUP('Données projet'!$B$15,Paramètres!$A$1:$I$89,3,0)*VLOOKUP('Données projet'!$B$15,Paramètres!$A$1:$I$89,5,0)</f>
        <v>79.091999999999999</v>
      </c>
      <c r="EL47" s="14">
        <f t="shared" si="45"/>
        <v>21.915026131449999</v>
      </c>
      <c r="EM47" s="22">
        <f t="shared" si="19"/>
        <v>175.92057051227539</v>
      </c>
      <c r="EN47" s="62">
        <f t="shared" si="20"/>
        <v>426.81103925041282</v>
      </c>
      <c r="EO47" s="62">
        <f ca="1">AVERAGE(OFFSET($EN$3,0,0,'Données projet'!$E$15+1,1))-AVERAGE(OFFSET($H$3,0,0,'Données projet'!$E$15+1,1))</f>
        <v>144.92790055195192</v>
      </c>
      <c r="EP47" s="62">
        <f t="shared" si="46"/>
        <v>151.00642748754026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2.724836553069669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2.724836553069669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205</v>
      </c>
      <c r="L48" s="13">
        <f>VLOOKUP(A48,'Données projet'!$A$35:$I$55,9,0)</f>
        <v>8.1999999999999993</v>
      </c>
      <c r="M48" s="13">
        <f t="array" ref="M48">INDEX(L:L,MIN(IF(ISNUMBER(L48:L244),ROW(L48:L244),"")))</f>
        <v>8.1999999999999993</v>
      </c>
      <c r="N48" s="14">
        <f>IF('Données projet'!$A$36&gt;35,N47+M48-V47,IF(A48&lt;'Données projet'!$A$36,$K$205^A48,IF(A48='Données projet'!$A$36,'Données projet'!$B$36,N47+M48-V47)))</f>
        <v>204.99999999999994</v>
      </c>
      <c r="O48" s="14">
        <f>N48*VLOOKUP('Données projet'!$B$9,Paramètres!$A$1:$I$89,3,0)*VLOOKUP('Données projet'!$B$9,Paramètres!$A$1:$I$89,5,0)</f>
        <v>166.29599999999996</v>
      </c>
      <c r="P48" s="14">
        <f t="shared" si="33"/>
        <v>42.259390211399776</v>
      </c>
      <c r="Q48" s="22">
        <f t="shared" si="53"/>
        <v>363.23397128485459</v>
      </c>
      <c r="R48" s="62">
        <f t="shared" si="0"/>
        <v>614.86072883568875</v>
      </c>
      <c r="S48" s="62">
        <f ca="1">AVERAGE(OFFSET($R$3,0,0,'Données projet'!$E$9+1,1))-AVERAGE(OFFSET($H$3,0,0,'Données projet'!$E$9+1,1))</f>
        <v>259.10606516000064</v>
      </c>
      <c r="T48" s="62">
        <f t="shared" si="34"/>
        <v>316.57989180609252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22</v>
      </c>
      <c r="W48" s="17">
        <f>IF(ISNA(VLOOKUP(A48,'Données projet'!$A$35:$I$55,5,0)),0%,VLOOKUP(A48,'Données projet'!$A$35:$I$55,5,0)*VLOOKUP('Données projet'!$B$9,Paramètres!$A$1:$I$89,7,0))</f>
        <v>0.25800000000000001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12.377469329297082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12.377469329297082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10</v>
      </c>
      <c r="AI48" s="14">
        <f>IF('Données projet'!$A$62&gt;35,AI47+AH48-AQ47,IF(A48&lt;'Données projet'!$A$62,$AF$205^A48,IF(A48='Données projet'!$A$62,'Données projet'!$B$62,AI47+AH48-AQ47)))</f>
        <v>240</v>
      </c>
      <c r="AJ48" s="14">
        <f>AI48*VLOOKUP('Données projet'!$B$10,Paramètres!$A$1:$I$89,3,0)*VLOOKUP('Données projet'!$B$10,Paramètres!$A$1:$I$89,5,0)</f>
        <v>112.32</v>
      </c>
      <c r="AK48" s="14">
        <f t="shared" si="35"/>
        <v>29.87692891707237</v>
      </c>
      <c r="AL48" s="22">
        <f t="shared" si="4"/>
        <v>247.65965119723435</v>
      </c>
      <c r="AM48" s="62">
        <f t="shared" si="5"/>
        <v>499.28640874806848</v>
      </c>
      <c r="AN48" s="62">
        <f ca="1">AVERAGE(OFFSET($AM$3,0,0,'Données projet'!$E$10+1,1))-AVERAGE(OFFSET($H$3,0,0,'Données projet'!$E$10+1,1))</f>
        <v>186.83226999296298</v>
      </c>
      <c r="AO48" s="62">
        <f t="shared" si="36"/>
        <v>232.70925470547317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9.2297512899281298</v>
      </c>
      <c r="AV48" s="23">
        <f>EXP(-LN(2)/25)*AV47+(1-EXP(-LN(2)/25))/(LN(2)/25)*Calculateur!AQ48*Calculateur!AS48*VLOOKUP('Données projet'!$B$10,Paramètres!$A$1:$I$89,3,0)*0.475*44/12</f>
        <v>6.8166611536167343</v>
      </c>
      <c r="AW48" s="23">
        <f>EXP(-LN(2)/2)*AW47+(1-EXP(-LN(2)/2))/(LN(2)/2)*AQ48*AT48*VLOOKUP('Données projet'!$B$10,Paramètres!$A$1:$I$89,3,0)*0.475*44/12</f>
        <v>0.86060478254787698</v>
      </c>
      <c r="AX48" s="23">
        <f t="shared" si="6"/>
        <v>16.907017226092741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204.00000000000003</v>
      </c>
      <c r="BE48" s="14">
        <f>BD48*VLOOKUP('Données projet'!$B$11,Paramètres!$A$1:$I$89,3,0)*VLOOKUP('Données projet'!$B$11,Paramètres!$A$1:$I$89,5,0)</f>
        <v>184.57920000000001</v>
      </c>
      <c r="BF48" s="14">
        <f t="shared" si="37"/>
        <v>46.339479465836661</v>
      </c>
      <c r="BG48" s="22">
        <f t="shared" si="7"/>
        <v>402.18336673633218</v>
      </c>
      <c r="BH48" s="62">
        <f t="shared" si="8"/>
        <v>653.81012428716633</v>
      </c>
      <c r="BI48" s="62">
        <f ca="1">AVERAGE(OFFSET($BH$3,0,0,'Données projet'!$E$11+1,1))-AVERAGE(OFFSET($H$3,0,0,'Données projet'!$E$11+1,1))</f>
        <v>435.70500547084868</v>
      </c>
      <c r="BJ48" s="62">
        <f t="shared" si="38"/>
        <v>297.32483725004136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8.6000000000000007E-2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6.5658572916722839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6.5658572916722839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204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204.00000000000003</v>
      </c>
      <c r="BZ48" s="14">
        <f>BY48*VLOOKUP('Données projet'!$B$12,Paramètres!$A$1:$I$89,3,0)*VLOOKUP('Données projet'!$B$12,Paramètres!$A$1:$I$89,5,0)</f>
        <v>232.31520000000003</v>
      </c>
      <c r="CA48" s="14">
        <f t="shared" si="39"/>
        <v>56.782989718443154</v>
      </c>
      <c r="CB48" s="22">
        <f t="shared" si="10"/>
        <v>503.51268042628857</v>
      </c>
      <c r="CC48" s="62">
        <f t="shared" si="11"/>
        <v>755.13943797712272</v>
      </c>
      <c r="CD48" s="62">
        <f ca="1">AVERAGE(OFFSET($CC$3,0,0,'Données projet'!$E$12+1,1))-AVERAGE(OFFSET($H$3,0,0,'Données projet'!$E$12+1,1))</f>
        <v>530.15080507516973</v>
      </c>
      <c r="CE48" s="62">
        <f t="shared" si="40"/>
        <v>358.10331902702217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28</v>
      </c>
      <c r="CH48" s="17">
        <f>IF(ISNA(VLOOKUP(A48,'Données projet'!$A$113:$I$133,5,0)),0%,VLOOKUP(A48,'Données projet'!$A$113:$I$133,5,0)*VLOOKUP('Données projet'!$B$12,Paramètres!$A$1:$I$89,7,0))</f>
        <v>8.6000000000000007E-2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8.2639238326220141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8.2639238326220141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134</v>
      </c>
      <c r="CR48" s="13">
        <f>VLOOKUP(A48,'Données projet'!$A$139:$I$159,9,0)</f>
        <v>8</v>
      </c>
      <c r="CS48" s="13">
        <f t="array" ref="CS48">INDEX(CR:CR,MIN(IF(ISNUMBER(CR48:CR244),ROW(CR48:CR244),"")))</f>
        <v>8</v>
      </c>
      <c r="CT48" s="13">
        <f>IF('Données projet'!$A$140&gt;35,CT47+CS48-DB47,IF(A48&lt;'Données projet'!$A$140,$CQ$205^A48,IF(A48='Données projet'!$A$140,'Données projet'!$B$140,CT47+CS48-DB47)))</f>
        <v>134</v>
      </c>
      <c r="CU48" s="18">
        <f>CT48*VLOOKUP('Données projet'!$B$13,Paramètres!$A$1:$I$89,3,0)*VLOOKUP('Données projet'!$B$13,Paramètres!$A$1:$I$89,5,0)</f>
        <v>114.97200000000001</v>
      </c>
      <c r="CV48" s="14">
        <f t="shared" si="41"/>
        <v>30.499395539367107</v>
      </c>
      <c r="CW48" s="22">
        <f t="shared" si="13"/>
        <v>253.36268056439769</v>
      </c>
      <c r="CX48" s="62">
        <f t="shared" si="14"/>
        <v>504.98943811523179</v>
      </c>
      <c r="CY48" s="62">
        <f ca="1">AVERAGE(OFFSET($CX$3,0,0,'Données projet'!$E$13+1,1))-AVERAGE(OFFSET($H$3,0,0,'Données projet'!$E$13+1,1))</f>
        <v>182.98212193167009</v>
      </c>
      <c r="CZ48" s="62">
        <f t="shared" si="42"/>
        <v>195.9200038944301</v>
      </c>
      <c r="DA48" s="16">
        <f>IF(ISNA(VLOOKUP(A48,'Données projet'!$A$139:$I$159,3,0)),0,VLOOKUP(A48,'Données projet'!$A$139:$I$159,3,0))</f>
        <v>5</v>
      </c>
      <c r="DB48" s="16">
        <f>IF(ISNA(VLOOKUP(A48,'Données projet'!$A$139:$I$159,4,0)),0,VLOOKUP(A48,'Données projet'!$A$139:$I$159,4,0))</f>
        <v>21</v>
      </c>
      <c r="DC48" s="17">
        <f>IF(ISNA(VLOOKUP(A48,'Données projet'!$A$139:$I$159,5,0)),0%,VLOOKUP(A48,'Données projet'!$A$139:$I$159,5,0)*VLOOKUP('Données projet'!$B$13,Paramètres!$A$1:$I$89,7,0))</f>
        <v>0.21200000000000002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10.675713235091841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10.675713235091841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552</v>
      </c>
      <c r="DM48" s="13">
        <f>VLOOKUP(A48,'Données projet'!$A$165:$I$185,9,0)</f>
        <v>26.2</v>
      </c>
      <c r="DN48" s="13">
        <f t="array" ref="DN48">INDEX(DM:DM,MIN(IF(ISNUMBER(DM48:DM244),ROW(DM48:DM244),"")))</f>
        <v>26.2</v>
      </c>
      <c r="DO48" s="13">
        <f>IF('Données projet'!$A$166&gt;35,DO47+DN48-DW47,IF(A48&lt;'Données projet'!$A$166,$DL$205^A48,IF(A48='Données projet'!$A$166,'Données projet'!$B$166,DO47+DN48-DW47)))</f>
        <v>551.99999999999989</v>
      </c>
      <c r="DP48" s="18">
        <f>DO48*VLOOKUP('Données projet'!$B$14,Paramètres!$A$1:$I$89,3,0)*VLOOKUP('Données projet'!$B$14,Paramètres!$A$1:$I$89,5,0)</f>
        <v>243.98399999999998</v>
      </c>
      <c r="DQ48" s="14">
        <f t="shared" si="43"/>
        <v>59.295884425254954</v>
      </c>
      <c r="DR48" s="22">
        <f t="shared" si="16"/>
        <v>528.21246537398554</v>
      </c>
      <c r="DS48" s="62">
        <f t="shared" si="17"/>
        <v>779.83922292481964</v>
      </c>
      <c r="DT48" s="62">
        <f ca="1">AVERAGE(OFFSET($DS$3,0,0,'Données projet'!$E$14+1,1))-AVERAGE(OFFSET($H$3,0,0,'Données projet'!$E$14+1,1))</f>
        <v>338.33525241236157</v>
      </c>
      <c r="DU48" s="62">
        <f t="shared" si="44"/>
        <v>373.47257029791717</v>
      </c>
      <c r="DV48" s="16">
        <f>IF(ISNA(VLOOKUP(A48,'Données projet'!$A$165:$I$185,3,0)),0,VLOOKUP(A48,'Données projet'!$A$165:$I$185,3,0))</f>
        <v>7</v>
      </c>
      <c r="DW48" s="16">
        <f>IF(ISNA(VLOOKUP(A48,'Données projet'!$A$165:$I$185,4,0)),0,VLOOKUP(A48,'Données projet'!$A$165:$I$185,4,0))</f>
        <v>60</v>
      </c>
      <c r="DX48" s="17">
        <f>IF(ISNA(VLOOKUP(A48,'Données projet'!$A$165:$I$185,5,0)),0%,VLOOKUP(A48,'Données projet'!$A$165:$I$185,5,0)*VLOOKUP('Données projet'!$B$14,Paramètres!$A$1:$I$89,7,0))</f>
        <v>0.22000000000000003</v>
      </c>
      <c r="DY48" s="17">
        <f>IF(ISNA(VLOOKUP(A48,'Données projet'!$A$165:$I$185,6,0)),0%,VLOOKUP(A48,'Données projet'!$A$165:$I$185,6,0)*VLOOKUP('Données projet'!$B$14,Paramètres!$A$1:$I$89,7,0))</f>
        <v>0.18700000000000003</v>
      </c>
      <c r="DZ48" s="17">
        <f>IF(ISNA(VLOOKUP(A48,'Données projet'!$A$165:$I$185,7,0)),0%,VLOOKUP(A48,'Données projet'!$A$165:$I$185,7,0))</f>
        <v>0.26</v>
      </c>
      <c r="EA48" s="23">
        <f>EXP(-LN(2)/35)*EA47+(1-EXP(-LN(2)/35))/(LN(2)/35)*DW48*DX48*VLOOKUP('Données projet'!$B$14,Paramètres!$A$1:$I$89,3,0)*0.475*44/12</f>
        <v>22.976263078061834</v>
      </c>
      <c r="EB48" s="23">
        <f>EXP(-LN(2)/25)*EB47+(1-EXP(-LN(2)/25))/(LN(2)/25)*Calculateur!DW48*Calculateur!DY48*VLOOKUP('Données projet'!$B$14,Paramètres!$A$1:$I$89,3,0)*0.475*44/12</f>
        <v>38.72356231702085</v>
      </c>
      <c r="EC48" s="23">
        <f>EXP(-LN(2)/2)*EC47+(1-EXP(-LN(2)/2))/(LN(2)/2)*DW48*DZ48*VLOOKUP('Données projet'!$B$14,Paramètres!$A$1:$I$89,3,0)*0.475*44/12</f>
        <v>9.9098814271317508</v>
      </c>
      <c r="ED48" s="24">
        <f t="shared" si="18"/>
        <v>71.609706822214434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107</v>
      </c>
      <c r="EH48" s="13">
        <f>VLOOKUP(A48,'Données projet'!$A$191:$I$211,9,0)</f>
        <v>5.6</v>
      </c>
      <c r="EI48" s="13">
        <f t="array" ref="EI48">INDEX(EH:EH,MIN(IF(ISNUMBER(EH48:EH244),ROW(EH48:EH244),"")))</f>
        <v>5.6</v>
      </c>
      <c r="EJ48" s="13">
        <f>IF('Données projet'!$A$192&gt;35,EJ47+EI48-ER47,IF(A48&lt;'Données projet'!$A$192,$EG$205^A48,IF(A48='Données projet'!$A$192,'Données projet'!$B$192,EJ47+EI48-ER47)))</f>
        <v>106.99999999999999</v>
      </c>
      <c r="EK48" s="18">
        <f>EJ48*VLOOKUP('Données projet'!$B$15,Paramètres!$A$1:$I$89,3,0)*VLOOKUP('Données projet'!$B$15,Paramètres!$A$1:$I$89,5,0)</f>
        <v>83.46</v>
      </c>
      <c r="EL48" s="14">
        <f t="shared" si="45"/>
        <v>22.981076147201239</v>
      </c>
      <c r="EM48" s="22">
        <f t="shared" si="19"/>
        <v>185.38487428970882</v>
      </c>
      <c r="EN48" s="62">
        <f t="shared" si="20"/>
        <v>437.01163184054292</v>
      </c>
      <c r="EO48" s="62">
        <f ca="1">AVERAGE(OFFSET($EN$3,0,0,'Données projet'!$E$15+1,1))-AVERAGE(OFFSET($H$3,0,0,'Données projet'!$E$15+1,1))</f>
        <v>144.92790055195192</v>
      </c>
      <c r="EP48" s="62">
        <f t="shared" si="46"/>
        <v>151.00642748754026</v>
      </c>
      <c r="EQ48" s="16">
        <f>IF(ISNA(VLOOKUP(A48,'Données projet'!$A$191:$I$211,3,0)),0,VLOOKUP(A48,'Données projet'!$A$191:$I$211,3,0))</f>
        <v>5</v>
      </c>
      <c r="ER48" s="16">
        <f>IF(ISNA(VLOOKUP(A48,'Données projet'!$A$191:$I$211,4,0)),0,VLOOKUP(A48,'Données projet'!$A$191:$I$211,4,0))</f>
        <v>14</v>
      </c>
      <c r="ES48" s="17">
        <f>IF(ISNA(VLOOKUP(A48,'Données projet'!$A$191:$I$211,5,0)),0%,VLOOKUP(A48,'Données projet'!$A$191:$I$211,5,0)*VLOOKUP('Données projet'!$B$15,Paramètres!$A$1:$I$89,7,0))</f>
        <v>0.25800000000000001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5.7859121987311148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5.7859121987311148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7.2</v>
      </c>
      <c r="N49" s="14">
        <f>IF('Données projet'!$A$36&gt;35,N48+M49-V48,IF(A49&lt;'Données projet'!$A$36,$K$205^A49,IF(A49='Données projet'!$A$36,'Données projet'!$B$36,N48+M49-V48)))</f>
        <v>190.19999999999993</v>
      </c>
      <c r="O49" s="14">
        <f>N49*VLOOKUP('Données projet'!$B$9,Paramètres!$A$1:$I$89,3,0)*VLOOKUP('Données projet'!$B$9,Paramètres!$A$1:$I$89,5,0)</f>
        <v>154.29023999999995</v>
      </c>
      <c r="P49" s="14">
        <f t="shared" si="33"/>
        <v>39.551952121114581</v>
      </c>
      <c r="Q49" s="22">
        <f t="shared" si="53"/>
        <v>337.6084846109411</v>
      </c>
      <c r="R49" s="62">
        <f t="shared" si="0"/>
        <v>589.95875800966678</v>
      </c>
      <c r="S49" s="62">
        <f ca="1">AVERAGE(OFFSET($R$3,0,0,'Données projet'!$E$9+1,1))-AVERAGE(OFFSET($H$3,0,0,'Données projet'!$E$9+1,1))</f>
        <v>259.10606516000064</v>
      </c>
      <c r="T49" s="62">
        <f t="shared" si="34"/>
        <v>316.57989180609252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12.134754705260404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12.134754705260404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</v>
      </c>
      <c r="AI49" s="14">
        <f>IF('Données projet'!$A$62&gt;35,AI48+AH49-AQ48,IF(A49&lt;'Données projet'!$A$62,$AF$205^A49,IF(A49='Données projet'!$A$62,'Données projet'!$B$62,AI48+AH49-AQ48)))</f>
        <v>250</v>
      </c>
      <c r="AJ49" s="14">
        <f>AI49*VLOOKUP('Données projet'!$B$10,Paramètres!$A$1:$I$89,3,0)*VLOOKUP('Données projet'!$B$10,Paramètres!$A$1:$I$89,5,0)</f>
        <v>117</v>
      </c>
      <c r="AK49" s="14">
        <f t="shared" si="35"/>
        <v>30.974270896484146</v>
      </c>
      <c r="AL49" s="22">
        <f t="shared" si="4"/>
        <v>257.72185514470988</v>
      </c>
      <c r="AM49" s="62">
        <f t="shared" si="5"/>
        <v>510.0721285434355</v>
      </c>
      <c r="AN49" s="62">
        <f ca="1">AVERAGE(OFFSET($AM$3,0,0,'Données projet'!$E$10+1,1))-AVERAGE(OFFSET($H$3,0,0,'Données projet'!$E$10+1,1))</f>
        <v>186.83226999296298</v>
      </c>
      <c r="AO49" s="62">
        <f t="shared" si="36"/>
        <v>232.70925470547317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9.0487614967250494</v>
      </c>
      <c r="AV49" s="23">
        <f>EXP(-LN(2)/25)*AV48+(1-EXP(-LN(2)/25))/(LN(2)/25)*Calculateur!AQ49*Calculateur!AS49*VLOOKUP('Données projet'!$B$10,Paramètres!$A$1:$I$89,3,0)*0.475*44/12</f>
        <v>6.6302591958984545</v>
      </c>
      <c r="AW49" s="23">
        <f>EXP(-LN(2)/2)*AW48+(1-EXP(-LN(2)/2))/(LN(2)/2)*AQ49*AT49*VLOOKUP('Données projet'!$B$10,Paramètres!$A$1:$I$89,3,0)*0.475*44/12</f>
        <v>0.608539477661178</v>
      </c>
      <c r="AX49" s="23">
        <f t="shared" si="6"/>
        <v>16.287560170284682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187.00000000000003</v>
      </c>
      <c r="BE49" s="14">
        <f>BD49*VLOOKUP('Données projet'!$B$11,Paramètres!$A$1:$I$89,3,0)*VLOOKUP('Données projet'!$B$11,Paramètres!$A$1:$I$89,5,0)</f>
        <v>169.19760000000002</v>
      </c>
      <c r="BF49" s="14">
        <f t="shared" si="37"/>
        <v>42.910263223432885</v>
      </c>
      <c r="BG49" s="22">
        <f t="shared" si="7"/>
        <v>369.42119511414558</v>
      </c>
      <c r="BH49" s="62">
        <f t="shared" si="8"/>
        <v>621.77146851287125</v>
      </c>
      <c r="BI49" s="62">
        <f ca="1">AVERAGE(OFFSET($BH$3,0,0,'Données projet'!$E$11+1,1))-AVERAGE(OFFSET($H$3,0,0,'Données projet'!$E$11+1,1))</f>
        <v>435.70500547084868</v>
      </c>
      <c r="BJ49" s="62">
        <f t="shared" si="38"/>
        <v>297.32483725004136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6.437104834960099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6.437104834960099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187.00000000000003</v>
      </c>
      <c r="BZ49" s="14">
        <f>BY49*VLOOKUP('Données projet'!$B$12,Paramètres!$A$1:$I$89,3,0)*VLOOKUP('Données projet'!$B$12,Paramètres!$A$1:$I$89,5,0)</f>
        <v>212.95560000000003</v>
      </c>
      <c r="CA49" s="14">
        <f t="shared" si="39"/>
        <v>52.580932360887203</v>
      </c>
      <c r="CB49" s="22">
        <f t="shared" si="10"/>
        <v>462.47612719521197</v>
      </c>
      <c r="CC49" s="62">
        <f t="shared" si="11"/>
        <v>714.82640059393759</v>
      </c>
      <c r="CD49" s="62">
        <f ca="1">AVERAGE(OFFSET($CC$3,0,0,'Données projet'!$E$12+1,1))-AVERAGE(OFFSET($H$3,0,0,'Données projet'!$E$12+1,1))</f>
        <v>530.15080507516973</v>
      </c>
      <c r="CE49" s="62">
        <f t="shared" si="40"/>
        <v>358.10331902702217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8.1018733267601259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8.1018733267601259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121.19999999999999</v>
      </c>
      <c r="CU49" s="18">
        <f>CT49*VLOOKUP('Données projet'!$B$13,Paramètres!$A$1:$I$89,3,0)*VLOOKUP('Données projet'!$B$13,Paramètres!$A$1:$I$89,5,0)</f>
        <v>103.9896</v>
      </c>
      <c r="CV49" s="14">
        <f t="shared" si="41"/>
        <v>27.91028988913331</v>
      </c>
      <c r="CW49" s="22">
        <f t="shared" si="13"/>
        <v>229.72564155690716</v>
      </c>
      <c r="CX49" s="62">
        <f t="shared" si="14"/>
        <v>482.07591495563281</v>
      </c>
      <c r="CY49" s="62">
        <f ca="1">AVERAGE(OFFSET($CX$3,0,0,'Données projet'!$E$13+1,1))-AVERAGE(OFFSET($H$3,0,0,'Données projet'!$E$13+1,1))</f>
        <v>182.98212193167009</v>
      </c>
      <c r="CZ49" s="62">
        <f t="shared" si="42"/>
        <v>195.9200038944301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10.466369010093802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10.466369010093802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23.6</v>
      </c>
      <c r="DO49" s="13">
        <f>IF('Données projet'!$A$166&gt;35,DO48+DN49-DW48,IF(A49&lt;'Données projet'!$A$166,$DL$205^A49,IF(A49='Données projet'!$A$166,'Données projet'!$B$166,DO48+DN49-DW48)))</f>
        <v>515.59999999999991</v>
      </c>
      <c r="DP49" s="18">
        <f>DO49*VLOOKUP('Données projet'!$B$14,Paramètres!$A$1:$I$89,3,0)*VLOOKUP('Données projet'!$B$14,Paramètres!$A$1:$I$89,5,0)</f>
        <v>227.89519999999996</v>
      </c>
      <c r="DQ49" s="14">
        <f t="shared" si="43"/>
        <v>55.827331338755826</v>
      </c>
      <c r="DR49" s="22">
        <f t="shared" si="16"/>
        <v>494.15007541499972</v>
      </c>
      <c r="DS49" s="62">
        <f t="shared" si="17"/>
        <v>746.5003488137254</v>
      </c>
      <c r="DT49" s="62">
        <f ca="1">AVERAGE(OFFSET($DS$3,0,0,'Données projet'!$E$14+1,1))-AVERAGE(OFFSET($H$3,0,0,'Données projet'!$E$14+1,1))</f>
        <v>338.33525241236157</v>
      </c>
      <c r="DU49" s="62">
        <f t="shared" si="44"/>
        <v>373.47257029791717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22.525712573237737</v>
      </c>
      <c r="EB49" s="23">
        <f>EXP(-LN(2)/25)*EB48+(1-EXP(-LN(2)/25))/(LN(2)/25)*Calculateur!DW49*Calculateur!DY49*VLOOKUP('Données projet'!$B$14,Paramètres!$A$1:$I$89,3,0)*0.475*44/12</f>
        <v>37.664664469078275</v>
      </c>
      <c r="EC49" s="23">
        <f>EXP(-LN(2)/2)*EC48+(1-EXP(-LN(2)/2))/(LN(2)/2)*DW49*DZ49*VLOOKUP('Données projet'!$B$14,Paramètres!$A$1:$I$89,3,0)*0.475*44/12</f>
        <v>7.0073443578794823</v>
      </c>
      <c r="ED49" s="24">
        <f t="shared" si="18"/>
        <v>67.197721400195491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5.6</v>
      </c>
      <c r="EJ49" s="13">
        <f>IF('Données projet'!$A$192&gt;35,EJ48+EI49-ER48,IF(A49&lt;'Données projet'!$A$192,$EG$205^A49,IF(A49='Données projet'!$A$192,'Données projet'!$B$192,EJ48+EI49-ER48)))</f>
        <v>98.59999999999998</v>
      </c>
      <c r="EK49" s="18">
        <f>EJ49*VLOOKUP('Données projet'!$B$15,Paramètres!$A$1:$I$89,3,0)*VLOOKUP('Données projet'!$B$15,Paramètres!$A$1:$I$89,5,0)</f>
        <v>76.907999999999987</v>
      </c>
      <c r="EL49" s="14">
        <f t="shared" si="45"/>
        <v>21.379448490435635</v>
      </c>
      <c r="EM49" s="22">
        <f t="shared" si="19"/>
        <v>171.18397278750868</v>
      </c>
      <c r="EN49" s="62">
        <f t="shared" si="20"/>
        <v>423.53424618623433</v>
      </c>
      <c r="EO49" s="62">
        <f ca="1">AVERAGE(OFFSET($EN$3,0,0,'Données projet'!$E$15+1,1))-AVERAGE(OFFSET($H$3,0,0,'Données projet'!$E$15+1,1))</f>
        <v>144.92790055195192</v>
      </c>
      <c r="EP49" s="62">
        <f t="shared" si="46"/>
        <v>151.00642748754026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5.6724539895719737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5.6724539895719737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7.2</v>
      </c>
      <c r="N50" s="14">
        <f>IF('Données projet'!$A$36&gt;35,N49+M50-V49,IF(A50&lt;'Données projet'!$A$36,$K$205^A50,IF(A50='Données projet'!$A$36,'Données projet'!$B$36,N49+M50-V49)))</f>
        <v>197.39999999999992</v>
      </c>
      <c r="O50" s="14">
        <f>N50*VLOOKUP('Données projet'!$B$9,Paramètres!$A$1:$I$89,3,0)*VLOOKUP('Données projet'!$B$9,Paramètres!$A$1:$I$89,5,0)</f>
        <v>160.13087999999996</v>
      </c>
      <c r="P50" s="14">
        <f t="shared" si="33"/>
        <v>40.872034351060186</v>
      </c>
      <c r="Q50" s="22">
        <f t="shared" si="53"/>
        <v>350.08007582809643</v>
      </c>
      <c r="R50" s="62">
        <f t="shared" si="0"/>
        <v>603.14131369229176</v>
      </c>
      <c r="S50" s="62">
        <f ca="1">AVERAGE(OFFSET($R$3,0,0,'Données projet'!$E$9+1,1))-AVERAGE(OFFSET($H$3,0,0,'Données projet'!$E$9+1,1))</f>
        <v>259.10606516000064</v>
      </c>
      <c r="T50" s="62">
        <f t="shared" si="34"/>
        <v>316.57989180609252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11.896799566959784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11.896799566959784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</v>
      </c>
      <c r="AI50" s="14">
        <f>IF('Données projet'!$A$62&gt;35,AI49+AH50-AQ49,IF(A50&lt;'Données projet'!$A$62,$AF$205^A50,IF(A50='Données projet'!$A$62,'Données projet'!$B$62,AI49+AH50-AQ49)))</f>
        <v>260</v>
      </c>
      <c r="AJ50" s="14">
        <f>AI50*VLOOKUP('Données projet'!$B$10,Paramètres!$A$1:$I$89,3,0)*VLOOKUP('Données projet'!$B$10,Paramètres!$A$1:$I$89,5,0)</f>
        <v>121.67999999999999</v>
      </c>
      <c r="AK50" s="14">
        <f t="shared" si="35"/>
        <v>32.066514091456256</v>
      </c>
      <c r="AL50" s="22">
        <f t="shared" si="4"/>
        <v>267.77517870928631</v>
      </c>
      <c r="AM50" s="62">
        <f t="shared" si="5"/>
        <v>520.83641657348176</v>
      </c>
      <c r="AN50" s="62">
        <f ca="1">AVERAGE(OFFSET($AM$3,0,0,'Données projet'!$E$10+1,1))-AVERAGE(OFFSET($H$3,0,0,'Données projet'!$E$10+1,1))</f>
        <v>186.83226999296298</v>
      </c>
      <c r="AO50" s="62">
        <f t="shared" si="36"/>
        <v>232.70925470547317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8.8713208029738091</v>
      </c>
      <c r="AV50" s="23">
        <f>EXP(-LN(2)/25)*AV49+(1-EXP(-LN(2)/25))/(LN(2)/25)*Calculateur!AQ50*Calculateur!AS50*VLOOKUP('Données projet'!$B$10,Paramètres!$A$1:$I$89,3,0)*0.475*44/12</f>
        <v>6.4489544095164337</v>
      </c>
      <c r="AW50" s="23">
        <f>EXP(-LN(2)/2)*AW49+(1-EXP(-LN(2)/2))/(LN(2)/2)*AQ50*AT50*VLOOKUP('Données projet'!$B$10,Paramètres!$A$1:$I$89,3,0)*0.475*44/12</f>
        <v>0.43030239127393854</v>
      </c>
      <c r="AX50" s="23">
        <f t="shared" si="6"/>
        <v>15.750577603764182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198.00000000000003</v>
      </c>
      <c r="BE50" s="14">
        <f>BD50*VLOOKUP('Données projet'!$B$11,Paramètres!$A$1:$I$89,3,0)*VLOOKUP('Données projet'!$B$11,Paramètres!$A$1:$I$89,5,0)</f>
        <v>179.15040000000002</v>
      </c>
      <c r="BF50" s="14">
        <f t="shared" si="37"/>
        <v>45.133113803437304</v>
      </c>
      <c r="BG50" s="22">
        <f t="shared" si="7"/>
        <v>390.62711987431999</v>
      </c>
      <c r="BH50" s="62">
        <f t="shared" si="8"/>
        <v>643.68835773851538</v>
      </c>
      <c r="BI50" s="62">
        <f ca="1">AVERAGE(OFFSET($BH$3,0,0,'Données projet'!$E$11+1,1))-AVERAGE(OFFSET($H$3,0,0,'Données projet'!$E$11+1,1))</f>
        <v>435.70500547084868</v>
      </c>
      <c r="BJ50" s="62">
        <f t="shared" si="38"/>
        <v>297.32483725004136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6.3108771353927962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6.3108771353927962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198.00000000000003</v>
      </c>
      <c r="BZ50" s="14">
        <f>BY50*VLOOKUP('Données projet'!$B$12,Paramètres!$A$1:$I$89,3,0)*VLOOKUP('Données projet'!$B$12,Paramètres!$A$1:$I$89,5,0)</f>
        <v>225.48240000000004</v>
      </c>
      <c r="CA50" s="14">
        <f t="shared" si="39"/>
        <v>55.304745901414371</v>
      </c>
      <c r="CB50" s="22">
        <f t="shared" si="10"/>
        <v>489.03761244496349</v>
      </c>
      <c r="CC50" s="62">
        <f t="shared" si="11"/>
        <v>742.09885030915893</v>
      </c>
      <c r="CD50" s="62">
        <f ca="1">AVERAGE(OFFSET($CC$3,0,0,'Données projet'!$E$12+1,1))-AVERAGE(OFFSET($H$3,0,0,'Données projet'!$E$12+1,1))</f>
        <v>530.15080507516973</v>
      </c>
      <c r="CE50" s="62">
        <f t="shared" si="40"/>
        <v>358.10331902702217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7.9430005324771411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7.9430005324771411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129.39999999999998</v>
      </c>
      <c r="CU50" s="18">
        <f>CT50*VLOOKUP('Données projet'!$B$13,Paramètres!$A$1:$I$89,3,0)*VLOOKUP('Données projet'!$B$13,Paramètres!$A$1:$I$89,5,0)</f>
        <v>111.02519999999998</v>
      </c>
      <c r="CV50" s="14">
        <f t="shared" si="41"/>
        <v>29.572399121141618</v>
      </c>
      <c r="CW50" s="22">
        <f t="shared" si="13"/>
        <v>244.87415180265498</v>
      </c>
      <c r="CX50" s="62">
        <f t="shared" si="14"/>
        <v>497.93538966685037</v>
      </c>
      <c r="CY50" s="62">
        <f ca="1">AVERAGE(OFFSET($CX$3,0,0,'Données projet'!$E$13+1,1))-AVERAGE(OFFSET($H$3,0,0,'Données projet'!$E$13+1,1))</f>
        <v>182.98212193167009</v>
      </c>
      <c r="CZ50" s="62">
        <f t="shared" si="42"/>
        <v>195.9200038944301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10.261129897660606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10.261129897660606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23.6</v>
      </c>
      <c r="DO50" s="13">
        <f>IF('Données projet'!$A$166&gt;35,DO49+DN50-DW49,IF(A50&lt;'Données projet'!$A$166,$DL$205^A50,IF(A50='Données projet'!$A$166,'Données projet'!$B$166,DO49+DN50-DW49)))</f>
        <v>539.19999999999993</v>
      </c>
      <c r="DP50" s="18">
        <f>DO50*VLOOKUP('Données projet'!$B$14,Paramètres!$A$1:$I$89,3,0)*VLOOKUP('Données projet'!$B$14,Paramètres!$A$1:$I$89,5,0)</f>
        <v>238.32640000000001</v>
      </c>
      <c r="DQ50" s="14">
        <f t="shared" si="43"/>
        <v>58.079300769771677</v>
      </c>
      <c r="DR50" s="22">
        <f t="shared" si="16"/>
        <v>516.23992884068559</v>
      </c>
      <c r="DS50" s="62">
        <f t="shared" si="17"/>
        <v>769.30116670488098</v>
      </c>
      <c r="DT50" s="62">
        <f ca="1">AVERAGE(OFFSET($DS$3,0,0,'Données projet'!$E$14+1,1))-AVERAGE(OFFSET($H$3,0,0,'Données projet'!$E$14+1,1))</f>
        <v>338.33525241236157</v>
      </c>
      <c r="DU50" s="62">
        <f t="shared" si="44"/>
        <v>373.47257029791717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22.083997089004569</v>
      </c>
      <c r="EB50" s="23">
        <f>EXP(-LN(2)/25)*EB49+(1-EXP(-LN(2)/25))/(LN(2)/25)*Calculateur!DW50*Calculateur!DY50*VLOOKUP('Données projet'!$B$14,Paramètres!$A$1:$I$89,3,0)*0.475*44/12</f>
        <v>36.634722238472712</v>
      </c>
      <c r="EC50" s="23">
        <f>EXP(-LN(2)/2)*EC49+(1-EXP(-LN(2)/2))/(LN(2)/2)*DW50*DZ50*VLOOKUP('Données projet'!$B$14,Paramètres!$A$1:$I$89,3,0)*0.475*44/12</f>
        <v>4.9549407135658754</v>
      </c>
      <c r="ED50" s="24">
        <f t="shared" si="18"/>
        <v>63.673660041043156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5.6</v>
      </c>
      <c r="EJ50" s="13">
        <f>IF('Données projet'!$A$192&gt;35,EJ49+EI50-ER49,IF(A50&lt;'Données projet'!$A$192,$EG$205^A50,IF(A50='Données projet'!$A$192,'Données projet'!$B$192,EJ49+EI50-ER49)))</f>
        <v>104.19999999999997</v>
      </c>
      <c r="EK50" s="18">
        <f>EJ50*VLOOKUP('Données projet'!$B$15,Paramètres!$A$1:$I$89,3,0)*VLOOKUP('Données projet'!$B$15,Paramètres!$A$1:$I$89,5,0)</f>
        <v>81.275999999999982</v>
      </c>
      <c r="EL50" s="14">
        <f t="shared" si="45"/>
        <v>22.448884850933901</v>
      </c>
      <c r="EM50" s="22">
        <f t="shared" si="19"/>
        <v>180.65417444870982</v>
      </c>
      <c r="EN50" s="62">
        <f t="shared" si="20"/>
        <v>433.71541231290519</v>
      </c>
      <c r="EO50" s="62">
        <f ca="1">AVERAGE(OFFSET($EN$3,0,0,'Données projet'!$E$15+1,1))-AVERAGE(OFFSET($H$3,0,0,'Données projet'!$E$15+1,1))</f>
        <v>144.92790055195192</v>
      </c>
      <c r="EP50" s="62">
        <f t="shared" si="46"/>
        <v>151.00642748754026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5.5612206266917683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5.5612206266917683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7.2</v>
      </c>
      <c r="N51" s="14">
        <f>IF('Données projet'!$A$36&gt;35,N50+M51-V50,IF(A51&lt;'Données projet'!$A$36,$K$205^A51,IF(A51='Données projet'!$A$36,'Données projet'!$B$36,N50+M51-V50)))</f>
        <v>204.59999999999991</v>
      </c>
      <c r="O51" s="14">
        <f>N51*VLOOKUP('Données projet'!$B$9,Paramètres!$A$1:$I$89,3,0)*VLOOKUP('Données projet'!$B$9,Paramètres!$A$1:$I$89,5,0)</f>
        <v>165.97151999999994</v>
      </c>
      <c r="P51" s="14">
        <f t="shared" si="33"/>
        <v>42.186522619819392</v>
      </c>
      <c r="Q51" s="22">
        <f t="shared" si="53"/>
        <v>362.54192422951866</v>
      </c>
      <c r="R51" s="62">
        <f t="shared" si="0"/>
        <v>616.3017929151863</v>
      </c>
      <c r="S51" s="62">
        <f ca="1">AVERAGE(OFFSET($R$3,0,0,'Données projet'!$E$9+1,1))-AVERAGE(OFFSET($H$3,0,0,'Données projet'!$E$9+1,1))</f>
        <v>259.10606516000064</v>
      </c>
      <c r="T51" s="62">
        <f t="shared" si="34"/>
        <v>316.57989180609252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11.663510583782935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11.663510583782935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10</v>
      </c>
      <c r="AI51" s="14">
        <f>IF('Données projet'!$A$62&gt;35,AI50+AH51-AQ50,IF(A51&lt;'Données projet'!$A$62,$AF$205^A51,IF(A51='Données projet'!$A$62,'Données projet'!$B$62,AI50+AH51-AQ50)))</f>
        <v>270</v>
      </c>
      <c r="AJ51" s="14">
        <f>AI51*VLOOKUP('Données projet'!$B$10,Paramètres!$A$1:$I$89,3,0)*VLOOKUP('Données projet'!$B$10,Paramètres!$A$1:$I$89,5,0)</f>
        <v>126.36000000000001</v>
      </c>
      <c r="AK51" s="14">
        <f t="shared" si="35"/>
        <v>33.153877056327453</v>
      </c>
      <c r="AL51" s="22">
        <f t="shared" si="4"/>
        <v>277.82000253977031</v>
      </c>
      <c r="AM51" s="62">
        <f t="shared" si="5"/>
        <v>531.57987122543796</v>
      </c>
      <c r="AN51" s="62">
        <f ca="1">AVERAGE(OFFSET($AM$3,0,0,'Données projet'!$E$10+1,1))-AVERAGE(OFFSET($H$3,0,0,'Données projet'!$E$10+1,1))</f>
        <v>186.83226999296298</v>
      </c>
      <c r="AO51" s="62">
        <f t="shared" si="36"/>
        <v>232.70925470547317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8.697359612998893</v>
      </c>
      <c r="AV51" s="23">
        <f>EXP(-LN(2)/25)*AV50+(1-EXP(-LN(2)/25))/(LN(2)/25)*Calculateur!AQ51*Calculateur!AS51*VLOOKUP('Données projet'!$B$10,Paramètres!$A$1:$I$89,3,0)*0.475*44/12</f>
        <v>6.2726074120524338</v>
      </c>
      <c r="AW51" s="23">
        <f>EXP(-LN(2)/2)*AW50+(1-EXP(-LN(2)/2))/(LN(2)/2)*AQ51*AT51*VLOOKUP('Données projet'!$B$10,Paramètres!$A$1:$I$89,3,0)*0.475*44/12</f>
        <v>0.30426973883058905</v>
      </c>
      <c r="AX51" s="23">
        <f t="shared" si="6"/>
        <v>15.274236763881916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209.00000000000003</v>
      </c>
      <c r="BE51" s="14">
        <f>BD51*VLOOKUP('Données projet'!$B$11,Paramètres!$A$1:$I$89,3,0)*VLOOKUP('Données projet'!$B$11,Paramètres!$A$1:$I$89,5,0)</f>
        <v>189.10320000000002</v>
      </c>
      <c r="BF51" s="14">
        <f t="shared" si="37"/>
        <v>47.34162854278712</v>
      </c>
      <c r="BG51" s="22">
        <f t="shared" si="7"/>
        <v>411.80807637868764</v>
      </c>
      <c r="BH51" s="62">
        <f t="shared" si="8"/>
        <v>665.5679450643554</v>
      </c>
      <c r="BI51" s="62">
        <f ca="1">AVERAGE(OFFSET($BH$3,0,0,'Données projet'!$E$11+1,1))-AVERAGE(OFFSET($H$3,0,0,'Données projet'!$E$11+1,1))</f>
        <v>435.70500547084868</v>
      </c>
      <c r="BJ51" s="62">
        <f t="shared" si="38"/>
        <v>297.32483725004136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6.1871246840227139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6.1871246840227139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209.00000000000003</v>
      </c>
      <c r="BZ51" s="14">
        <f>BY51*VLOOKUP('Données projet'!$B$12,Paramètres!$A$1:$I$89,3,0)*VLOOKUP('Données projet'!$B$12,Paramètres!$A$1:$I$89,5,0)</f>
        <v>238.00920000000005</v>
      </c>
      <c r="CA51" s="14">
        <f t="shared" si="39"/>
        <v>58.010992738519761</v>
      </c>
      <c r="CB51" s="22">
        <f t="shared" si="10"/>
        <v>515.56850235292211</v>
      </c>
      <c r="CC51" s="62">
        <f t="shared" si="11"/>
        <v>769.32837103858981</v>
      </c>
      <c r="CD51" s="62">
        <f ca="1">AVERAGE(OFFSET($CC$3,0,0,'Données projet'!$E$12+1,1))-AVERAGE(OFFSET($H$3,0,0,'Données projet'!$E$12+1,1))</f>
        <v>530.15080507516973</v>
      </c>
      <c r="CE51" s="62">
        <f t="shared" si="40"/>
        <v>358.10331902702217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7.7872431367872093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7.7872431367872093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137.59999999999997</v>
      </c>
      <c r="CU51" s="18">
        <f>CT51*VLOOKUP('Données projet'!$B$13,Paramètres!$A$1:$I$89,3,0)*VLOOKUP('Données projet'!$B$13,Paramètres!$A$1:$I$89,5,0)</f>
        <v>118.06079999999999</v>
      </c>
      <c r="CV51" s="14">
        <f t="shared" si="41"/>
        <v>31.222284778272353</v>
      </c>
      <c r="CW51" s="22">
        <f t="shared" si="13"/>
        <v>260.00137265549091</v>
      </c>
      <c r="CX51" s="62">
        <f t="shared" si="14"/>
        <v>513.76124134115867</v>
      </c>
      <c r="CY51" s="62">
        <f ca="1">AVERAGE(OFFSET($CX$3,0,0,'Données projet'!$E$13+1,1))-AVERAGE(OFFSET($H$3,0,0,'Données projet'!$E$13+1,1))</f>
        <v>182.98212193167009</v>
      </c>
      <c r="CZ51" s="62">
        <f t="shared" si="42"/>
        <v>195.9200038944301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10.059915399038726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10.059915399038726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23.6</v>
      </c>
      <c r="DO51" s="13">
        <f>IF('Données projet'!$A$166&gt;35,DO50+DN51-DW50,IF(A51&lt;'Données projet'!$A$166,$DL$205^A51,IF(A51='Données projet'!$A$166,'Données projet'!$B$166,DO50+DN51-DW50)))</f>
        <v>562.79999999999995</v>
      </c>
      <c r="DP51" s="18">
        <f>DO51*VLOOKUP('Données projet'!$B$14,Paramètres!$A$1:$I$89,3,0)*VLOOKUP('Données projet'!$B$14,Paramètres!$A$1:$I$89,5,0)</f>
        <v>248.75760000000002</v>
      </c>
      <c r="DQ51" s="14">
        <f t="shared" si="43"/>
        <v>60.319822501290531</v>
      </c>
      <c r="DR51" s="22">
        <f t="shared" si="16"/>
        <v>538.30984418974776</v>
      </c>
      <c r="DS51" s="62">
        <f t="shared" si="17"/>
        <v>792.06971287541546</v>
      </c>
      <c r="DT51" s="62">
        <f ca="1">AVERAGE(OFFSET($DS$3,0,0,'Données projet'!$E$14+1,1))-AVERAGE(OFFSET($H$3,0,0,'Données projet'!$E$14+1,1))</f>
        <v>338.33525241236157</v>
      </c>
      <c r="DU51" s="62">
        <f t="shared" si="44"/>
        <v>373.47257029791717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21.650943375997372</v>
      </c>
      <c r="EB51" s="23">
        <f>EXP(-LN(2)/25)*EB50+(1-EXP(-LN(2)/25))/(LN(2)/25)*Calculateur!DW51*Calculateur!DY51*VLOOKUP('Données projet'!$B$14,Paramètres!$A$1:$I$89,3,0)*0.475*44/12</f>
        <v>35.63294383232536</v>
      </c>
      <c r="EC51" s="23">
        <f>EXP(-LN(2)/2)*EC50+(1-EXP(-LN(2)/2))/(LN(2)/2)*DW51*DZ51*VLOOKUP('Données projet'!$B$14,Paramètres!$A$1:$I$89,3,0)*0.475*44/12</f>
        <v>3.5036721789397411</v>
      </c>
      <c r="ED51" s="24">
        <f t="shared" si="18"/>
        <v>60.787559387262476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5.6</v>
      </c>
      <c r="EJ51" s="13">
        <f>IF('Données projet'!$A$192&gt;35,EJ50+EI51-ER50,IF(A51&lt;'Données projet'!$A$192,$EG$205^A51,IF(A51='Données projet'!$A$192,'Données projet'!$B$192,EJ50+EI51-ER50)))</f>
        <v>109.79999999999997</v>
      </c>
      <c r="EK51" s="18">
        <f>EJ51*VLOOKUP('Données projet'!$B$15,Paramètres!$A$1:$I$89,3,0)*VLOOKUP('Données projet'!$B$15,Paramètres!$A$1:$I$89,5,0)</f>
        <v>85.643999999999977</v>
      </c>
      <c r="EL51" s="14">
        <f t="shared" si="45"/>
        <v>23.511648669822069</v>
      </c>
      <c r="EM51" s="22">
        <f t="shared" si="19"/>
        <v>190.11275476660671</v>
      </c>
      <c r="EN51" s="62">
        <f t="shared" si="20"/>
        <v>443.87262345227441</v>
      </c>
      <c r="EO51" s="62">
        <f ca="1">AVERAGE(OFFSET($EN$3,0,0,'Données projet'!$E$15+1,1))-AVERAGE(OFFSET($H$3,0,0,'Données projet'!$E$15+1,1))</f>
        <v>144.92790055195192</v>
      </c>
      <c r="EP51" s="62">
        <f t="shared" si="46"/>
        <v>151.00642748754026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5.4521684822119916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5.4521684822119916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7.2</v>
      </c>
      <c r="N52" s="14">
        <f>IF('Données projet'!$A$36&gt;35,N51+M52-V51,IF(A52&lt;'Données projet'!$A$36,$K$205^A52,IF(A52='Données projet'!$A$36,'Données projet'!$B$36,N51+M52-V51)))</f>
        <v>211.7999999999999</v>
      </c>
      <c r="O52" s="14">
        <f>N52*VLOOKUP('Données projet'!$B$9,Paramètres!$A$1:$I$89,3,0)*VLOOKUP('Données projet'!$B$9,Paramètres!$A$1:$I$89,5,0)</f>
        <v>171.81215999999992</v>
      </c>
      <c r="P52" s="14">
        <f t="shared" si="33"/>
        <v>43.49563633881931</v>
      </c>
      <c r="Q52" s="22">
        <f t="shared" si="53"/>
        <v>374.99441195677679</v>
      </c>
      <c r="R52" s="62">
        <f t="shared" si="0"/>
        <v>629.44079178106881</v>
      </c>
      <c r="S52" s="62">
        <f ca="1">AVERAGE(OFFSET($R$3,0,0,'Données projet'!$E$9+1,1))-AVERAGE(OFFSET($H$3,0,0,'Données projet'!$E$9+1,1))</f>
        <v>259.10606516000064</v>
      </c>
      <c r="T52" s="62">
        <f t="shared" si="34"/>
        <v>316.57989180609252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11.434796255273955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11.434796255273955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10</v>
      </c>
      <c r="AI52" s="14">
        <f>IF('Données projet'!$A$62&gt;35,AI51+AH52-AQ51,IF(A52&lt;'Données projet'!$A$62,$AF$205^A52,IF(A52='Données projet'!$A$62,'Données projet'!$B$62,AI51+AH52-AQ51)))</f>
        <v>280</v>
      </c>
      <c r="AJ52" s="14">
        <f>AI52*VLOOKUP('Données projet'!$B$10,Paramètres!$A$1:$I$89,3,0)*VLOOKUP('Données projet'!$B$10,Paramètres!$A$1:$I$89,5,0)</f>
        <v>131.04</v>
      </c>
      <c r="AK52" s="14">
        <f t="shared" si="35"/>
        <v>34.236561238949918</v>
      </c>
      <c r="AL52" s="22">
        <f t="shared" si="4"/>
        <v>287.85667749117107</v>
      </c>
      <c r="AM52" s="62">
        <f t="shared" si="5"/>
        <v>542.30305731546309</v>
      </c>
      <c r="AN52" s="62">
        <f ca="1">AVERAGE(OFFSET($AM$3,0,0,'Données projet'!$E$10+1,1))-AVERAGE(OFFSET($H$3,0,0,'Données projet'!$E$10+1,1))</f>
        <v>186.83226999296298</v>
      </c>
      <c r="AO52" s="62">
        <f t="shared" si="36"/>
        <v>232.70925470547317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8.5268096958535367</v>
      </c>
      <c r="AV52" s="23">
        <f>EXP(-LN(2)/25)*AV51+(1-EXP(-LN(2)/25))/(LN(2)/25)*Calculateur!AQ52*Calculateur!AS52*VLOOKUP('Données projet'!$B$10,Paramètres!$A$1:$I$89,3,0)*0.475*44/12</f>
        <v>6.1010826325077723</v>
      </c>
      <c r="AW52" s="23">
        <f>EXP(-LN(2)/2)*AW51+(1-EXP(-LN(2)/2))/(LN(2)/2)*AQ52*AT52*VLOOKUP('Données projet'!$B$10,Paramètres!$A$1:$I$89,3,0)*0.475*44/12</f>
        <v>0.2151511956369693</v>
      </c>
      <c r="AX52" s="23">
        <f t="shared" si="6"/>
        <v>14.843043523998277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220.00000000000003</v>
      </c>
      <c r="BE52" s="14">
        <f>BD52*VLOOKUP('Données projet'!$B$11,Paramètres!$A$1:$I$89,3,0)*VLOOKUP('Données projet'!$B$11,Paramètres!$A$1:$I$89,5,0)</f>
        <v>199.05600000000001</v>
      </c>
      <c r="BF52" s="14">
        <f t="shared" si="37"/>
        <v>49.536648006253934</v>
      </c>
      <c r="BG52" s="22">
        <f t="shared" si="7"/>
        <v>432.96552861089231</v>
      </c>
      <c r="BH52" s="62">
        <f t="shared" si="8"/>
        <v>687.41190843518427</v>
      </c>
      <c r="BI52" s="62">
        <f ca="1">AVERAGE(OFFSET($BH$3,0,0,'Données projet'!$E$11+1,1))-AVERAGE(OFFSET($H$3,0,0,'Données projet'!$E$11+1,1))</f>
        <v>435.70500547084868</v>
      </c>
      <c r="BJ52" s="62">
        <f t="shared" si="38"/>
        <v>297.32483725004136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6.0657989427424566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6.0657989427424566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220.00000000000003</v>
      </c>
      <c r="BZ52" s="14">
        <f>BY52*VLOOKUP('Données projet'!$B$12,Paramètres!$A$1:$I$89,3,0)*VLOOKUP('Données projet'!$B$12,Paramètres!$A$1:$I$89,5,0)</f>
        <v>250.53600000000006</v>
      </c>
      <c r="CA52" s="14">
        <f t="shared" si="39"/>
        <v>60.700702874726794</v>
      </c>
      <c r="CB52" s="22">
        <f t="shared" si="10"/>
        <v>542.07059084014929</v>
      </c>
      <c r="CC52" s="62">
        <f t="shared" si="11"/>
        <v>796.51697066444126</v>
      </c>
      <c r="CD52" s="62">
        <f ca="1">AVERAGE(OFFSET($CC$3,0,0,'Données projet'!$E$12+1,1))-AVERAGE(OFFSET($H$3,0,0,'Données projet'!$E$12+1,1))</f>
        <v>530.15080507516973</v>
      </c>
      <c r="CE52" s="62">
        <f t="shared" si="40"/>
        <v>358.10331902702217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7.6345400486241264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7.6345400486241264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145.79999999999995</v>
      </c>
      <c r="CU52" s="18">
        <f>CT52*VLOOKUP('Données projet'!$B$13,Paramètres!$A$1:$I$89,3,0)*VLOOKUP('Données projet'!$B$13,Paramètres!$A$1:$I$89,5,0)</f>
        <v>125.09639999999997</v>
      </c>
      <c r="CV52" s="14">
        <f t="shared" si="41"/>
        <v>32.860758265272182</v>
      </c>
      <c r="CW52" s="22">
        <f t="shared" si="13"/>
        <v>275.10871731201564</v>
      </c>
      <c r="CX52" s="62">
        <f t="shared" si="14"/>
        <v>529.55509713630761</v>
      </c>
      <c r="CY52" s="62">
        <f ca="1">AVERAGE(OFFSET($CX$3,0,0,'Données projet'!$E$13+1,1))-AVERAGE(OFFSET($H$3,0,0,'Données projet'!$E$13+1,1))</f>
        <v>182.98212193167009</v>
      </c>
      <c r="CZ52" s="62">
        <f t="shared" si="42"/>
        <v>195.9200038944301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9.8626465940060957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9.8626465940060957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23.6</v>
      </c>
      <c r="DO52" s="13">
        <f>IF('Données projet'!$A$166&gt;35,DO51+DN52-DW51,IF(A52&lt;'Données projet'!$A$166,$DL$205^A52,IF(A52='Données projet'!$A$166,'Données projet'!$B$166,DO51+DN52-DW51)))</f>
        <v>586.4</v>
      </c>
      <c r="DP52" s="18">
        <f>DO52*VLOOKUP('Données projet'!$B$14,Paramètres!$A$1:$I$89,3,0)*VLOOKUP('Données projet'!$B$14,Paramètres!$A$1:$I$89,5,0)</f>
        <v>259.18880000000001</v>
      </c>
      <c r="DQ52" s="14">
        <f t="shared" si="43"/>
        <v>62.549431462373178</v>
      </c>
      <c r="DR52" s="22">
        <f t="shared" si="16"/>
        <v>560.36075313029983</v>
      </c>
      <c r="DS52" s="62">
        <f t="shared" si="17"/>
        <v>814.80713295459179</v>
      </c>
      <c r="DT52" s="62">
        <f ca="1">AVERAGE(OFFSET($DS$3,0,0,'Données projet'!$E$14+1,1))-AVERAGE(OFFSET($H$3,0,0,'Données projet'!$E$14+1,1))</f>
        <v>338.33525241236157</v>
      </c>
      <c r="DU52" s="62">
        <f t="shared" si="44"/>
        <v>373.47257029791717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21.226381582165562</v>
      </c>
      <c r="EB52" s="23">
        <f>EXP(-LN(2)/25)*EB51+(1-EXP(-LN(2)/25))/(LN(2)/25)*Calculateur!DW52*Calculateur!DY52*VLOOKUP('Données projet'!$B$14,Paramètres!$A$1:$I$89,3,0)*0.475*44/12</f>
        <v>34.658559109375346</v>
      </c>
      <c r="EC52" s="23">
        <f>EXP(-LN(2)/2)*EC51+(1-EXP(-LN(2)/2))/(LN(2)/2)*DW52*DZ52*VLOOKUP('Données projet'!$B$14,Paramètres!$A$1:$I$89,3,0)*0.475*44/12</f>
        <v>2.4774703567829377</v>
      </c>
      <c r="ED52" s="24">
        <f t="shared" si="18"/>
        <v>58.362411048323843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5.6</v>
      </c>
      <c r="EJ52" s="13">
        <f>IF('Données projet'!$A$192&gt;35,EJ51+EI52-ER51,IF(A52&lt;'Données projet'!$A$192,$EG$205^A52,IF(A52='Données projet'!$A$192,'Données projet'!$B$192,EJ51+EI52-ER51)))</f>
        <v>115.39999999999996</v>
      </c>
      <c r="EK52" s="18">
        <f>EJ52*VLOOKUP('Données projet'!$B$15,Paramètres!$A$1:$I$89,3,0)*VLOOKUP('Données projet'!$B$15,Paramètres!$A$1:$I$89,5,0)</f>
        <v>90.011999999999972</v>
      </c>
      <c r="EL52" s="14">
        <f t="shared" si="45"/>
        <v>24.568119082492863</v>
      </c>
      <c r="EM52" s="22">
        <f t="shared" si="19"/>
        <v>199.56037406867503</v>
      </c>
      <c r="EN52" s="62">
        <f t="shared" si="20"/>
        <v>454.00675389296703</v>
      </c>
      <c r="EO52" s="62">
        <f ca="1">AVERAGE(OFFSET($EN$3,0,0,'Données projet'!$E$15+1,1))-AVERAGE(OFFSET($H$3,0,0,'Données projet'!$E$15+1,1))</f>
        <v>144.92790055195192</v>
      </c>
      <c r="EP52" s="62">
        <f t="shared" si="46"/>
        <v>151.00642748754026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5.3452547837702236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5.3452547837702236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219</v>
      </c>
      <c r="L53" s="13">
        <f>VLOOKUP(A53,'Données projet'!$A$35:$I$55,9,0)</f>
        <v>7.2</v>
      </c>
      <c r="M53" s="13">
        <f t="array" ref="M53">INDEX(L:L,MIN(IF(ISNUMBER(L53:L249),ROW(L53:L249),"")))</f>
        <v>7.2</v>
      </c>
      <c r="N53" s="14">
        <f>IF('Données projet'!$A$36&gt;35,N52+M53-V52,IF(A53&lt;'Données projet'!$A$36,$K$205^A53,IF(A53='Données projet'!$A$36,'Données projet'!$B$36,N52+M53-V52)))</f>
        <v>218.99999999999989</v>
      </c>
      <c r="O53" s="14">
        <f>N53*VLOOKUP('Données projet'!$B$9,Paramètres!$A$1:$I$89,3,0)*VLOOKUP('Données projet'!$B$9,Paramètres!$A$1:$I$89,5,0)</f>
        <v>177.6527999999999</v>
      </c>
      <c r="P53" s="14">
        <f t="shared" si="33"/>
        <v>44.799579155749704</v>
      </c>
      <c r="Q53" s="22">
        <f t="shared" si="53"/>
        <v>387.43789369626387</v>
      </c>
      <c r="R53" s="62">
        <f t="shared" si="0"/>
        <v>642.55887522573403</v>
      </c>
      <c r="S53" s="62">
        <f ca="1">AVERAGE(OFFSET($R$3,0,0,'Données projet'!$E$9+1,1))-AVERAGE(OFFSET($H$3,0,0,'Données projet'!$E$9+1,1))</f>
        <v>259.10606516000064</v>
      </c>
      <c r="T53" s="62">
        <f t="shared" si="34"/>
        <v>316.57989180609252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17</v>
      </c>
      <c r="W53" s="17">
        <f>IF(ISNA(VLOOKUP(A53,'Données projet'!$A$35:$I$55,5,0)),0%,VLOOKUP(A53,'Données projet'!$A$35:$I$55,5,0)*VLOOKUP('Données projet'!$B$9,Paramètres!$A$1:$I$89,7,0))</f>
        <v>0.34400000000000003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16.454805155582523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16.454805155582523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290</v>
      </c>
      <c r="AG53" s="13">
        <f>VLOOKUP(A53,'Données projet'!$A$61:$I$81,9,0)</f>
        <v>10</v>
      </c>
      <c r="AH53" s="13">
        <f t="array" ref="AH53">INDEX(AG:AG,MIN(IF(ISNUMBER(AG53:AG249),ROW(AG53:AG249),"")))</f>
        <v>10</v>
      </c>
      <c r="AI53" s="14">
        <f>IF('Données projet'!$A$62&gt;35,AI52+AH53-AQ52,IF(A53&lt;'Données projet'!$A$62,$AF$205^A53,IF(A53='Données projet'!$A$62,'Données projet'!$B$62,AI52+AH53-AQ52)))</f>
        <v>290</v>
      </c>
      <c r="AJ53" s="14">
        <f>AI53*VLOOKUP('Données projet'!$B$10,Paramètres!$A$1:$I$89,3,0)*VLOOKUP('Données projet'!$B$10,Paramètres!$A$1:$I$89,5,0)</f>
        <v>135.72</v>
      </c>
      <c r="AK53" s="14">
        <f t="shared" si="35"/>
        <v>35.314752882348131</v>
      </c>
      <c r="AL53" s="22">
        <f t="shared" si="4"/>
        <v>297.88552793675632</v>
      </c>
      <c r="AM53" s="62">
        <f t="shared" si="5"/>
        <v>553.00650946622636</v>
      </c>
      <c r="AN53" s="62">
        <f ca="1">AVERAGE(OFFSET($AM$3,0,0,'Données projet'!$E$10+1,1))-AVERAGE(OFFSET($H$3,0,0,'Données projet'!$E$10+1,1))</f>
        <v>186.83226999296298</v>
      </c>
      <c r="AO53" s="62">
        <f t="shared" si="36"/>
        <v>232.70925470547317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40</v>
      </c>
      <c r="AR53" s="17">
        <f>IF(ISNA(VLOOKUP(A53,'Données projet'!$A$61:$I$81,5,0)),0%,VLOOKUP(A53,'Données projet'!$A$61:$I$81,5,0)*VLOOKUP('Données projet'!$B$10,Paramètres!$A$1:$I$89,7,0))</f>
        <v>0.38500000000000001</v>
      </c>
      <c r="AS53" s="17">
        <f>IF(ISNA(VLOOKUP(A53,'Données projet'!$A$61:$I$81,6,0)),0%,VLOOKUP(A53,'Données projet'!$A$61:$I$81,6,0)*VLOOKUP('Données projet'!$B$10,Paramètres!$A$1:$I$89,7,0))</f>
        <v>9.3500000000000014E-2</v>
      </c>
      <c r="AT53" s="17">
        <f>IF(ISNA(VLOOKUP(A53,'Données projet'!$A$61:$I$81,7,0)),0%,VLOOKUP(A53,'Données projet'!$A$61:$I$81,7,0))</f>
        <v>0.13</v>
      </c>
      <c r="AU53" s="23">
        <f>EXP(-LN(2)/35)*AU52+(1-EXP(-LN(2)/35))/(LN(2)/35)*AQ53*AR53*VLOOKUP('Données projet'!$B$10,Paramètres!$A$1:$I$89,3,0)*0.475*44/12</f>
        <v>17.92041950180208</v>
      </c>
      <c r="AV53" s="23">
        <f>EXP(-LN(2)/25)*AV52+(1-EXP(-LN(2)/25))/(LN(2)/25)*Calculateur!AQ53*Calculateur!AS53*VLOOKUP('Données projet'!$B$10,Paramètres!$A$1:$I$89,3,0)*0.475*44/12</f>
        <v>8.2470182512910171</v>
      </c>
      <c r="AW53" s="23">
        <f>EXP(-LN(2)/2)*AW52+(1-EXP(-LN(2)/2))/(LN(2)/2)*AQ53*AT53*VLOOKUP('Données projet'!$B$10,Paramètres!$A$1:$I$89,3,0)*0.475*44/12</f>
        <v>2.9075353886757016</v>
      </c>
      <c r="AX53" s="23">
        <f t="shared" si="6"/>
        <v>29.074973141768798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231.00000000000003</v>
      </c>
      <c r="BE53" s="14">
        <f>BD53*VLOOKUP('Données projet'!$B$11,Paramètres!$A$1:$I$89,3,0)*VLOOKUP('Données projet'!$B$11,Paramètres!$A$1:$I$89,5,0)</f>
        <v>209.00880000000004</v>
      </c>
      <c r="BF53" s="14">
        <f t="shared" si="37"/>
        <v>51.718923953824252</v>
      </c>
      <c r="BG53" s="22">
        <f t="shared" si="7"/>
        <v>454.10078588624395</v>
      </c>
      <c r="BH53" s="62">
        <f t="shared" si="8"/>
        <v>709.22176741571411</v>
      </c>
      <c r="BI53" s="62">
        <f ca="1">AVERAGE(OFFSET($BH$3,0,0,'Données projet'!$E$11+1,1))-AVERAGE(OFFSET($H$3,0,0,'Données projet'!$E$11+1,1))</f>
        <v>435.70500547084868</v>
      </c>
      <c r="BJ53" s="62">
        <f t="shared" si="38"/>
        <v>297.32483725004136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0.17200000000000001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10.763958075964517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10.763958075964517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231.00000000000003</v>
      </c>
      <c r="BZ53" s="14">
        <f>BY53*VLOOKUP('Données projet'!$B$12,Paramètres!$A$1:$I$89,3,0)*VLOOKUP('Données projet'!$B$12,Paramètres!$A$1:$I$89,5,0)</f>
        <v>263.06280000000004</v>
      </c>
      <c r="CA53" s="14">
        <f t="shared" si="39"/>
        <v>63.374797493874269</v>
      </c>
      <c r="CB53" s="22">
        <f t="shared" si="10"/>
        <v>568.54548230183116</v>
      </c>
      <c r="CC53" s="62">
        <f t="shared" si="11"/>
        <v>823.66646383130126</v>
      </c>
      <c r="CD53" s="62">
        <f ca="1">AVERAGE(OFFSET($CC$3,0,0,'Données projet'!$E$12+1,1))-AVERAGE(OFFSET($H$3,0,0,'Données projet'!$E$12+1,1))</f>
        <v>530.15080507516973</v>
      </c>
      <c r="CE53" s="62">
        <f t="shared" si="40"/>
        <v>358.10331902702217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28</v>
      </c>
      <c r="CH53" s="17">
        <f>IF(ISNA(VLOOKUP(A53,'Données projet'!$A$113:$I$133,5,0)),0%,VLOOKUP(A53,'Données projet'!$A$113:$I$133,5,0)*VLOOKUP('Données projet'!$B$12,Paramètres!$A$1:$I$89,7,0))</f>
        <v>0.17200000000000001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13.547740336989824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13.547740336989824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154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153.99999999999994</v>
      </c>
      <c r="CU53" s="18">
        <f>CT53*VLOOKUP('Données projet'!$B$13,Paramètres!$A$1:$I$89,3,0)*VLOOKUP('Données projet'!$B$13,Paramètres!$A$1:$I$89,5,0)</f>
        <v>132.13199999999998</v>
      </c>
      <c r="CV53" s="14">
        <f t="shared" si="41"/>
        <v>34.488534562859115</v>
      </c>
      <c r="CW53" s="22">
        <f t="shared" si="13"/>
        <v>290.19743103031288</v>
      </c>
      <c r="CX53" s="62">
        <f t="shared" si="14"/>
        <v>545.31841255978293</v>
      </c>
      <c r="CY53" s="62">
        <f ca="1">AVERAGE(OFFSET($CX$3,0,0,'Données projet'!$E$13+1,1))-AVERAGE(OFFSET($H$3,0,0,'Données projet'!$E$13+1,1))</f>
        <v>182.98212193167009</v>
      </c>
      <c r="CZ53" s="62">
        <f t="shared" si="42"/>
        <v>195.9200038944301</v>
      </c>
      <c r="DA53" s="16">
        <f>IF(ISNA(VLOOKUP(A53,'Données projet'!$A$139:$I$159,3,0)),0,VLOOKUP(A53,'Données projet'!$A$139:$I$159,3,0))</f>
        <v>6</v>
      </c>
      <c r="DB53" s="16">
        <f>IF(ISNA(VLOOKUP(A53,'Données projet'!$A$139:$I$159,4,0)),0,VLOOKUP(A53,'Données projet'!$A$139:$I$159,4,0))</f>
        <v>21</v>
      </c>
      <c r="DC53" s="17">
        <f>IF(ISNA(VLOOKUP(A53,'Données projet'!$A$139:$I$159,5,0)),0%,VLOOKUP(A53,'Données projet'!$A$139:$I$159,5,0)*VLOOKUP('Données projet'!$B$13,Paramètres!$A$1:$I$89,7,0))</f>
        <v>0.318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16.003286274817118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16.003286274817118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610</v>
      </c>
      <c r="DM53" s="13">
        <f>VLOOKUP(A53,'Données projet'!$A$165:$I$185,9,0)</f>
        <v>23.6</v>
      </c>
      <c r="DN53" s="13">
        <f t="array" ref="DN53">INDEX(DM:DM,MIN(IF(ISNUMBER(DM53:DM249),ROW(DM53:DM249),"")))</f>
        <v>23.6</v>
      </c>
      <c r="DO53" s="13">
        <f>IF('Données projet'!$A$166&gt;35,DO52+DN53-DW52,IF(A53&lt;'Données projet'!$A$166,$DL$205^A53,IF(A53='Données projet'!$A$166,'Données projet'!$B$166,DO52+DN53-DW52)))</f>
        <v>610</v>
      </c>
      <c r="DP53" s="18">
        <f>DO53*VLOOKUP('Données projet'!$B$14,Paramètres!$A$1:$I$89,3,0)*VLOOKUP('Données projet'!$B$14,Paramètres!$A$1:$I$89,5,0)</f>
        <v>269.62</v>
      </c>
      <c r="DQ53" s="14">
        <f t="shared" si="43"/>
        <v>64.768617088050021</v>
      </c>
      <c r="DR53" s="22">
        <f t="shared" si="16"/>
        <v>582.39350809502037</v>
      </c>
      <c r="DS53" s="62">
        <f t="shared" si="17"/>
        <v>837.51448962449047</v>
      </c>
      <c r="DT53" s="62">
        <f ca="1">AVERAGE(OFFSET($DS$3,0,0,'Données projet'!$E$14+1,1))-AVERAGE(OFFSET($H$3,0,0,'Données projet'!$E$14+1,1))</f>
        <v>338.33525241236157</v>
      </c>
      <c r="DU53" s="62">
        <f t="shared" si="44"/>
        <v>373.47257029791717</v>
      </c>
      <c r="DV53" s="16">
        <f>IF(ISNA(VLOOKUP(A53,'Données projet'!$A$165:$I$185,3,0)),0,VLOOKUP(A53,'Données projet'!$A$165:$I$185,3,0))</f>
        <v>8</v>
      </c>
      <c r="DW53" s="16">
        <f>IF(ISNA(VLOOKUP(A53,'Données projet'!$A$165:$I$185,4,0)),0,VLOOKUP(A53,'Données projet'!$A$165:$I$185,4,0))</f>
        <v>51</v>
      </c>
      <c r="DX53" s="17">
        <f>IF(ISNA(VLOOKUP(A53,'Données projet'!$A$165:$I$185,5,0)),0%,VLOOKUP(A53,'Données projet'!$A$165:$I$185,5,0)*VLOOKUP('Données projet'!$B$14,Paramètres!$A$1:$I$89,7,0))</f>
        <v>0.33</v>
      </c>
      <c r="DY53" s="17">
        <f>IF(ISNA(VLOOKUP(A53,'Données projet'!$A$165:$I$185,6,0)),0%,VLOOKUP(A53,'Données projet'!$A$165:$I$185,6,0)*VLOOKUP('Données projet'!$B$14,Paramètres!$A$1:$I$89,7,0))</f>
        <v>0.12320000000000003</v>
      </c>
      <c r="DZ53" s="17">
        <f>IF(ISNA(VLOOKUP(A53,'Données projet'!$A$165:$I$185,7,0)),0%,VLOOKUP(A53,'Données projet'!$A$165:$I$185,7,0))</f>
        <v>0.17600000000000002</v>
      </c>
      <c r="EA53" s="23">
        <f>EXP(-LN(2)/35)*EA52+(1-EXP(-LN(2)/35))/(LN(2)/35)*DW53*DX53*VLOOKUP('Données projet'!$B$14,Paramètres!$A$1:$I$89,3,0)*0.475*44/12</f>
        <v>30.678272451144647</v>
      </c>
      <c r="EB53" s="23">
        <f>EXP(-LN(2)/25)*EB52+(1-EXP(-LN(2)/25))/(LN(2)/25)*Calculateur!DW53*Calculateur!DY53*VLOOKUP('Données projet'!$B$14,Paramètres!$A$1:$I$89,3,0)*0.475*44/12</f>
        <v>37.380414124730109</v>
      </c>
      <c r="EC53" s="23">
        <f>EXP(-LN(2)/2)*EC52+(1-EXP(-LN(2)/2))/(LN(2)/2)*DW53*DZ53*VLOOKUP('Données projet'!$B$14,Paramètres!$A$1:$I$89,3,0)*0.475*44/12</f>
        <v>6.2438454488179911</v>
      </c>
      <c r="ED53" s="24">
        <f t="shared" si="18"/>
        <v>74.302532024692752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121</v>
      </c>
      <c r="EH53" s="13">
        <f>VLOOKUP(A53,'Données projet'!$A$191:$I$211,9,0)</f>
        <v>5.6</v>
      </c>
      <c r="EI53" s="13">
        <f t="array" ref="EI53">INDEX(EH:EH,MIN(IF(ISNUMBER(EH53:EH249),ROW(EH53:EH249),"")))</f>
        <v>5.6</v>
      </c>
      <c r="EJ53" s="13">
        <f>IF('Données projet'!$A$192&gt;35,EJ52+EI53-ER52,IF(A53&lt;'Données projet'!$A$192,$EG$205^A53,IF(A53='Données projet'!$A$192,'Données projet'!$B$192,EJ52+EI53-ER52)))</f>
        <v>120.99999999999996</v>
      </c>
      <c r="EK53" s="18">
        <f>EJ53*VLOOKUP('Données projet'!$B$15,Paramètres!$A$1:$I$89,3,0)*VLOOKUP('Données projet'!$B$15,Paramètres!$A$1:$I$89,5,0)</f>
        <v>94.379999999999967</v>
      </c>
      <c r="EL53" s="14">
        <f t="shared" si="45"/>
        <v>25.618636348883211</v>
      </c>
      <c r="EM53" s="22">
        <f t="shared" si="19"/>
        <v>208.99762497430484</v>
      </c>
      <c r="EN53" s="62">
        <f t="shared" si="20"/>
        <v>464.11860650377491</v>
      </c>
      <c r="EO53" s="62">
        <f ca="1">AVERAGE(OFFSET($EN$3,0,0,'Données projet'!$E$15+1,1))-AVERAGE(OFFSET($H$3,0,0,'Données projet'!$E$15+1,1))</f>
        <v>144.92790055195192</v>
      </c>
      <c r="EP53" s="62">
        <f t="shared" si="46"/>
        <v>151.00642748754026</v>
      </c>
      <c r="EQ53" s="16">
        <f>IF(ISNA(VLOOKUP(A53,'Données projet'!$A$191:$I$211,3,0)),0,VLOOKUP(A53,'Données projet'!$A$191:$I$211,3,0))</f>
        <v>6</v>
      </c>
      <c r="ER53" s="16">
        <f>IF(ISNA(VLOOKUP(A53,'Données projet'!$A$191:$I$211,4,0)),0,VLOOKUP(A53,'Données projet'!$A$191:$I$211,4,0))</f>
        <v>14</v>
      </c>
      <c r="ES53" s="17">
        <f>IF(ISNA(VLOOKUP(A53,'Données projet'!$A$191:$I$211,5,0)),0%,VLOOKUP(A53,'Données projet'!$A$191:$I$211,5,0)*VLOOKUP('Données projet'!$B$15,Paramètres!$A$1:$I$89,7,0))</f>
        <v>0.34400000000000003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9.3931149690519185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9.3931149690519185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</v>
      </c>
      <c r="N54" s="14">
        <f>IF('Données projet'!$A$36&gt;35,N53+M54-V53,IF(A54&lt;'Données projet'!$A$36,$K$205^A54,IF(A54='Données projet'!$A$36,'Données projet'!$B$36,N53+M54-V53)))</f>
        <v>207.99999999999989</v>
      </c>
      <c r="O54" s="14">
        <f>N54*VLOOKUP('Données projet'!$B$9,Paramètres!$A$1:$I$89,3,0)*VLOOKUP('Données projet'!$B$9,Paramètres!$A$1:$I$89,5,0)</f>
        <v>168.72959999999992</v>
      </c>
      <c r="P54" s="14">
        <f t="shared" si="33"/>
        <v>42.805372152385068</v>
      </c>
      <c r="Q54" s="22">
        <f t="shared" si="53"/>
        <v>368.42340983207049</v>
      </c>
      <c r="R54" s="62">
        <f t="shared" si="0"/>
        <v>624.20729023531726</v>
      </c>
      <c r="S54" s="62">
        <f ca="1">AVERAGE(OFFSET($R$3,0,0,'Données projet'!$E$9+1,1))-AVERAGE(OFFSET($H$3,0,0,'Données projet'!$E$9+1,1))</f>
        <v>259.10606516000064</v>
      </c>
      <c r="T54" s="62">
        <f t="shared" si="34"/>
        <v>316.57989180609252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16.132136462921679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16.132136462921679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</v>
      </c>
      <c r="AI54" s="14">
        <f>IF('Données projet'!$A$62&gt;35,AI53+AH54-AQ53,IF(A54&lt;'Données projet'!$A$62,$AF$205^A54,IF(A54='Données projet'!$A$62,'Données projet'!$B$62,AI53+AH54-AQ53)))</f>
        <v>260</v>
      </c>
      <c r="AJ54" s="14">
        <f>AI54*VLOOKUP('Données projet'!$B$10,Paramètres!$A$1:$I$89,3,0)*VLOOKUP('Données projet'!$B$10,Paramètres!$A$1:$I$89,5,0)</f>
        <v>121.67999999999999</v>
      </c>
      <c r="AK54" s="14">
        <f t="shared" si="35"/>
        <v>32.066514091456256</v>
      </c>
      <c r="AL54" s="22">
        <f t="shared" si="4"/>
        <v>267.77517870928631</v>
      </c>
      <c r="AM54" s="62">
        <f t="shared" si="5"/>
        <v>523.55905911253308</v>
      </c>
      <c r="AN54" s="62">
        <f ca="1">AVERAGE(OFFSET($AM$3,0,0,'Données projet'!$E$10+1,1))-AVERAGE(OFFSET($H$3,0,0,'Données projet'!$E$10+1,1))</f>
        <v>186.83226999296298</v>
      </c>
      <c r="AO54" s="62">
        <f t="shared" si="36"/>
        <v>232.70925470547317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17.569011005748351</v>
      </c>
      <c r="AV54" s="23">
        <f>EXP(-LN(2)/25)*AV53+(1-EXP(-LN(2)/25))/(LN(2)/25)*Calculateur!AQ54*Calculateur!AS54*VLOOKUP('Données projet'!$B$10,Paramètres!$A$1:$I$89,3,0)*0.475*44/12</f>
        <v>8.0215031035176239</v>
      </c>
      <c r="AW54" s="23">
        <f>EXP(-LN(2)/2)*AW53+(1-EXP(-LN(2)/2))/(LN(2)/2)*AQ54*AT54*VLOOKUP('Données projet'!$B$10,Paramètres!$A$1:$I$89,3,0)*0.475*44/12</f>
        <v>2.055937989872453</v>
      </c>
      <c r="AX54" s="23">
        <f t="shared" si="6"/>
        <v>27.646452099138429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213.20000000000002</v>
      </c>
      <c r="BE54" s="14">
        <f>BD54*VLOOKUP('Données projet'!$B$11,Paramètres!$A$1:$I$89,3,0)*VLOOKUP('Données projet'!$B$11,Paramètres!$A$1:$I$89,5,0)</f>
        <v>192.90336000000002</v>
      </c>
      <c r="BF54" s="14">
        <f t="shared" si="37"/>
        <v>48.181276881765257</v>
      </c>
      <c r="BG54" s="22">
        <f t="shared" si="7"/>
        <v>419.88907590240791</v>
      </c>
      <c r="BH54" s="62">
        <f t="shared" si="8"/>
        <v>675.67295630565468</v>
      </c>
      <c r="BI54" s="62">
        <f ca="1">AVERAGE(OFFSET($BH$3,0,0,'Données projet'!$E$11+1,1))-AVERAGE(OFFSET($H$3,0,0,'Données projet'!$E$11+1,1))</f>
        <v>435.70500547084868</v>
      </c>
      <c r="BJ54" s="62">
        <f t="shared" si="38"/>
        <v>297.32483725004136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10.552883423461003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10.552883423461003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213.20000000000002</v>
      </c>
      <c r="BZ54" s="14">
        <f>BY54*VLOOKUP('Données projet'!$B$12,Paramètres!$A$1:$I$89,3,0)*VLOOKUP('Données projet'!$B$12,Paramètres!$A$1:$I$89,5,0)</f>
        <v>242.79216</v>
      </c>
      <c r="CA54" s="14">
        <f t="shared" si="39"/>
        <v>59.039872293251292</v>
      </c>
      <c r="CB54" s="22">
        <f t="shared" si="10"/>
        <v>525.6907895774126</v>
      </c>
      <c r="CC54" s="62">
        <f t="shared" si="11"/>
        <v>781.47466998065943</v>
      </c>
      <c r="CD54" s="62">
        <f ca="1">AVERAGE(OFFSET($CC$3,0,0,'Données projet'!$E$12+1,1))-AVERAGE(OFFSET($H$3,0,0,'Données projet'!$E$12+1,1))</f>
        <v>530.15080507516973</v>
      </c>
      <c r="CE54" s="62">
        <f t="shared" si="40"/>
        <v>358.10331902702217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13.282077412287125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13.282077412287125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8.6</v>
      </c>
      <c r="CT54" s="13">
        <f>IF('Données projet'!$A$140&gt;35,CT53+CS54-DB53,IF(A54&lt;'Données projet'!$A$140,$CQ$205^A54,IF(A54='Données projet'!$A$140,'Données projet'!$B$140,CT53+CS54-DB53)))</f>
        <v>141.59999999999994</v>
      </c>
      <c r="CU54" s="18">
        <f>CT54*VLOOKUP('Données projet'!$B$13,Paramètres!$A$1:$I$89,3,0)*VLOOKUP('Données projet'!$B$13,Paramètres!$A$1:$I$89,5,0)</f>
        <v>121.49279999999995</v>
      </c>
      <c r="CV54" s="14">
        <f t="shared" si="41"/>
        <v>32.022919460248382</v>
      </c>
      <c r="CW54" s="22">
        <f t="shared" si="13"/>
        <v>267.37321139326588</v>
      </c>
      <c r="CX54" s="62">
        <f t="shared" si="14"/>
        <v>523.15709179651276</v>
      </c>
      <c r="CY54" s="62">
        <f ca="1">AVERAGE(OFFSET($CX$3,0,0,'Données projet'!$E$13+1,1))-AVERAGE(OFFSET($H$3,0,0,'Données projet'!$E$13+1,1))</f>
        <v>182.98212193167009</v>
      </c>
      <c r="CZ54" s="62">
        <f t="shared" si="42"/>
        <v>195.9200038944301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15.68947159200876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15.68947159200876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21</v>
      </c>
      <c r="DO54" s="13">
        <f>IF('Données projet'!$A$166&gt;35,DO53+DN54-DW53,IF(A54&lt;'Données projet'!$A$166,$DL$205^A54,IF(A54='Données projet'!$A$166,'Données projet'!$B$166,DO53+DN54-DW53)))</f>
        <v>580</v>
      </c>
      <c r="DP54" s="18">
        <f>DO54*VLOOKUP('Données projet'!$B$14,Paramètres!$A$1:$I$89,3,0)*VLOOKUP('Données projet'!$B$14,Paramètres!$A$1:$I$89,5,0)</f>
        <v>256.36</v>
      </c>
      <c r="DQ54" s="14">
        <f t="shared" si="43"/>
        <v>61.945841529525417</v>
      </c>
      <c r="DR54" s="22">
        <f t="shared" si="16"/>
        <v>554.38267399725669</v>
      </c>
      <c r="DS54" s="62">
        <f t="shared" si="17"/>
        <v>810.16655440050351</v>
      </c>
      <c r="DT54" s="62">
        <f ca="1">AVERAGE(OFFSET($DS$3,0,0,'Données projet'!$E$14+1,1))-AVERAGE(OFFSET($H$3,0,0,'Données projet'!$E$14+1,1))</f>
        <v>338.33525241236157</v>
      </c>
      <c r="DU54" s="62">
        <f t="shared" si="44"/>
        <v>373.47257029791717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30.07669024027625</v>
      </c>
      <c r="EB54" s="23">
        <f>EXP(-LN(2)/25)*EB53+(1-EXP(-LN(2)/25))/(LN(2)/25)*Calculateur!DW54*Calculateur!DY54*VLOOKUP('Données projet'!$B$14,Paramètres!$A$1:$I$89,3,0)*0.475*44/12</f>
        <v>36.358244734738818</v>
      </c>
      <c r="EC54" s="23">
        <f>EXP(-LN(2)/2)*EC53+(1-EXP(-LN(2)/2))/(LN(2)/2)*DW54*DZ54*VLOOKUP('Données projet'!$B$14,Paramètres!$A$1:$I$89,3,0)*0.475*44/12</f>
        <v>4.4150654575399644</v>
      </c>
      <c r="ED54" s="24">
        <f t="shared" si="18"/>
        <v>70.850000432555035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5.6</v>
      </c>
      <c r="EJ54" s="13">
        <f>IF('Données projet'!$A$192&gt;35,EJ53+EI54-ER53,IF(A54&lt;'Données projet'!$A$192,$EG$205^A54,IF(A54='Données projet'!$A$192,'Données projet'!$B$192,EJ53+EI54-ER53)))</f>
        <v>112.59999999999995</v>
      </c>
      <c r="EK54" s="18">
        <f>EJ54*VLOOKUP('Données projet'!$B$15,Paramètres!$A$1:$I$89,3,0)*VLOOKUP('Données projet'!$B$15,Paramètres!$A$1:$I$89,5,0)</f>
        <v>87.82799999999996</v>
      </c>
      <c r="EL54" s="14">
        <f t="shared" si="45"/>
        <v>24.040648445778626</v>
      </c>
      <c r="EM54" s="22">
        <f t="shared" si="19"/>
        <v>194.83789604306438</v>
      </c>
      <c r="EN54" s="62">
        <f t="shared" si="20"/>
        <v>450.62177644631117</v>
      </c>
      <c r="EO54" s="62">
        <f ca="1">AVERAGE(OFFSET($EN$3,0,0,'Données projet'!$E$15+1,1))-AVERAGE(OFFSET($H$3,0,0,'Données projet'!$E$15+1,1))</f>
        <v>144.92790055195192</v>
      </c>
      <c r="EP54" s="62">
        <f t="shared" si="46"/>
        <v>151.00642748754026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9.2089217137432264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9.2089217137432264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6</v>
      </c>
      <c r="N55" s="14">
        <f>IF('Données projet'!$A$36&gt;35,N54+M55-V54,IF(A55&lt;'Données projet'!$A$36,$K$205^A55,IF(A55='Données projet'!$A$36,'Données projet'!$B$36,N54+M55-V54)))</f>
        <v>213.99999999999989</v>
      </c>
      <c r="O55" s="14">
        <f>N55*VLOOKUP('Données projet'!$B$9,Paramètres!$A$1:$I$89,3,0)*VLOOKUP('Données projet'!$B$9,Paramètres!$A$1:$I$89,5,0)</f>
        <v>173.59679999999992</v>
      </c>
      <c r="P55" s="14">
        <f t="shared" si="33"/>
        <v>43.894602908365897</v>
      </c>
      <c r="Q55" s="22">
        <f t="shared" si="53"/>
        <v>378.79752673207048</v>
      </c>
      <c r="R55" s="62">
        <f t="shared" si="0"/>
        <v>635.23280619565389</v>
      </c>
      <c r="S55" s="62">
        <f ca="1">AVERAGE(OFFSET($R$3,0,0,'Données projet'!$E$9+1,1))-AVERAGE(OFFSET($H$3,0,0,'Données projet'!$E$9+1,1))</f>
        <v>259.10606516000064</v>
      </c>
      <c r="T55" s="62">
        <f t="shared" si="34"/>
        <v>316.57989180609252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15.815795106515445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15.815795106515445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</v>
      </c>
      <c r="AI55" s="14">
        <f>IF('Données projet'!$A$62&gt;35,AI54+AH55-AQ54,IF(A55&lt;'Données projet'!$A$62,$AF$205^A55,IF(A55='Données projet'!$A$62,'Données projet'!$B$62,AI54+AH55-AQ54)))</f>
        <v>270</v>
      </c>
      <c r="AJ55" s="14">
        <f>AI55*VLOOKUP('Données projet'!$B$10,Paramètres!$A$1:$I$89,3,0)*VLOOKUP('Données projet'!$B$10,Paramètres!$A$1:$I$89,5,0)</f>
        <v>126.36000000000001</v>
      </c>
      <c r="AK55" s="14">
        <f t="shared" si="35"/>
        <v>33.153877056327453</v>
      </c>
      <c r="AL55" s="22">
        <f t="shared" si="4"/>
        <v>277.82000253977031</v>
      </c>
      <c r="AM55" s="62">
        <f t="shared" si="5"/>
        <v>534.25528200335361</v>
      </c>
      <c r="AN55" s="62">
        <f ca="1">AVERAGE(OFFSET($AM$3,0,0,'Données projet'!$E$10+1,1))-AVERAGE(OFFSET($H$3,0,0,'Données projet'!$E$10+1,1))</f>
        <v>186.83226999296298</v>
      </c>
      <c r="AO55" s="62">
        <f t="shared" si="36"/>
        <v>232.70925470547317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17.224493415964218</v>
      </c>
      <c r="AV55" s="23">
        <f>EXP(-LN(2)/25)*AV54+(1-EXP(-LN(2)/25))/(LN(2)/25)*Calculateur!AQ55*Calculateur!AS55*VLOOKUP('Données projet'!$B$10,Paramètres!$A$1:$I$89,3,0)*0.475*44/12</f>
        <v>7.8021546793194192</v>
      </c>
      <c r="AW55" s="23">
        <f>EXP(-LN(2)/2)*AW54+(1-EXP(-LN(2)/2))/(LN(2)/2)*AQ55*AT55*VLOOKUP('Données projet'!$B$10,Paramètres!$A$1:$I$89,3,0)*0.475*44/12</f>
        <v>1.453767694337851</v>
      </c>
      <c r="AX55" s="23">
        <f t="shared" si="6"/>
        <v>26.480415789621489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223.4</v>
      </c>
      <c r="BE55" s="14">
        <f>BD55*VLOOKUP('Données projet'!$B$11,Paramètres!$A$1:$I$89,3,0)*VLOOKUP('Données projet'!$B$11,Paramètres!$A$1:$I$89,5,0)</f>
        <v>202.13232000000002</v>
      </c>
      <c r="BF55" s="14">
        <f t="shared" si="37"/>
        <v>50.212497488959627</v>
      </c>
      <c r="BG55" s="22">
        <f t="shared" si="7"/>
        <v>439.50055712660469</v>
      </c>
      <c r="BH55" s="62">
        <f t="shared" si="8"/>
        <v>695.93583659018805</v>
      </c>
      <c r="BI55" s="62">
        <f ca="1">AVERAGE(OFFSET($BH$3,0,0,'Données projet'!$E$11+1,1))-AVERAGE(OFFSET($H$3,0,0,'Données projet'!$E$11+1,1))</f>
        <v>435.70500547084868</v>
      </c>
      <c r="BJ55" s="62">
        <f t="shared" si="38"/>
        <v>297.32483725004136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10.345947816150257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10.345947816150257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223.4</v>
      </c>
      <c r="BZ55" s="14">
        <f>BY55*VLOOKUP('Données projet'!$B$12,Paramètres!$A$1:$I$89,3,0)*VLOOKUP('Données projet'!$B$12,Paramètres!$A$1:$I$89,5,0)</f>
        <v>254.40791999999999</v>
      </c>
      <c r="CA55" s="14">
        <f t="shared" si="39"/>
        <v>61.528868289402695</v>
      </c>
      <c r="CB55" s="22">
        <f t="shared" si="10"/>
        <v>550.25657293737629</v>
      </c>
      <c r="CC55" s="62">
        <f t="shared" si="11"/>
        <v>806.69185240095965</v>
      </c>
      <c r="CD55" s="62">
        <f ca="1">AVERAGE(OFFSET($CC$3,0,0,'Données projet'!$E$12+1,1))-AVERAGE(OFFSET($H$3,0,0,'Données projet'!$E$12+1,1))</f>
        <v>530.15080507516973</v>
      </c>
      <c r="CE55" s="62">
        <f t="shared" si="40"/>
        <v>358.10331902702217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13.021623975499462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13.021623975499462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8.6</v>
      </c>
      <c r="CT55" s="13">
        <f>IF('Données projet'!$A$140&gt;35,CT54+CS55-DB54,IF(A55&lt;'Données projet'!$A$140,$CQ$205^A55,IF(A55='Données projet'!$A$140,'Données projet'!$B$140,CT54+CS55-DB54)))</f>
        <v>150.19999999999993</v>
      </c>
      <c r="CU55" s="18">
        <f>CT55*VLOOKUP('Données projet'!$B$13,Paramètres!$A$1:$I$89,3,0)*VLOOKUP('Données projet'!$B$13,Paramètres!$A$1:$I$89,5,0)</f>
        <v>128.87159999999997</v>
      </c>
      <c r="CV55" s="14">
        <f t="shared" si="41"/>
        <v>33.735487075909091</v>
      </c>
      <c r="CW55" s="22">
        <f t="shared" si="13"/>
        <v>283.20734332387497</v>
      </c>
      <c r="CX55" s="62">
        <f t="shared" si="14"/>
        <v>539.64262278745832</v>
      </c>
      <c r="CY55" s="62">
        <f ca="1">AVERAGE(OFFSET($CX$3,0,0,'Données projet'!$E$13+1,1))-AVERAGE(OFFSET($H$3,0,0,'Données projet'!$E$13+1,1))</f>
        <v>182.98212193167009</v>
      </c>
      <c r="CZ55" s="62">
        <f t="shared" si="42"/>
        <v>195.9200038944301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15.381810623722217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15.381810623722217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21</v>
      </c>
      <c r="DO55" s="13">
        <f>IF('Données projet'!$A$166&gt;35,DO54+DN55-DW54,IF(A55&lt;'Données projet'!$A$166,$DL$205^A55,IF(A55='Données projet'!$A$166,'Données projet'!$B$166,DO54+DN55-DW54)))</f>
        <v>601</v>
      </c>
      <c r="DP55" s="18">
        <f>DO55*VLOOKUP('Données projet'!$B$14,Paramètres!$A$1:$I$89,3,0)*VLOOKUP('Données projet'!$B$14,Paramètres!$A$1:$I$89,5,0)</f>
        <v>265.642</v>
      </c>
      <c r="DQ55" s="14">
        <f t="shared" si="43"/>
        <v>63.923517613908629</v>
      </c>
      <c r="DR55" s="22">
        <f t="shared" si="16"/>
        <v>573.99327651089095</v>
      </c>
      <c r="DS55" s="62">
        <f t="shared" si="17"/>
        <v>830.42855597447431</v>
      </c>
      <c r="DT55" s="62">
        <f ca="1">AVERAGE(OFFSET($DS$3,0,0,'Données projet'!$E$14+1,1))-AVERAGE(OFFSET($H$3,0,0,'Données projet'!$E$14+1,1))</f>
        <v>338.33525241236157</v>
      </c>
      <c r="DU55" s="62">
        <f t="shared" si="44"/>
        <v>373.47257029791717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29.486904689634063</v>
      </c>
      <c r="EB55" s="23">
        <f>EXP(-LN(2)/25)*EB54+(1-EXP(-LN(2)/25))/(LN(2)/25)*Calculateur!DW55*Calculateur!DY55*VLOOKUP('Données projet'!$B$14,Paramètres!$A$1:$I$89,3,0)*0.475*44/12</f>
        <v>35.364026620470391</v>
      </c>
      <c r="EC55" s="23">
        <f>EXP(-LN(2)/2)*EC54+(1-EXP(-LN(2)/2))/(LN(2)/2)*DW55*DZ55*VLOOKUP('Données projet'!$B$14,Paramètres!$A$1:$I$89,3,0)*0.475*44/12</f>
        <v>3.121922724408996</v>
      </c>
      <c r="ED55" s="24">
        <f t="shared" si="18"/>
        <v>67.972854034513446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5.6</v>
      </c>
      <c r="EJ55" s="13">
        <f>IF('Données projet'!$A$192&gt;35,EJ54+EI55-ER54,IF(A55&lt;'Données projet'!$A$192,$EG$205^A55,IF(A55='Données projet'!$A$192,'Données projet'!$B$192,EJ54+EI55-ER54)))</f>
        <v>118.19999999999995</v>
      </c>
      <c r="EK55" s="18">
        <f>EJ55*VLOOKUP('Données projet'!$B$15,Paramètres!$A$1:$I$89,3,0)*VLOOKUP('Données projet'!$B$15,Paramètres!$A$1:$I$89,5,0)</f>
        <v>92.195999999999955</v>
      </c>
      <c r="EL55" s="14">
        <f t="shared" si="45"/>
        <v>25.094101950594489</v>
      </c>
      <c r="EM55" s="22">
        <f t="shared" si="19"/>
        <v>204.2802608972853</v>
      </c>
      <c r="EN55" s="62">
        <f t="shared" si="20"/>
        <v>460.71554036086866</v>
      </c>
      <c r="EO55" s="62">
        <f ca="1">AVERAGE(OFFSET($EN$3,0,0,'Données projet'!$E$15+1,1))-AVERAGE(OFFSET($H$3,0,0,'Données projet'!$E$15+1,1))</f>
        <v>144.92790055195192</v>
      </c>
      <c r="EP55" s="62">
        <f t="shared" si="46"/>
        <v>151.00642748754026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9.0283403758243459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9.0283403758243459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</v>
      </c>
      <c r="N56" s="14">
        <f>IF('Données projet'!$A$36&gt;35,N55+M56-V55,IF(A56&lt;'Données projet'!$A$36,$K$205^A56,IF(A56='Données projet'!$A$36,'Données projet'!$B$36,N55+M56-V55)))</f>
        <v>219.99999999999989</v>
      </c>
      <c r="O56" s="14">
        <f>N56*VLOOKUP('Données projet'!$B$9,Paramètres!$A$1:$I$89,3,0)*VLOOKUP('Données projet'!$B$9,Paramètres!$A$1:$I$89,5,0)</f>
        <v>178.46399999999991</v>
      </c>
      <c r="P56" s="14">
        <f t="shared" si="33"/>
        <v>44.980284206661821</v>
      </c>
      <c r="Q56" s="22">
        <f t="shared" si="53"/>
        <v>389.16546165993583</v>
      </c>
      <c r="R56" s="62">
        <f t="shared" si="0"/>
        <v>646.24083986646906</v>
      </c>
      <c r="S56" s="62">
        <f ca="1">AVERAGE(OFFSET($R$3,0,0,'Données projet'!$E$9+1,1))-AVERAGE(OFFSET($H$3,0,0,'Données projet'!$E$9+1,1))</f>
        <v>259.10606516000064</v>
      </c>
      <c r="T56" s="62">
        <f t="shared" si="34"/>
        <v>316.57989180609252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15.505657011159162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15.505657011159162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</v>
      </c>
      <c r="AI56" s="14">
        <f>IF('Données projet'!$A$62&gt;35,AI55+AH56-AQ55,IF(A56&lt;'Données projet'!$A$62,$AF$205^A56,IF(A56='Données projet'!$A$62,'Données projet'!$B$62,AI55+AH56-AQ55)))</f>
        <v>280</v>
      </c>
      <c r="AJ56" s="14">
        <f>AI56*VLOOKUP('Données projet'!$B$10,Paramètres!$A$1:$I$89,3,0)*VLOOKUP('Données projet'!$B$10,Paramètres!$A$1:$I$89,5,0)</f>
        <v>131.04</v>
      </c>
      <c r="AK56" s="14">
        <f t="shared" si="35"/>
        <v>34.236561238949918</v>
      </c>
      <c r="AL56" s="22">
        <f t="shared" si="4"/>
        <v>287.85667749117107</v>
      </c>
      <c r="AM56" s="62">
        <f t="shared" si="5"/>
        <v>544.9320556977043</v>
      </c>
      <c r="AN56" s="62">
        <f ca="1">AVERAGE(OFFSET($AM$3,0,0,'Données projet'!$E$10+1,1))-AVERAGE(OFFSET($H$3,0,0,'Données projet'!$E$10+1,1))</f>
        <v>186.83226999296298</v>
      </c>
      <c r="AO56" s="62">
        <f t="shared" si="36"/>
        <v>232.70925470547317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16.886731605980771</v>
      </c>
      <c r="AV56" s="23">
        <f>EXP(-LN(2)/25)*AV55+(1-EXP(-LN(2)/25))/(LN(2)/25)*Calculateur!AQ56*Calculateur!AS56*VLOOKUP('Données projet'!$B$10,Paramètres!$A$1:$I$89,3,0)*0.475*44/12</f>
        <v>7.5888043493159474</v>
      </c>
      <c r="AW56" s="23">
        <f>EXP(-LN(2)/2)*AW55+(1-EXP(-LN(2)/2))/(LN(2)/2)*AQ56*AT56*VLOOKUP('Données projet'!$B$10,Paramètres!$A$1:$I$89,3,0)*0.475*44/12</f>
        <v>1.0279689949362265</v>
      </c>
      <c r="AX56" s="23">
        <f t="shared" si="6"/>
        <v>25.503504950232944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233.6</v>
      </c>
      <c r="BE56" s="14">
        <f>BD56*VLOOKUP('Données projet'!$B$11,Paramètres!$A$1:$I$89,3,0)*VLOOKUP('Données projet'!$B$11,Paramètres!$A$1:$I$89,5,0)</f>
        <v>211.36127999999999</v>
      </c>
      <c r="BF56" s="14">
        <f t="shared" si="37"/>
        <v>52.232947669705631</v>
      </c>
      <c r="BG56" s="22">
        <f t="shared" si="7"/>
        <v>459.09327985807062</v>
      </c>
      <c r="BH56" s="62">
        <f t="shared" si="8"/>
        <v>716.16865806460385</v>
      </c>
      <c r="BI56" s="62">
        <f ca="1">AVERAGE(OFFSET($BH$3,0,0,'Données projet'!$E$11+1,1))-AVERAGE(OFFSET($H$3,0,0,'Données projet'!$E$11+1,1))</f>
        <v>435.70500547084868</v>
      </c>
      <c r="BJ56" s="62">
        <f t="shared" si="38"/>
        <v>297.32483725004136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10.143070089880618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10.143070089880618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233.6</v>
      </c>
      <c r="BZ56" s="14">
        <f>BY56*VLOOKUP('Données projet'!$B$12,Paramètres!$A$1:$I$89,3,0)*VLOOKUP('Données projet'!$B$12,Paramètres!$A$1:$I$89,5,0)</f>
        <v>266.02368000000001</v>
      </c>
      <c r="CA56" s="14">
        <f t="shared" si="39"/>
        <v>64.004666532335236</v>
      </c>
      <c r="CB56" s="22">
        <f t="shared" si="10"/>
        <v>574.79937021048397</v>
      </c>
      <c r="CC56" s="62">
        <f t="shared" si="11"/>
        <v>831.87474841701714</v>
      </c>
      <c r="CD56" s="62">
        <f ca="1">AVERAGE(OFFSET($CC$3,0,0,'Données projet'!$E$12+1,1))-AVERAGE(OFFSET($H$3,0,0,'Données projet'!$E$12+1,1))</f>
        <v>530.15080507516973</v>
      </c>
      <c r="CE56" s="62">
        <f t="shared" si="40"/>
        <v>358.10331902702217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12.766277871746295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12.766277871746295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8.6</v>
      </c>
      <c r="CT56" s="13">
        <f>IF('Données projet'!$A$140&gt;35,CT55+CS56-DB55,IF(A56&lt;'Données projet'!$A$140,$CQ$205^A56,IF(A56='Données projet'!$A$140,'Données projet'!$B$140,CT55+CS56-DB55)))</f>
        <v>158.79999999999993</v>
      </c>
      <c r="CU56" s="18">
        <f>CT56*VLOOKUP('Données projet'!$B$13,Paramètres!$A$1:$I$89,3,0)*VLOOKUP('Données projet'!$B$13,Paramètres!$A$1:$I$89,5,0)</f>
        <v>136.25039999999996</v>
      </c>
      <c r="CV56" s="14">
        <f t="shared" si="41"/>
        <v>35.436672304560737</v>
      </c>
      <c r="CW56" s="22">
        <f t="shared" si="13"/>
        <v>299.02165093044317</v>
      </c>
      <c r="CX56" s="62">
        <f t="shared" si="14"/>
        <v>556.0970291369764</v>
      </c>
      <c r="CY56" s="62">
        <f ca="1">AVERAGE(OFFSET($CX$3,0,0,'Données projet'!$E$13+1,1))-AVERAGE(OFFSET($H$3,0,0,'Données projet'!$E$13+1,1))</f>
        <v>182.98212193167009</v>
      </c>
      <c r="CZ56" s="62">
        <f t="shared" si="42"/>
        <v>195.9200038944301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15.080182699369111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15.080182699369111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21</v>
      </c>
      <c r="DO56" s="13">
        <f>IF('Données projet'!$A$166&gt;35,DO55+DN56-DW55,IF(A56&lt;'Données projet'!$A$166,$DL$205^A56,IF(A56='Données projet'!$A$166,'Données projet'!$B$166,DO55+DN56-DW55)))</f>
        <v>622</v>
      </c>
      <c r="DP56" s="18">
        <f>DO56*VLOOKUP('Données projet'!$B$14,Paramètres!$A$1:$I$89,3,0)*VLOOKUP('Données projet'!$B$14,Paramètres!$A$1:$I$89,5,0)</f>
        <v>274.92400000000004</v>
      </c>
      <c r="DQ56" s="14">
        <f t="shared" si="43"/>
        <v>65.893164661595534</v>
      </c>
      <c r="DR56" s="22">
        <f t="shared" si="16"/>
        <v>593.58989511894561</v>
      </c>
      <c r="DS56" s="62">
        <f t="shared" si="17"/>
        <v>850.66527332547889</v>
      </c>
      <c r="DT56" s="62">
        <f ca="1">AVERAGE(OFFSET($DS$3,0,0,'Données projet'!$E$14+1,1))-AVERAGE(OFFSET($H$3,0,0,'Données projet'!$E$14+1,1))</f>
        <v>338.33525241236157</v>
      </c>
      <c r="DU56" s="62">
        <f t="shared" si="44"/>
        <v>373.47257029791717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28.908684473906305</v>
      </c>
      <c r="EB56" s="23">
        <f>EXP(-LN(2)/25)*EB55+(1-EXP(-LN(2)/25))/(LN(2)/25)*Calculateur!DW56*Calculateur!DY56*VLOOKUP('Données projet'!$B$14,Paramètres!$A$1:$I$89,3,0)*0.475*44/12</f>
        <v>34.396995452820292</v>
      </c>
      <c r="EC56" s="23">
        <f>EXP(-LN(2)/2)*EC55+(1-EXP(-LN(2)/2))/(LN(2)/2)*DW56*DZ56*VLOOKUP('Données projet'!$B$14,Paramètres!$A$1:$I$89,3,0)*0.475*44/12</f>
        <v>2.2075327287699822</v>
      </c>
      <c r="ED56" s="24">
        <f t="shared" si="18"/>
        <v>65.513212655496574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5.6</v>
      </c>
      <c r="EJ56" s="13">
        <f>IF('Données projet'!$A$192&gt;35,EJ55+EI56-ER55,IF(A56&lt;'Données projet'!$A$192,$EG$205^A56,IF(A56='Données projet'!$A$192,'Données projet'!$B$192,EJ55+EI56-ER55)))</f>
        <v>123.79999999999994</v>
      </c>
      <c r="EK56" s="18">
        <f>EJ56*VLOOKUP('Données projet'!$B$15,Paramètres!$A$1:$I$89,3,0)*VLOOKUP('Données projet'!$B$15,Paramètres!$A$1:$I$89,5,0)</f>
        <v>96.56399999999995</v>
      </c>
      <c r="EL56" s="14">
        <f t="shared" si="45"/>
        <v>26.141759653591315</v>
      </c>
      <c r="EM56" s="22">
        <f t="shared" si="19"/>
        <v>213.71253139667144</v>
      </c>
      <c r="EN56" s="62">
        <f t="shared" si="20"/>
        <v>470.78790960320464</v>
      </c>
      <c r="EO56" s="62">
        <f ca="1">AVERAGE(OFFSET($EN$3,0,0,'Données projet'!$E$15+1,1))-AVERAGE(OFFSET($H$3,0,0,'Données projet'!$E$15+1,1))</f>
        <v>144.92790055195192</v>
      </c>
      <c r="EP56" s="62">
        <f t="shared" si="46"/>
        <v>151.00642748754026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8.8513001277983143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8.8513001277983143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</v>
      </c>
      <c r="N57" s="14">
        <f>IF('Données projet'!$A$36&gt;35,N56+M57-V56,IF(A57&lt;'Données projet'!$A$36,$K$205^A57,IF(A57='Données projet'!$A$36,'Données projet'!$B$36,N56+M57-V56)))</f>
        <v>225.99999999999989</v>
      </c>
      <c r="O57" s="14">
        <f>N57*VLOOKUP('Données projet'!$B$9,Paramètres!$A$1:$I$89,3,0)*VLOOKUP('Données projet'!$B$9,Paramètres!$A$1:$I$89,5,0)</f>
        <v>183.33119999999991</v>
      </c>
      <c r="P57" s="14">
        <f t="shared" si="33"/>
        <v>46.062523974317784</v>
      </c>
      <c r="Q57" s="22">
        <f t="shared" si="53"/>
        <v>399.52740258860331</v>
      </c>
      <c r="R57" s="62">
        <f t="shared" si="0"/>
        <v>657.23177525594269</v>
      </c>
      <c r="S57" s="62">
        <f ca="1">AVERAGE(OFFSET($R$3,0,0,'Données projet'!$E$9+1,1))-AVERAGE(OFFSET($H$3,0,0,'Données projet'!$E$9+1,1))</f>
        <v>259.10606516000064</v>
      </c>
      <c r="T57" s="62">
        <f t="shared" si="34"/>
        <v>316.57989180609252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15.201600534687255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15.201600534687255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</v>
      </c>
      <c r="AI57" s="14">
        <f>IF('Données projet'!$A$62&gt;35,AI56+AH57-AQ56,IF(A57&lt;'Données projet'!$A$62,$AF$205^A57,IF(A57='Données projet'!$A$62,'Données projet'!$B$62,AI56+AH57-AQ56)))</f>
        <v>290</v>
      </c>
      <c r="AJ57" s="14">
        <f>AI57*VLOOKUP('Données projet'!$B$10,Paramètres!$A$1:$I$89,3,0)*VLOOKUP('Données projet'!$B$10,Paramètres!$A$1:$I$89,5,0)</f>
        <v>135.72</v>
      </c>
      <c r="AK57" s="14">
        <f t="shared" si="35"/>
        <v>35.314752882348131</v>
      </c>
      <c r="AL57" s="22">
        <f t="shared" si="4"/>
        <v>297.88552793675632</v>
      </c>
      <c r="AM57" s="62">
        <f t="shared" si="5"/>
        <v>555.58990060409565</v>
      </c>
      <c r="AN57" s="62">
        <f ca="1">AVERAGE(OFFSET($AM$3,0,0,'Données projet'!$E$10+1,1))-AVERAGE(OFFSET($H$3,0,0,'Données projet'!$E$10+1,1))</f>
        <v>186.83226999296298</v>
      </c>
      <c r="AO57" s="62">
        <f t="shared" si="36"/>
        <v>232.70925470547317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16.555593099076738</v>
      </c>
      <c r="AV57" s="23">
        <f>EXP(-LN(2)/25)*AV56+(1-EXP(-LN(2)/25))/(LN(2)/25)*Calculateur!AQ57*Calculateur!AS57*VLOOKUP('Données projet'!$B$10,Paramètres!$A$1:$I$89,3,0)*0.475*44/12</f>
        <v>7.3812880953060267</v>
      </c>
      <c r="AW57" s="23">
        <f>EXP(-LN(2)/2)*AW56+(1-EXP(-LN(2)/2))/(LN(2)/2)*AQ57*AT57*VLOOKUP('Données projet'!$B$10,Paramètres!$A$1:$I$89,3,0)*0.475*44/12</f>
        <v>0.72688384716892551</v>
      </c>
      <c r="AX57" s="23">
        <f t="shared" si="6"/>
        <v>24.663765041551688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243.79999999999998</v>
      </c>
      <c r="BE57" s="14">
        <f>BD57*VLOOKUP('Données projet'!$B$11,Paramètres!$A$1:$I$89,3,0)*VLOOKUP('Données projet'!$B$11,Paramètres!$A$1:$I$89,5,0)</f>
        <v>220.59023999999997</v>
      </c>
      <c r="BF57" s="14">
        <f t="shared" si="37"/>
        <v>54.24315145708789</v>
      </c>
      <c r="BG57" s="22">
        <f t="shared" si="7"/>
        <v>478.66815678776129</v>
      </c>
      <c r="BH57" s="62">
        <f t="shared" si="8"/>
        <v>736.37252945510068</v>
      </c>
      <c r="BI57" s="62">
        <f ca="1">AVERAGE(OFFSET($BH$3,0,0,'Données projet'!$E$11+1,1))-AVERAGE(OFFSET($H$3,0,0,'Données projet'!$E$11+1,1))</f>
        <v>435.70500547084868</v>
      </c>
      <c r="BJ57" s="62">
        <f t="shared" si="38"/>
        <v>297.32483725004136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9.9441706720799328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9.9441706720799328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243.79999999999998</v>
      </c>
      <c r="BZ57" s="14">
        <f>BY57*VLOOKUP('Données projet'!$B$12,Paramètres!$A$1:$I$89,3,0)*VLOOKUP('Données projet'!$B$12,Paramètres!$A$1:$I$89,5,0)</f>
        <v>277.63943999999998</v>
      </c>
      <c r="CA57" s="14">
        <f t="shared" si="39"/>
        <v>66.467909156263602</v>
      </c>
      <c r="CB57" s="22">
        <f t="shared" si="10"/>
        <v>599.32029978049241</v>
      </c>
      <c r="CC57" s="62">
        <f t="shared" si="11"/>
        <v>857.02467244783179</v>
      </c>
      <c r="CD57" s="62">
        <f ca="1">AVERAGE(OFFSET($CC$3,0,0,'Données projet'!$E$12+1,1))-AVERAGE(OFFSET($H$3,0,0,'Données projet'!$E$12+1,1))</f>
        <v>530.15080507516973</v>
      </c>
      <c r="CE57" s="62">
        <f t="shared" si="40"/>
        <v>358.10331902702217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12.515938949341983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12.515938949341983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8.6</v>
      </c>
      <c r="CT57" s="13">
        <f>IF('Données projet'!$A$140&gt;35,CT56+CS57-DB56,IF(A57&lt;'Données projet'!$A$140,$CQ$205^A57,IF(A57='Données projet'!$A$140,'Données projet'!$B$140,CT56+CS57-DB56)))</f>
        <v>167.39999999999992</v>
      </c>
      <c r="CU57" s="18">
        <f>CT57*VLOOKUP('Données projet'!$B$13,Paramètres!$A$1:$I$89,3,0)*VLOOKUP('Données projet'!$B$13,Paramètres!$A$1:$I$89,5,0)</f>
        <v>143.62919999999994</v>
      </c>
      <c r="CV57" s="14">
        <f t="shared" si="41"/>
        <v>37.127161849234348</v>
      </c>
      <c r="CW57" s="22">
        <f t="shared" si="13"/>
        <v>314.81733022074968</v>
      </c>
      <c r="CX57" s="62">
        <f t="shared" si="14"/>
        <v>572.52170288808907</v>
      </c>
      <c r="CY57" s="62">
        <f ca="1">AVERAGE(OFFSET($CX$3,0,0,'Données projet'!$E$13+1,1))-AVERAGE(OFFSET($H$3,0,0,'Données projet'!$E$13+1,1))</f>
        <v>182.98212193167009</v>
      </c>
      <c r="CZ57" s="62">
        <f t="shared" si="42"/>
        <v>195.9200038944301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14.784469514637701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14.784469514637701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21</v>
      </c>
      <c r="DO57" s="13">
        <f>IF('Données projet'!$A$166&gt;35,DO56+DN57-DW56,IF(A57&lt;'Données projet'!$A$166,$DL$205^A57,IF(A57='Données projet'!$A$166,'Données projet'!$B$166,DO56+DN57-DW56)))</f>
        <v>643</v>
      </c>
      <c r="DP57" s="18">
        <f>DO57*VLOOKUP('Données projet'!$B$14,Paramètres!$A$1:$I$89,3,0)*VLOOKUP('Données projet'!$B$14,Paramètres!$A$1:$I$89,5,0)</f>
        <v>284.20600000000002</v>
      </c>
      <c r="DQ57" s="14">
        <f t="shared" si="43"/>
        <v>67.855084825470755</v>
      </c>
      <c r="DR57" s="22">
        <f t="shared" si="16"/>
        <v>613.17305607102821</v>
      </c>
      <c r="DS57" s="62">
        <f t="shared" si="17"/>
        <v>870.8774287383676</v>
      </c>
      <c r="DT57" s="62">
        <f ca="1">AVERAGE(OFFSET($DS$3,0,0,'Données projet'!$E$14+1,1))-AVERAGE(OFFSET($H$3,0,0,'Données projet'!$E$14+1,1))</f>
        <v>338.33525241236157</v>
      </c>
      <c r="DU57" s="62">
        <f t="shared" si="44"/>
        <v>373.47257029791717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28.341802803929461</v>
      </c>
      <c r="EB57" s="23">
        <f>EXP(-LN(2)/25)*EB56+(1-EXP(-LN(2)/25))/(LN(2)/25)*Calculateur!DW57*Calculateur!DY57*VLOOKUP('Données projet'!$B$14,Paramètres!$A$1:$I$89,3,0)*0.475*44/12</f>
        <v>33.456407803303549</v>
      </c>
      <c r="EC57" s="23">
        <f>EXP(-LN(2)/2)*EC56+(1-EXP(-LN(2)/2))/(LN(2)/2)*DW57*DZ57*VLOOKUP('Données projet'!$B$14,Paramètres!$A$1:$I$89,3,0)*0.475*44/12</f>
        <v>1.560961362204498</v>
      </c>
      <c r="ED57" s="24">
        <f t="shared" si="18"/>
        <v>63.359171969437504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5.6</v>
      </c>
      <c r="EJ57" s="13">
        <f>IF('Données projet'!$A$192&gt;35,EJ56+EI57-ER56,IF(A57&lt;'Données projet'!$A$192,$EG$205^A57,IF(A57='Données projet'!$A$192,'Données projet'!$B$192,EJ56+EI57-ER56)))</f>
        <v>129.39999999999995</v>
      </c>
      <c r="EK57" s="18">
        <f>EJ57*VLOOKUP('Données projet'!$B$15,Paramètres!$A$1:$I$89,3,0)*VLOOKUP('Données projet'!$B$15,Paramètres!$A$1:$I$89,5,0)</f>
        <v>100.93199999999996</v>
      </c>
      <c r="EL57" s="14">
        <f t="shared" si="45"/>
        <v>27.183913674313889</v>
      </c>
      <c r="EM57" s="22">
        <f t="shared" si="19"/>
        <v>223.1352163160966</v>
      </c>
      <c r="EN57" s="62">
        <f t="shared" si="20"/>
        <v>480.83958898343593</v>
      </c>
      <c r="EO57" s="62">
        <f ca="1">AVERAGE(OFFSET($EN$3,0,0,'Données projet'!$E$15+1,1))-AVERAGE(OFFSET($H$3,0,0,'Données projet'!$E$15+1,1))</f>
        <v>144.92790055195192</v>
      </c>
      <c r="EP57" s="62">
        <f t="shared" si="46"/>
        <v>151.00642748754026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8.6777315310521832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8.6777315310521832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232</v>
      </c>
      <c r="L58" s="13">
        <f>VLOOKUP(A58,'Données projet'!$A$35:$I$55,9,0)</f>
        <v>6</v>
      </c>
      <c r="M58" s="13">
        <f t="array" ref="M58">INDEX(L:L,MIN(IF(ISNUMBER(L58:L254),ROW(L58:L254),"")))</f>
        <v>6</v>
      </c>
      <c r="N58" s="14">
        <f>IF('Données projet'!$A$36&gt;35,N57+M58-V57,IF(A58&lt;'Données projet'!$A$36,$K$205^A58,IF(A58='Données projet'!$A$36,'Données projet'!$B$36,N57+M58-V57)))</f>
        <v>231.99999999999989</v>
      </c>
      <c r="O58" s="14">
        <f>N58*VLOOKUP('Données projet'!$B$9,Paramètres!$A$1:$I$89,3,0)*VLOOKUP('Données projet'!$B$9,Paramètres!$A$1:$I$89,5,0)</f>
        <v>188.19839999999991</v>
      </c>
      <c r="P58" s="14">
        <f t="shared" si="33"/>
        <v>47.141424081428013</v>
      </c>
      <c r="Q58" s="22">
        <f t="shared" si="53"/>
        <v>409.88352694182026</v>
      </c>
      <c r="R58" s="62">
        <f t="shared" si="0"/>
        <v>668.20598242229164</v>
      </c>
      <c r="S58" s="62">
        <f ca="1">AVERAGE(OFFSET($R$3,0,0,'Données projet'!$E$9+1,1))-AVERAGE(OFFSET($H$3,0,0,'Données projet'!$E$9+1,1))</f>
        <v>259.10606516000064</v>
      </c>
      <c r="T58" s="62">
        <f t="shared" si="34"/>
        <v>316.57989180609252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13</v>
      </c>
      <c r="W58" s="17">
        <f>IF(ISNA(VLOOKUP(A58,'Données projet'!$A$35:$I$55,5,0)),0%,VLOOKUP(A58,'Données projet'!$A$35:$I$55,5,0)*VLOOKUP('Données projet'!$B$9,Paramètres!$A$1:$I$89,7,0))</f>
        <v>0.34400000000000003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18.913806281697347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18.913806281697347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10</v>
      </c>
      <c r="AI58" s="14">
        <f>IF('Données projet'!$A$62&gt;35,AI57+AH58-AQ57,IF(A58&lt;'Données projet'!$A$62,$AF$205^A58,IF(A58='Données projet'!$A$62,'Données projet'!$B$62,AI57+AH58-AQ57)))</f>
        <v>300</v>
      </c>
      <c r="AJ58" s="14">
        <f>AI58*VLOOKUP('Données projet'!$B$10,Paramètres!$A$1:$I$89,3,0)*VLOOKUP('Données projet'!$B$10,Paramètres!$A$1:$I$89,5,0)</f>
        <v>140.4</v>
      </c>
      <c r="AK58" s="14">
        <f t="shared" si="35"/>
        <v>36.388624656711201</v>
      </c>
      <c r="AL58" s="22">
        <f t="shared" si="4"/>
        <v>307.90685461043864</v>
      </c>
      <c r="AM58" s="62">
        <f t="shared" si="5"/>
        <v>566.22931009091008</v>
      </c>
      <c r="AN58" s="62">
        <f ca="1">AVERAGE(OFFSET($AM$3,0,0,'Données projet'!$E$10+1,1))-AVERAGE(OFFSET($H$3,0,0,'Données projet'!$E$10+1,1))</f>
        <v>186.83226999296298</v>
      </c>
      <c r="AO58" s="62">
        <f t="shared" si="36"/>
        <v>232.70925470547317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16.230948016318546</v>
      </c>
      <c r="AV58" s="23">
        <f>EXP(-LN(2)/25)*AV57+(1-EXP(-LN(2)/25))/(LN(2)/25)*Calculateur!AQ58*Calculateur!AS58*VLOOKUP('Données projet'!$B$10,Paramètres!$A$1:$I$89,3,0)*0.475*44/12</f>
        <v>7.1794463841748124</v>
      </c>
      <c r="AW58" s="23">
        <f>EXP(-LN(2)/2)*AW57+(1-EXP(-LN(2)/2))/(LN(2)/2)*AQ58*AT58*VLOOKUP('Données projet'!$B$10,Paramètres!$A$1:$I$89,3,0)*0.475*44/12</f>
        <v>0.51398449746811326</v>
      </c>
      <c r="AX58" s="23">
        <f t="shared" si="6"/>
        <v>23.924378897961471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253.99999999999997</v>
      </c>
      <c r="BE58" s="14">
        <f>BD58*VLOOKUP('Données projet'!$B$11,Paramètres!$A$1:$I$89,3,0)*VLOOKUP('Données projet'!$B$11,Paramètres!$A$1:$I$89,5,0)</f>
        <v>229.81919999999997</v>
      </c>
      <c r="BF58" s="14">
        <f t="shared" si="37"/>
        <v>56.243586554989342</v>
      </c>
      <c r="BG58" s="22">
        <f t="shared" si="7"/>
        <v>498.22601991660639</v>
      </c>
      <c r="BH58" s="62">
        <f t="shared" si="8"/>
        <v>756.54847539707771</v>
      </c>
      <c r="BI58" s="62">
        <f ca="1">AVERAGE(OFFSET($BH$3,0,0,'Données projet'!$E$11+1,1))-AVERAGE(OFFSET($H$3,0,0,'Données projet'!$E$11+1,1))</f>
        <v>435.70500547084868</v>
      </c>
      <c r="BJ58" s="62">
        <f t="shared" si="38"/>
        <v>297.32483725004136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28</v>
      </c>
      <c r="BM58" s="17">
        <f>IF(ISNA(VLOOKUP(A58,'Données projet'!$A$87:$I$107,5,0)),0%,VLOOKUP(A58,'Données projet'!$A$87:$I$107,5,0)*VLOOKUP('Données projet'!$B$11,Paramètres!$A$1:$I$89,7,0))</f>
        <v>0.17200000000000001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14.566277301262858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14.566277301262858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254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253.99999999999997</v>
      </c>
      <c r="BZ58" s="14">
        <f>BY58*VLOOKUP('Données projet'!$B$12,Paramètres!$A$1:$I$89,3,0)*VLOOKUP('Données projet'!$B$12,Paramètres!$A$1:$I$89,5,0)</f>
        <v>289.2552</v>
      </c>
      <c r="CA58" s="14">
        <f t="shared" si="39"/>
        <v>68.91918152500692</v>
      </c>
      <c r="CB58" s="22">
        <f t="shared" si="10"/>
        <v>623.82038115605371</v>
      </c>
      <c r="CC58" s="62">
        <f t="shared" si="11"/>
        <v>882.14283663652509</v>
      </c>
      <c r="CD58" s="62">
        <f ca="1">AVERAGE(OFFSET($CC$3,0,0,'Données projet'!$E$12+1,1))-AVERAGE(OFFSET($H$3,0,0,'Données projet'!$E$12+1,1))</f>
        <v>530.15080507516973</v>
      </c>
      <c r="CE58" s="62">
        <f t="shared" si="40"/>
        <v>358.10331902702217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28</v>
      </c>
      <c r="CH58" s="17">
        <f>IF(ISNA(VLOOKUP(A58,'Données projet'!$A$113:$I$133,5,0)),0%,VLOOKUP(A58,'Données projet'!$A$113:$I$133,5,0)*VLOOKUP('Données projet'!$B$12,Paramètres!$A$1:$I$89,7,0))</f>
        <v>0.17200000000000001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18.333417982623942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18.333417982623942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176</v>
      </c>
      <c r="CR58" s="13">
        <f>VLOOKUP(A58,'Données projet'!$A$139:$I$159,9,0)</f>
        <v>8.6</v>
      </c>
      <c r="CS58" s="13">
        <f t="array" ref="CS58">INDEX(CR:CR,MIN(IF(ISNUMBER(CR58:CR254),ROW(CR58:CR254),"")))</f>
        <v>8.6</v>
      </c>
      <c r="CT58" s="13">
        <f>IF('Données projet'!$A$140&gt;35,CT57+CS58-DB57,IF(A58&lt;'Données projet'!$A$140,$CQ$205^A58,IF(A58='Données projet'!$A$140,'Données projet'!$B$140,CT57+CS58-DB57)))</f>
        <v>175.99999999999991</v>
      </c>
      <c r="CU58" s="18">
        <f>CT58*VLOOKUP('Données projet'!$B$13,Paramètres!$A$1:$I$89,3,0)*VLOOKUP('Données projet'!$B$13,Paramètres!$A$1:$I$89,5,0)</f>
        <v>151.00799999999992</v>
      </c>
      <c r="CV58" s="14">
        <f t="shared" si="41"/>
        <v>38.807567870348514</v>
      </c>
      <c r="CW58" s="22">
        <f t="shared" si="13"/>
        <v>330.5954473741902</v>
      </c>
      <c r="CX58" s="62">
        <f t="shared" si="14"/>
        <v>588.91790285466163</v>
      </c>
      <c r="CY58" s="62">
        <f ca="1">AVERAGE(OFFSET($CX$3,0,0,'Données projet'!$E$13+1,1))-AVERAGE(OFFSET($H$3,0,0,'Données projet'!$E$13+1,1))</f>
        <v>182.98212193167009</v>
      </c>
      <c r="CZ58" s="62">
        <f t="shared" si="42"/>
        <v>195.9200038944301</v>
      </c>
      <c r="DA58" s="16">
        <f>IF(ISNA(VLOOKUP(A58,'Données projet'!$A$139:$I$159,3,0)),0,VLOOKUP(A58,'Données projet'!$A$139:$I$159,3,0))</f>
        <v>7</v>
      </c>
      <c r="DB58" s="16">
        <f>IF(ISNA(VLOOKUP(A58,'Données projet'!$A$139:$I$159,4,0)),0,VLOOKUP(A58,'Données projet'!$A$139:$I$159,4,0))</f>
        <v>21</v>
      </c>
      <c r="DC58" s="17">
        <f>IF(ISNA(VLOOKUP(A58,'Données projet'!$A$139:$I$159,5,0)),0%,VLOOKUP(A58,'Données projet'!$A$139:$I$159,5,0)*VLOOKUP('Données projet'!$B$13,Paramètres!$A$1:$I$89,7,0))</f>
        <v>0.42400000000000004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22.939941971623718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22.939941971623718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664</v>
      </c>
      <c r="DM58" s="13">
        <f>VLOOKUP(A58,'Données projet'!$A$165:$I$185,9,0)</f>
        <v>21</v>
      </c>
      <c r="DN58" s="13">
        <f t="array" ref="DN58">INDEX(DM:DM,MIN(IF(ISNUMBER(DM58:DM254),ROW(DM58:DM254),"")))</f>
        <v>21</v>
      </c>
      <c r="DO58" s="13">
        <f>IF('Données projet'!$A$166&gt;35,DO57+DN58-DW57,IF(A58&lt;'Données projet'!$A$166,$DL$205^A58,IF(A58='Données projet'!$A$166,'Données projet'!$B$166,DO57+DN58-DW57)))</f>
        <v>664</v>
      </c>
      <c r="DP58" s="18">
        <f>DO58*VLOOKUP('Données projet'!$B$14,Paramètres!$A$1:$I$89,3,0)*VLOOKUP('Données projet'!$B$14,Paramètres!$A$1:$I$89,5,0)</f>
        <v>293.48800000000006</v>
      </c>
      <c r="DQ58" s="14">
        <f t="shared" si="43"/>
        <v>69.809559401879582</v>
      </c>
      <c r="DR58" s="22">
        <f t="shared" si="16"/>
        <v>632.74324929160707</v>
      </c>
      <c r="DS58" s="62">
        <f t="shared" si="17"/>
        <v>891.06570477207845</v>
      </c>
      <c r="DT58" s="62">
        <f ca="1">AVERAGE(OFFSET($DS$3,0,0,'Données projet'!$E$14+1,1))-AVERAGE(OFFSET($H$3,0,0,'Données projet'!$E$14+1,1))</f>
        <v>338.33525241236157</v>
      </c>
      <c r="DU58" s="62">
        <f t="shared" si="44"/>
        <v>373.47257029791717</v>
      </c>
      <c r="DV58" s="16">
        <f>IF(ISNA(VLOOKUP(A58,'Données projet'!$A$165:$I$185,3,0)),0,VLOOKUP(A58,'Données projet'!$A$165:$I$185,3,0))</f>
        <v>9</v>
      </c>
      <c r="DW58" s="16">
        <f>IF(ISNA(VLOOKUP(A58,'Données projet'!$A$165:$I$185,4,0)),0,VLOOKUP(A58,'Données projet'!$A$165:$I$185,4,0))</f>
        <v>44</v>
      </c>
      <c r="DX58" s="17">
        <f>IF(ISNA(VLOOKUP(A58,'Données projet'!$A$165:$I$185,5,0)),0%,VLOOKUP(A58,'Données projet'!$A$165:$I$185,5,0)*VLOOKUP('Données projet'!$B$14,Paramètres!$A$1:$I$89,7,0))</f>
        <v>0.44000000000000006</v>
      </c>
      <c r="DY58" s="17">
        <f>IF(ISNA(VLOOKUP(A58,'Données projet'!$A$165:$I$185,6,0)),0%,VLOOKUP(A58,'Données projet'!$A$165:$I$185,6,0)*VLOOKUP('Données projet'!$B$14,Paramètres!$A$1:$I$89,7,0))</f>
        <v>6.1600000000000002E-2</v>
      </c>
      <c r="DZ58" s="17">
        <f>IF(ISNA(VLOOKUP(A58,'Données projet'!$A$165:$I$185,7,0)),0%,VLOOKUP(A58,'Données projet'!$A$165:$I$185,7,0))</f>
        <v>0.09</v>
      </c>
      <c r="EA58" s="23">
        <f>EXP(-LN(2)/35)*EA57+(1-EXP(-LN(2)/35))/(LN(2)/35)*DW58*DX58*VLOOKUP('Données projet'!$B$14,Paramètres!$A$1:$I$89,3,0)*0.475*44/12</f>
        <v>39.137608570667986</v>
      </c>
      <c r="EB58" s="23">
        <f>EXP(-LN(2)/25)*EB57+(1-EXP(-LN(2)/25))/(LN(2)/25)*Calculateur!DW58*Calculateur!DY58*VLOOKUP('Données projet'!$B$14,Paramètres!$A$1:$I$89,3,0)*0.475*44/12</f>
        <v>34.124503180564055</v>
      </c>
      <c r="EC58" s="23">
        <f>EXP(-LN(2)/2)*EC57+(1-EXP(-LN(2)/2))/(LN(2)/2)*DW58*DZ58*VLOOKUP('Données projet'!$B$14,Paramètres!$A$1:$I$89,3,0)*0.475*44/12</f>
        <v>3.0855351993915145</v>
      </c>
      <c r="ED58" s="24">
        <f t="shared" si="18"/>
        <v>76.347646950623556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135</v>
      </c>
      <c r="EH58" s="13">
        <f>VLOOKUP(A58,'Données projet'!$A$191:$I$211,9,0)</f>
        <v>5.6</v>
      </c>
      <c r="EI58" s="13">
        <f t="array" ref="EI58">INDEX(EH:EH,MIN(IF(ISNUMBER(EH58:EH254),ROW(EH58:EH254),"")))</f>
        <v>5.6</v>
      </c>
      <c r="EJ58" s="13">
        <f>IF('Données projet'!$A$192&gt;35,EJ57+EI58-ER57,IF(A58&lt;'Données projet'!$A$192,$EG$205^A58,IF(A58='Données projet'!$A$192,'Données projet'!$B$192,EJ57+EI58-ER57)))</f>
        <v>134.99999999999994</v>
      </c>
      <c r="EK58" s="18">
        <f>EJ58*VLOOKUP('Données projet'!$B$15,Paramètres!$A$1:$I$89,3,0)*VLOOKUP('Données projet'!$B$15,Paramètres!$A$1:$I$89,5,0)</f>
        <v>105.29999999999995</v>
      </c>
      <c r="EL58" s="14">
        <f t="shared" si="45"/>
        <v>28.220829418515034</v>
      </c>
      <c r="EM58" s="22">
        <f t="shared" si="19"/>
        <v>232.54877790391356</v>
      </c>
      <c r="EN58" s="62">
        <f t="shared" si="20"/>
        <v>490.87123338438494</v>
      </c>
      <c r="EO58" s="62">
        <f ca="1">AVERAGE(OFFSET($EN$3,0,0,'Données projet'!$E$15+1,1))-AVERAGE(OFFSET($H$3,0,0,'Données projet'!$E$15+1,1))</f>
        <v>144.92790055195192</v>
      </c>
      <c r="EP58" s="62">
        <f t="shared" si="46"/>
        <v>151.00642748754026</v>
      </c>
      <c r="EQ58" s="16">
        <f>IF(ISNA(VLOOKUP(A58,'Données projet'!$A$191:$I$211,3,0)),0,VLOOKUP(A58,'Données projet'!$A$191:$I$211,3,0))</f>
        <v>7</v>
      </c>
      <c r="ER58" s="16">
        <f>IF(ISNA(VLOOKUP(A58,'Données projet'!$A$191:$I$211,4,0)),0,VLOOKUP(A58,'Données projet'!$A$191:$I$211,4,0))</f>
        <v>14</v>
      </c>
      <c r="ES58" s="17">
        <f>IF(ISNA(VLOOKUP(A58,'Données projet'!$A$191:$I$211,5,0)),0%,VLOOKUP(A58,'Données projet'!$A$191:$I$211,5,0)*VLOOKUP('Données projet'!$B$15,Paramètres!$A$1:$I$89,7,0))</f>
        <v>0.34400000000000003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12.660243879929791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12.660243879929791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5.2</v>
      </c>
      <c r="N59" s="14">
        <f>IF('Données projet'!$A$36&gt;35,N58+M59-V58,IF(A59&lt;'Données projet'!$A$36,$K$205^A59,IF(A59='Données projet'!$A$36,'Données projet'!$B$36,N58+M59-V58)))</f>
        <v>224.19999999999987</v>
      </c>
      <c r="O59" s="14">
        <f>N59*VLOOKUP('Données projet'!$B$9,Paramètres!$A$1:$I$89,3,0)*VLOOKUP('Données projet'!$B$9,Paramètres!$A$1:$I$89,5,0)</f>
        <v>181.87103999999991</v>
      </c>
      <c r="P59" s="14">
        <f t="shared" si="33"/>
        <v>45.738207231648985</v>
      </c>
      <c r="Q59" s="22">
        <f t="shared" si="53"/>
        <v>396.41943892845512</v>
      </c>
      <c r="R59" s="62">
        <f t="shared" si="0"/>
        <v>655.34925486707687</v>
      </c>
      <c r="S59" s="62">
        <f ca="1">AVERAGE(OFFSET($R$3,0,0,'Données projet'!$E$9+1,1))-AVERAGE(OFFSET($H$3,0,0,'Données projet'!$E$9+1,1))</f>
        <v>259.10606516000064</v>
      </c>
      <c r="T59" s="62">
        <f t="shared" si="34"/>
        <v>316.57989180609252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18.542918076795981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18.542918076795981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</v>
      </c>
      <c r="AI59" s="14">
        <f>IF('Données projet'!$A$62&gt;35,AI58+AH59-AQ58,IF(A59&lt;'Données projet'!$A$62,$AF$205^A59,IF(A59='Données projet'!$A$62,'Données projet'!$B$62,AI58+AH59-AQ58)))</f>
        <v>310</v>
      </c>
      <c r="AJ59" s="14">
        <f>AI59*VLOOKUP('Données projet'!$B$10,Paramètres!$A$1:$I$89,3,0)*VLOOKUP('Données projet'!$B$10,Paramètres!$A$1:$I$89,5,0)</f>
        <v>145.07999999999998</v>
      </c>
      <c r="AK59" s="14">
        <f t="shared" si="35"/>
        <v>37.458337067672986</v>
      </c>
      <c r="AL59" s="22">
        <f t="shared" si="4"/>
        <v>317.92093705953039</v>
      </c>
      <c r="AM59" s="62">
        <f t="shared" si="5"/>
        <v>576.85075299815207</v>
      </c>
      <c r="AN59" s="62">
        <f ca="1">AVERAGE(OFFSET($AM$3,0,0,'Données projet'!$E$10+1,1))-AVERAGE(OFFSET($H$3,0,0,'Données projet'!$E$10+1,1))</f>
        <v>186.83226999296298</v>
      </c>
      <c r="AO59" s="62">
        <f t="shared" si="36"/>
        <v>232.70925470547317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15.912669025619296</v>
      </c>
      <c r="AV59" s="23">
        <f>EXP(-LN(2)/25)*AV58+(1-EXP(-LN(2)/25))/(LN(2)/25)*Calculateur!AQ59*Calculateur!AS59*VLOOKUP('Données projet'!$B$10,Paramètres!$A$1:$I$89,3,0)*0.475*44/12</f>
        <v>6.9831240452488759</v>
      </c>
      <c r="AW59" s="23">
        <f>EXP(-LN(2)/2)*AW58+(1-EXP(-LN(2)/2))/(LN(2)/2)*AQ59*AT59*VLOOKUP('Données projet'!$B$10,Paramètres!$A$1:$I$89,3,0)*0.475*44/12</f>
        <v>0.36344192358446276</v>
      </c>
      <c r="AX59" s="23">
        <f t="shared" si="6"/>
        <v>23.259234994452637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212.98991999999998</v>
      </c>
      <c r="BF59" s="14">
        <f t="shared" si="37"/>
        <v>52.588419883221171</v>
      </c>
      <c r="BG59" s="22">
        <f t="shared" si="7"/>
        <v>462.54894196327677</v>
      </c>
      <c r="BH59" s="62">
        <f t="shared" si="8"/>
        <v>721.47875790189846</v>
      </c>
      <c r="BI59" s="62">
        <f ca="1">AVERAGE(OFFSET($BH$3,0,0,'Données projet'!$E$11+1,1))-AVERAGE(OFFSET($H$3,0,0,'Données projet'!$E$11+1,1))</f>
        <v>435.70500547084868</v>
      </c>
      <c r="BJ59" s="62">
        <f t="shared" si="38"/>
        <v>297.32483725004136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14.28064148793697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14.28064148793697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268.07351999999997</v>
      </c>
      <c r="CA59" s="14">
        <f t="shared" si="39"/>
        <v>64.44025137873227</v>
      </c>
      <c r="CB59" s="22">
        <f t="shared" si="10"/>
        <v>579.12815181795861</v>
      </c>
      <c r="CC59" s="62">
        <f t="shared" si="11"/>
        <v>838.05796775658041</v>
      </c>
      <c r="CD59" s="62">
        <f ca="1">AVERAGE(OFFSET($CC$3,0,0,'Données projet'!$E$12+1,1))-AVERAGE(OFFSET($H$3,0,0,'Données projet'!$E$12+1,1))</f>
        <v>530.15080507516973</v>
      </c>
      <c r="CE59" s="62">
        <f t="shared" si="40"/>
        <v>358.10331902702217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17.973910838265496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17.973910838265496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8.4</v>
      </c>
      <c r="CT59" s="13">
        <f>IF('Données projet'!$A$140&gt;35,CT58+CS59-DB58,IF(A59&lt;'Données projet'!$A$140,$CQ$205^A59,IF(A59='Données projet'!$A$140,'Données projet'!$B$140,CT58+CS59-DB58)))</f>
        <v>163.39999999999992</v>
      </c>
      <c r="CU59" s="18">
        <f>CT59*VLOOKUP('Données projet'!$B$13,Paramètres!$A$1:$I$89,3,0)*VLOOKUP('Données projet'!$B$13,Paramètres!$A$1:$I$89,5,0)</f>
        <v>140.19719999999995</v>
      </c>
      <c r="CV59" s="14">
        <f t="shared" si="41"/>
        <v>36.34217754431797</v>
      </c>
      <c r="CW59" s="22">
        <f t="shared" si="13"/>
        <v>307.47274922302034</v>
      </c>
      <c r="CX59" s="62">
        <f t="shared" si="14"/>
        <v>566.40256516164209</v>
      </c>
      <c r="CY59" s="62">
        <f ca="1">AVERAGE(OFFSET($CX$3,0,0,'Données projet'!$E$13+1,1))-AVERAGE(OFFSET($H$3,0,0,'Données projet'!$E$13+1,1))</f>
        <v>182.98212193167009</v>
      </c>
      <c r="CZ59" s="62">
        <f t="shared" si="42"/>
        <v>195.9200038944301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22.490103701543184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22.490103701543184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18.2</v>
      </c>
      <c r="DO59" s="13">
        <f>IF('Données projet'!$A$166&gt;35,DO58+DN59-DW58,IF(A59&lt;'Données projet'!$A$166,$DL$205^A59,IF(A59='Données projet'!$A$166,'Données projet'!$B$166,DO58+DN59-DW58)))</f>
        <v>638.20000000000005</v>
      </c>
      <c r="DP59" s="18">
        <f>DO59*VLOOKUP('Données projet'!$B$14,Paramètres!$A$1:$I$89,3,0)*VLOOKUP('Données projet'!$B$14,Paramètres!$A$1:$I$89,5,0)</f>
        <v>282.08440000000007</v>
      </c>
      <c r="DQ59" s="14">
        <f t="shared" si="43"/>
        <v>67.407312199999367</v>
      </c>
      <c r="DR59" s="22">
        <f t="shared" si="16"/>
        <v>608.69806541499895</v>
      </c>
      <c r="DS59" s="62">
        <f t="shared" si="17"/>
        <v>867.62788135362075</v>
      </c>
      <c r="DT59" s="62">
        <f ca="1">AVERAGE(OFFSET($DS$3,0,0,'Données projet'!$E$14+1,1))-AVERAGE(OFFSET($H$3,0,0,'Données projet'!$E$14+1,1))</f>
        <v>338.33525241236157</v>
      </c>
      <c r="DU59" s="62">
        <f t="shared" si="44"/>
        <v>373.47257029791717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38.370143938181293</v>
      </c>
      <c r="EB59" s="23">
        <f>EXP(-LN(2)/25)*EB58+(1-EXP(-LN(2)/25))/(LN(2)/25)*Calculateur!DW59*Calculateur!DY59*VLOOKUP('Données projet'!$B$14,Paramètres!$A$1:$I$89,3,0)*0.475*44/12</f>
        <v>33.191366846561898</v>
      </c>
      <c r="EC59" s="23">
        <f>EXP(-LN(2)/2)*EC58+(1-EXP(-LN(2)/2))/(LN(2)/2)*DW59*DZ59*VLOOKUP('Données projet'!$B$14,Paramètres!$A$1:$I$89,3,0)*0.475*44/12</f>
        <v>2.1818028630795263</v>
      </c>
      <c r="ED59" s="24">
        <f t="shared" si="18"/>
        <v>73.743313647822717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5.4</v>
      </c>
      <c r="EJ59" s="13">
        <f>IF('Données projet'!$A$192&gt;35,EJ58+EI59-ER58,IF(A59&lt;'Données projet'!$A$192,$EG$205^A59,IF(A59='Données projet'!$A$192,'Données projet'!$B$192,EJ58+EI59-ER58)))</f>
        <v>126.39999999999995</v>
      </c>
      <c r="EK59" s="18">
        <f>EJ59*VLOOKUP('Données projet'!$B$15,Paramètres!$A$1:$I$89,3,0)*VLOOKUP('Données projet'!$B$15,Paramètres!$A$1:$I$89,5,0)</f>
        <v>98.59199999999997</v>
      </c>
      <c r="EL59" s="14">
        <f t="shared" si="45"/>
        <v>26.62628463760208</v>
      </c>
      <c r="EM59" s="22">
        <f t="shared" si="19"/>
        <v>218.08851241049024</v>
      </c>
      <c r="EN59" s="62">
        <f t="shared" si="20"/>
        <v>477.01832834911198</v>
      </c>
      <c r="EO59" s="62">
        <f ca="1">AVERAGE(OFFSET($EN$3,0,0,'Données projet'!$E$15+1,1))-AVERAGE(OFFSET($H$3,0,0,'Données projet'!$E$15+1,1))</f>
        <v>144.92790055195192</v>
      </c>
      <c r="EP59" s="62">
        <f t="shared" si="46"/>
        <v>151.00642748754026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12.411984219430652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12.411984219430652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5.2</v>
      </c>
      <c r="N60" s="14">
        <f>IF('Données projet'!$A$36&gt;35,N59+M60-V59,IF(A60&lt;'Données projet'!$A$36,$K$205^A60,IF(A60='Données projet'!$A$36,'Données projet'!$B$36,N59+M60-V59)))</f>
        <v>229.39999999999986</v>
      </c>
      <c r="O60" s="14">
        <f>N60*VLOOKUP('Données projet'!$B$9,Paramètres!$A$1:$I$89,3,0)*VLOOKUP('Données projet'!$B$9,Paramètres!$A$1:$I$89,5,0)</f>
        <v>186.08927999999992</v>
      </c>
      <c r="P60" s="14">
        <f t="shared" si="33"/>
        <v>46.674304440658766</v>
      </c>
      <c r="Q60" s="22">
        <f t="shared" si="53"/>
        <v>405.39657623414723</v>
      </c>
      <c r="R60" s="62">
        <f t="shared" si="0"/>
        <v>664.923216284825</v>
      </c>
      <c r="S60" s="62">
        <f ca="1">AVERAGE(OFFSET($R$3,0,0,'Données projet'!$E$9+1,1))-AVERAGE(OFFSET($H$3,0,0,'Données projet'!$E$9+1,1))</f>
        <v>259.10606516000064</v>
      </c>
      <c r="T60" s="62">
        <f t="shared" si="34"/>
        <v>316.57989180609252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18.179302763373261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18.179302763373261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</v>
      </c>
      <c r="AI60" s="14">
        <f>IF('Données projet'!$A$62&gt;35,AI59+AH60-AQ59,IF(A60&lt;'Données projet'!$A$62,$AF$205^A60,IF(A60='Données projet'!$A$62,'Données projet'!$B$62,AI59+AH60-AQ59)))</f>
        <v>320</v>
      </c>
      <c r="AJ60" s="14">
        <f>AI60*VLOOKUP('Données projet'!$B$10,Paramètres!$A$1:$I$89,3,0)*VLOOKUP('Données projet'!$B$10,Paramètres!$A$1:$I$89,5,0)</f>
        <v>149.76</v>
      </c>
      <c r="AK60" s="14">
        <f t="shared" si="35"/>
        <v>38.524039677774802</v>
      </c>
      <c r="AL60" s="22">
        <f t="shared" si="4"/>
        <v>327.92803577212442</v>
      </c>
      <c r="AM60" s="62">
        <f t="shared" si="5"/>
        <v>587.45467582280207</v>
      </c>
      <c r="AN60" s="62">
        <f ca="1">AVERAGE(OFFSET($AM$3,0,0,'Données projet'!$E$10+1,1))-AVERAGE(OFFSET($H$3,0,0,'Données projet'!$E$10+1,1))</f>
        <v>186.83226999296298</v>
      </c>
      <c r="AO60" s="62">
        <f t="shared" si="36"/>
        <v>232.70925470547317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15.600631291796642</v>
      </c>
      <c r="AV60" s="23">
        <f>EXP(-LN(2)/25)*AV59+(1-EXP(-LN(2)/25))/(LN(2)/25)*Calculateur!AQ60*Calculateur!AS60*VLOOKUP('Données projet'!$B$10,Paramètres!$A$1:$I$89,3,0)*0.475*44/12</f>
        <v>6.7921701510050116</v>
      </c>
      <c r="AW60" s="23">
        <f>EXP(-LN(2)/2)*AW59+(1-EXP(-LN(2)/2))/(LN(2)/2)*AQ60*AT60*VLOOKUP('Données projet'!$B$10,Paramètres!$A$1:$I$89,3,0)*0.475*44/12</f>
        <v>0.25699224873405663</v>
      </c>
      <c r="AX60" s="23">
        <f t="shared" si="6"/>
        <v>22.649793691535713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221.49503999999999</v>
      </c>
      <c r="BF60" s="14">
        <f t="shared" si="37"/>
        <v>54.439697086174412</v>
      </c>
      <c r="BG60" s="22">
        <f t="shared" si="7"/>
        <v>480.58633375842032</v>
      </c>
      <c r="BH60" s="62">
        <f t="shared" si="8"/>
        <v>740.11297380909809</v>
      </c>
      <c r="BI60" s="62">
        <f ca="1">AVERAGE(OFFSET($BH$3,0,0,'Données projet'!$E$11+1,1))-AVERAGE(OFFSET($H$3,0,0,'Données projet'!$E$11+1,1))</f>
        <v>435.70500547084868</v>
      </c>
      <c r="BJ60" s="62">
        <f t="shared" si="38"/>
        <v>297.32483725004136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14.000606818689761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14.000606818689761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278.77823999999998</v>
      </c>
      <c r="CA60" s="14">
        <f t="shared" si="39"/>
        <v>66.708750196436611</v>
      </c>
      <c r="CB60" s="22">
        <f t="shared" si="10"/>
        <v>601.72317459212707</v>
      </c>
      <c r="CC60" s="62">
        <f t="shared" si="11"/>
        <v>861.24981464280472</v>
      </c>
      <c r="CD60" s="62">
        <f ca="1">AVERAGE(OFFSET($CC$3,0,0,'Données projet'!$E$12+1,1))-AVERAGE(OFFSET($H$3,0,0,'Données projet'!$E$12+1,1))</f>
        <v>530.15080507516973</v>
      </c>
      <c r="CE60" s="62">
        <f t="shared" si="40"/>
        <v>358.10331902702217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17.621453409730215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17.621453409730215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8.4</v>
      </c>
      <c r="CT60" s="13">
        <f>IF('Données projet'!$A$140&gt;35,CT59+CS60-DB59,IF(A60&lt;'Données projet'!$A$140,$CQ$205^A60,IF(A60='Données projet'!$A$140,'Données projet'!$B$140,CT59+CS60-DB59)))</f>
        <v>171.79999999999993</v>
      </c>
      <c r="CU60" s="18">
        <f>CT60*VLOOKUP('Données projet'!$B$13,Paramètres!$A$1:$I$89,3,0)*VLOOKUP('Données projet'!$B$13,Paramètres!$A$1:$I$89,5,0)</f>
        <v>147.40439999999995</v>
      </c>
      <c r="CV60" s="14">
        <f t="shared" si="41"/>
        <v>37.988128303043979</v>
      </c>
      <c r="CW60" s="22">
        <f t="shared" si="13"/>
        <v>322.89198679446821</v>
      </c>
      <c r="CX60" s="62">
        <f t="shared" si="14"/>
        <v>582.41862684514592</v>
      </c>
      <c r="CY60" s="62">
        <f ca="1">AVERAGE(OFFSET($CX$3,0,0,'Données projet'!$E$13+1,1))-AVERAGE(OFFSET($H$3,0,0,'Données projet'!$E$13+1,1))</f>
        <v>182.98212193167009</v>
      </c>
      <c r="CZ60" s="62">
        <f t="shared" si="42"/>
        <v>195.9200038944301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22.049086485564679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22.049086485564679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18.2</v>
      </c>
      <c r="DO60" s="13">
        <f>IF('Données projet'!$A$166&gt;35,DO59+DN60-DW59,IF(A60&lt;'Données projet'!$A$166,$DL$205^A60,IF(A60='Données projet'!$A$166,'Données projet'!$B$166,DO59+DN60-DW59)))</f>
        <v>656.40000000000009</v>
      </c>
      <c r="DP60" s="18">
        <f>DO60*VLOOKUP('Données projet'!$B$14,Paramètres!$A$1:$I$89,3,0)*VLOOKUP('Données projet'!$B$14,Paramètres!$A$1:$I$89,5,0)</f>
        <v>290.12880000000007</v>
      </c>
      <c r="DQ60" s="14">
        <f t="shared" si="43"/>
        <v>69.103068517534368</v>
      </c>
      <c r="DR60" s="22">
        <f t="shared" si="16"/>
        <v>625.66217100137249</v>
      </c>
      <c r="DS60" s="62">
        <f t="shared" si="17"/>
        <v>885.18881105205014</v>
      </c>
      <c r="DT60" s="62">
        <f ca="1">AVERAGE(OFFSET($DS$3,0,0,'Données projet'!$E$14+1,1))-AVERAGE(OFFSET($H$3,0,0,'Données projet'!$E$14+1,1))</f>
        <v>338.33525241236157</v>
      </c>
      <c r="DU60" s="62">
        <f t="shared" si="44"/>
        <v>373.47257029791717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37.617728819030461</v>
      </c>
      <c r="EB60" s="23">
        <f>EXP(-LN(2)/25)*EB59+(1-EXP(-LN(2)/25))/(LN(2)/25)*Calculateur!DW60*Calculateur!DY60*VLOOKUP('Données projet'!$B$14,Paramètres!$A$1:$I$89,3,0)*0.475*44/12</f>
        <v>32.283747174684542</v>
      </c>
      <c r="EC60" s="23">
        <f>EXP(-LN(2)/2)*EC59+(1-EXP(-LN(2)/2))/(LN(2)/2)*DW60*DZ60*VLOOKUP('Données projet'!$B$14,Paramètres!$A$1:$I$89,3,0)*0.475*44/12</f>
        <v>1.5427675996957577</v>
      </c>
      <c r="ED60" s="24">
        <f t="shared" si="18"/>
        <v>71.444243593410761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5.4</v>
      </c>
      <c r="EJ60" s="13">
        <f>IF('Données projet'!$A$192&gt;35,EJ59+EI60-ER59,IF(A60&lt;'Données projet'!$A$192,$EG$205^A60,IF(A60='Données projet'!$A$192,'Données projet'!$B$192,EJ59+EI60-ER59)))</f>
        <v>131.79999999999995</v>
      </c>
      <c r="EK60" s="18">
        <f>EJ60*VLOOKUP('Données projet'!$B$15,Paramètres!$A$1:$I$89,3,0)*VLOOKUP('Données projet'!$B$15,Paramètres!$A$1:$I$89,5,0)</f>
        <v>102.80399999999997</v>
      </c>
      <c r="EL60" s="14">
        <f t="shared" si="45"/>
        <v>27.62893294028402</v>
      </c>
      <c r="EM60" s="22">
        <f t="shared" si="19"/>
        <v>227.17069153766127</v>
      </c>
      <c r="EN60" s="62">
        <f t="shared" si="20"/>
        <v>486.69733158833901</v>
      </c>
      <c r="EO60" s="62">
        <f ca="1">AVERAGE(OFFSET($EN$3,0,0,'Données projet'!$E$15+1,1))-AVERAGE(OFFSET($H$3,0,0,'Données projet'!$E$15+1,1))</f>
        <v>144.92790055195192</v>
      </c>
      <c r="EP60" s="62">
        <f t="shared" si="46"/>
        <v>151.00642748754026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12.16859277945046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12.16859277945046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5.2</v>
      </c>
      <c r="N61" s="14">
        <f>IF('Données projet'!$A$36&gt;35,N60+M61-V60,IF(A61&lt;'Données projet'!$A$36,$K$205^A61,IF(A61='Données projet'!$A$36,'Données projet'!$B$36,N60+M61-V60)))</f>
        <v>234.59999999999985</v>
      </c>
      <c r="O61" s="14">
        <f>N61*VLOOKUP('Données projet'!$B$9,Paramètres!$A$1:$I$89,3,0)*VLOOKUP('Données projet'!$B$9,Paramètres!$A$1:$I$89,5,0)</f>
        <v>190.3075199999999</v>
      </c>
      <c r="P61" s="14">
        <f t="shared" si="33"/>
        <v>47.607934756469184</v>
      </c>
      <c r="Q61" s="22">
        <f t="shared" si="53"/>
        <v>414.36941703418364</v>
      </c>
      <c r="R61" s="62">
        <f t="shared" si="0"/>
        <v>674.48252763287201</v>
      </c>
      <c r="S61" s="62">
        <f ca="1">AVERAGE(OFFSET($R$3,0,0,'Données projet'!$E$9+1,1))-AVERAGE(OFFSET($H$3,0,0,'Données projet'!$E$9+1,1))</f>
        <v>259.10606516000064</v>
      </c>
      <c r="T61" s="62">
        <f t="shared" si="34"/>
        <v>316.57989180609252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17.82281772446332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17.82281772446332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</v>
      </c>
      <c r="AI61" s="14">
        <f>IF('Données projet'!$A$62&gt;35,AI60+AH61-AQ60,IF(A61&lt;'Données projet'!$A$62,$AF$205^A61,IF(A61='Données projet'!$A$62,'Données projet'!$B$62,AI60+AH61-AQ60)))</f>
        <v>330</v>
      </c>
      <c r="AJ61" s="14">
        <f>AI61*VLOOKUP('Données projet'!$B$10,Paramètres!$A$1:$I$89,3,0)*VLOOKUP('Données projet'!$B$10,Paramètres!$A$1:$I$89,5,0)</f>
        <v>154.44</v>
      </c>
      <c r="AK61" s="14">
        <f t="shared" si="35"/>
        <v>39.58587217095549</v>
      </c>
      <c r="AL61" s="22">
        <f t="shared" si="4"/>
        <v>337.92839403108081</v>
      </c>
      <c r="AM61" s="62">
        <f t="shared" si="5"/>
        <v>598.04150462976918</v>
      </c>
      <c r="AN61" s="62">
        <f ca="1">AVERAGE(OFFSET($AM$3,0,0,'Données projet'!$E$10+1,1))-AVERAGE(OFFSET($H$3,0,0,'Données projet'!$E$10+1,1))</f>
        <v>186.83226999296298</v>
      </c>
      <c r="AO61" s="62">
        <f t="shared" si="36"/>
        <v>232.70925470547317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15.294712427610026</v>
      </c>
      <c r="AV61" s="23">
        <f>EXP(-LN(2)/25)*AV60+(1-EXP(-LN(2)/25))/(LN(2)/25)*Calculateur!AQ61*Calculateur!AS61*VLOOKUP('Données projet'!$B$10,Paramètres!$A$1:$I$89,3,0)*0.475*44/12</f>
        <v>6.6064379010410752</v>
      </c>
      <c r="AW61" s="23">
        <f>EXP(-LN(2)/2)*AW60+(1-EXP(-LN(2)/2))/(LN(2)/2)*AQ61*AT61*VLOOKUP('Données projet'!$B$10,Paramètres!$A$1:$I$89,3,0)*0.475*44/12</f>
        <v>0.18172096179223138</v>
      </c>
      <c r="AX61" s="23">
        <f t="shared" si="6"/>
        <v>22.082871290443332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230.00015999999997</v>
      </c>
      <c r="BF61" s="14">
        <f t="shared" si="37"/>
        <v>56.282716126880423</v>
      </c>
      <c r="BG61" s="22">
        <f t="shared" si="7"/>
        <v>498.60934258765002</v>
      </c>
      <c r="BH61" s="62">
        <f t="shared" si="8"/>
        <v>758.7224531863385</v>
      </c>
      <c r="BI61" s="62">
        <f ca="1">AVERAGE(OFFSET($BH$3,0,0,'Données projet'!$E$11+1,1))-AVERAGE(OFFSET($H$3,0,0,'Données projet'!$E$11+1,1))</f>
        <v>435.70500547084868</v>
      </c>
      <c r="BJ61" s="62">
        <f t="shared" si="38"/>
        <v>297.32483725004136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13.726063458502205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13.726063458502205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289.48295999999999</v>
      </c>
      <c r="CA61" s="14">
        <f t="shared" si="39"/>
        <v>68.967129713117529</v>
      </c>
      <c r="CB61" s="22">
        <f t="shared" si="10"/>
        <v>624.30057291701291</v>
      </c>
      <c r="CC61" s="62">
        <f t="shared" si="11"/>
        <v>884.41368351570134</v>
      </c>
      <c r="CD61" s="62">
        <f ca="1">AVERAGE(OFFSET($CC$3,0,0,'Données projet'!$E$12+1,1))-AVERAGE(OFFSET($H$3,0,0,'Données projet'!$E$12+1,1))</f>
        <v>530.15080507516973</v>
      </c>
      <c r="CE61" s="62">
        <f t="shared" si="40"/>
        <v>358.10331902702217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17.275907456390705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17.275907456390705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8.4</v>
      </c>
      <c r="CT61" s="13">
        <f>IF('Données projet'!$A$140&gt;35,CT60+CS61-DB60,IF(A61&lt;'Données projet'!$A$140,$CQ$205^A61,IF(A61='Données projet'!$A$140,'Données projet'!$B$140,CT60+CS61-DB60)))</f>
        <v>180.19999999999993</v>
      </c>
      <c r="CU61" s="18">
        <f>CT61*VLOOKUP('Données projet'!$B$13,Paramètres!$A$1:$I$89,3,0)*VLOOKUP('Données projet'!$B$13,Paramètres!$A$1:$I$89,5,0)</f>
        <v>154.61159999999995</v>
      </c>
      <c r="CV61" s="14">
        <f t="shared" si="41"/>
        <v>39.624734188365849</v>
      </c>
      <c r="CW61" s="22">
        <f t="shared" si="13"/>
        <v>338.29494871140372</v>
      </c>
      <c r="CX61" s="62">
        <f t="shared" si="14"/>
        <v>598.40805931009209</v>
      </c>
      <c r="CY61" s="62">
        <f ca="1">AVERAGE(OFFSET($CX$3,0,0,'Données projet'!$E$13+1,1))-AVERAGE(OFFSET($H$3,0,0,'Données projet'!$E$13+1,1))</f>
        <v>182.98212193167009</v>
      </c>
      <c r="CZ61" s="62">
        <f t="shared" si="42"/>
        <v>195.9200038944301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21.616717348197572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21.616717348197572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18.2</v>
      </c>
      <c r="DO61" s="13">
        <f>IF('Données projet'!$A$166&gt;35,DO60+DN61-DW60,IF(A61&lt;'Données projet'!$A$166,$DL$205^A61,IF(A61='Données projet'!$A$166,'Données projet'!$B$166,DO60+DN61-DW60)))</f>
        <v>674.60000000000014</v>
      </c>
      <c r="DP61" s="18">
        <f>DO61*VLOOKUP('Données projet'!$B$14,Paramètres!$A$1:$I$89,3,0)*VLOOKUP('Données projet'!$B$14,Paramètres!$A$1:$I$89,5,0)</f>
        <v>298.17320000000007</v>
      </c>
      <c r="DQ61" s="14">
        <f t="shared" si="43"/>
        <v>70.793359995619255</v>
      </c>
      <c r="DR61" s="22">
        <f t="shared" si="16"/>
        <v>642.61675865903692</v>
      </c>
      <c r="DS61" s="62">
        <f t="shared" si="17"/>
        <v>902.72986925772534</v>
      </c>
      <c r="DT61" s="62">
        <f ca="1">AVERAGE(OFFSET($DS$3,0,0,'Données projet'!$E$14+1,1))-AVERAGE(OFFSET($H$3,0,0,'Données projet'!$E$14+1,1))</f>
        <v>338.33525241236157</v>
      </c>
      <c r="DU61" s="62">
        <f t="shared" si="44"/>
        <v>373.47257029791717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36.880068101438269</v>
      </c>
      <c r="EB61" s="23">
        <f>EXP(-LN(2)/25)*EB60+(1-EXP(-LN(2)/25))/(LN(2)/25)*Calculateur!DW61*Calculateur!DY61*VLOOKUP('Données projet'!$B$14,Paramètres!$A$1:$I$89,3,0)*0.475*44/12</f>
        <v>31.400946410464314</v>
      </c>
      <c r="EC61" s="23">
        <f>EXP(-LN(2)/2)*EC60+(1-EXP(-LN(2)/2))/(LN(2)/2)*DW61*DZ61*VLOOKUP('Données projet'!$B$14,Paramètres!$A$1:$I$89,3,0)*0.475*44/12</f>
        <v>1.0909014315397634</v>
      </c>
      <c r="ED61" s="24">
        <f t="shared" si="18"/>
        <v>69.371915943442346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5.4</v>
      </c>
      <c r="EJ61" s="13">
        <f>IF('Données projet'!$A$192&gt;35,EJ60+EI61-ER60,IF(A61&lt;'Données projet'!$A$192,$EG$205^A61,IF(A61='Données projet'!$A$192,'Données projet'!$B$192,EJ60+EI61-ER60)))</f>
        <v>137.19999999999996</v>
      </c>
      <c r="EK61" s="18">
        <f>EJ61*VLOOKUP('Données projet'!$B$15,Paramètres!$A$1:$I$89,3,0)*VLOOKUP('Données projet'!$B$15,Paramètres!$A$1:$I$89,5,0)</f>
        <v>107.01599999999998</v>
      </c>
      <c r="EL61" s="14">
        <f t="shared" si="45"/>
        <v>28.626809543094307</v>
      </c>
      <c r="EM61" s="22">
        <f t="shared" si="19"/>
        <v>236.24455995422252</v>
      </c>
      <c r="EN61" s="62">
        <f t="shared" si="20"/>
        <v>496.35767055291092</v>
      </c>
      <c r="EO61" s="62">
        <f ca="1">AVERAGE(OFFSET($EN$3,0,0,'Données projet'!$E$15+1,1))-AVERAGE(OFFSET($H$3,0,0,'Données projet'!$E$15+1,1))</f>
        <v>144.92790055195192</v>
      </c>
      <c r="EP61" s="62">
        <f t="shared" si="46"/>
        <v>151.00642748754026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11.92997409715416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11.92997409715416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5.2</v>
      </c>
      <c r="N62" s="14">
        <f>IF('Données projet'!$A$36&gt;35,N61+M62-V61,IF(A62&lt;'Données projet'!$A$36,$K$205^A62,IF(A62='Données projet'!$A$36,'Données projet'!$B$36,N61+M62-V61)))</f>
        <v>239.79999999999984</v>
      </c>
      <c r="O62" s="14">
        <f>N62*VLOOKUP('Données projet'!$B$9,Paramètres!$A$1:$I$89,3,0)*VLOOKUP('Données projet'!$B$9,Paramètres!$A$1:$I$89,5,0)</f>
        <v>194.52575999999991</v>
      </c>
      <c r="P62" s="14">
        <f t="shared" si="33"/>
        <v>48.539159154841606</v>
      </c>
      <c r="Q62" s="22">
        <f t="shared" si="53"/>
        <v>423.33806752801564</v>
      </c>
      <c r="R62" s="62">
        <f t="shared" si="0"/>
        <v>684.02747472185843</v>
      </c>
      <c r="S62" s="62">
        <f ca="1">AVERAGE(OFFSET($R$3,0,0,'Données projet'!$E$9+1,1))-AVERAGE(OFFSET($H$3,0,0,'Données projet'!$E$9+1,1))</f>
        <v>259.10606516000064</v>
      </c>
      <c r="T62" s="62">
        <f t="shared" si="34"/>
        <v>316.57989180609252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17.473323139731999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17.473323139731999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</v>
      </c>
      <c r="AI62" s="14">
        <f>IF('Données projet'!$A$62&gt;35,AI61+AH62-AQ61,IF(A62&lt;'Données projet'!$A$62,$AF$205^A62,IF(A62='Données projet'!$A$62,'Données projet'!$B$62,AI61+AH62-AQ61)))</f>
        <v>340</v>
      </c>
      <c r="AJ62" s="14">
        <f>AI62*VLOOKUP('Données projet'!$B$10,Paramètres!$A$1:$I$89,3,0)*VLOOKUP('Données projet'!$B$10,Paramètres!$A$1:$I$89,5,0)</f>
        <v>159.12</v>
      </c>
      <c r="AK62" s="14">
        <f t="shared" si="35"/>
        <v>40.643965284387697</v>
      </c>
      <c r="AL62" s="22">
        <f t="shared" si="4"/>
        <v>347.92223953697521</v>
      </c>
      <c r="AM62" s="62">
        <f t="shared" si="5"/>
        <v>608.61164673081794</v>
      </c>
      <c r="AN62" s="62">
        <f ca="1">AVERAGE(OFFSET($AM$3,0,0,'Données projet'!$E$10+1,1))-AVERAGE(OFFSET($H$3,0,0,'Données projet'!$E$10+1,1))</f>
        <v>186.83226999296298</v>
      </c>
      <c r="AO62" s="62">
        <f t="shared" si="36"/>
        <v>232.70925470547317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14.994792445758026</v>
      </c>
      <c r="AV62" s="23">
        <f>EXP(-LN(2)/25)*AV61+(1-EXP(-LN(2)/25))/(LN(2)/25)*Calculateur!AQ62*Calculateur!AS62*VLOOKUP('Données projet'!$B$10,Paramètres!$A$1:$I$89,3,0)*0.475*44/12</f>
        <v>6.4257845092196373</v>
      </c>
      <c r="AW62" s="23">
        <f>EXP(-LN(2)/2)*AW61+(1-EXP(-LN(2)/2))/(LN(2)/2)*AQ62*AT62*VLOOKUP('Données projet'!$B$10,Paramètres!$A$1:$I$89,3,0)*0.475*44/12</f>
        <v>0.12849612436702831</v>
      </c>
      <c r="AX62" s="23">
        <f t="shared" si="6"/>
        <v>21.549073079344691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238.50527999999997</v>
      </c>
      <c r="BF62" s="14">
        <f t="shared" si="37"/>
        <v>58.117817352909881</v>
      </c>
      <c r="BG62" s="22">
        <f t="shared" si="7"/>
        <v>516.61856122298457</v>
      </c>
      <c r="BH62" s="62">
        <f t="shared" si="8"/>
        <v>777.30796841682741</v>
      </c>
      <c r="BI62" s="62">
        <f ca="1">AVERAGE(OFFSET($BH$3,0,0,'Données projet'!$E$11+1,1))-AVERAGE(OFFSET($H$3,0,0,'Données projet'!$E$11+1,1))</f>
        <v>435.70500547084868</v>
      </c>
      <c r="BJ62" s="62">
        <f t="shared" si="38"/>
        <v>297.32483725004136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13.456903726153014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13.456903726153014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300.18767999999994</v>
      </c>
      <c r="CA62" s="14">
        <f t="shared" si="39"/>
        <v>71.215806980344027</v>
      </c>
      <c r="CB62" s="22">
        <f t="shared" si="10"/>
        <v>646.86107315743232</v>
      </c>
      <c r="CC62" s="62">
        <f t="shared" si="11"/>
        <v>907.55048035127516</v>
      </c>
      <c r="CD62" s="62">
        <f ca="1">AVERAGE(OFFSET($CC$3,0,0,'Données projet'!$E$12+1,1))-AVERAGE(OFFSET($H$3,0,0,'Données projet'!$E$12+1,1))</f>
        <v>530.15080507516973</v>
      </c>
      <c r="CE62" s="62">
        <f t="shared" si="40"/>
        <v>358.10331902702217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16.937137448433962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16.937137448433962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8.4</v>
      </c>
      <c r="CT62" s="13">
        <f>IF('Données projet'!$A$140&gt;35,CT61+CS62-DB61,IF(A62&lt;'Données projet'!$A$140,$CQ$205^A62,IF(A62='Données projet'!$A$140,'Données projet'!$B$140,CT61+CS62-DB61)))</f>
        <v>188.59999999999994</v>
      </c>
      <c r="CU62" s="18">
        <f>CT62*VLOOKUP('Données projet'!$B$13,Paramètres!$A$1:$I$89,3,0)*VLOOKUP('Données projet'!$B$13,Paramètres!$A$1:$I$89,5,0)</f>
        <v>161.81879999999995</v>
      </c>
      <c r="CV62" s="14">
        <f t="shared" si="41"/>
        <v>41.252480557795202</v>
      </c>
      <c r="CW62" s="22">
        <f t="shared" si="13"/>
        <v>353.68248030482658</v>
      </c>
      <c r="CX62" s="62">
        <f t="shared" si="14"/>
        <v>614.37188749866937</v>
      </c>
      <c r="CY62" s="62">
        <f ca="1">AVERAGE(OFFSET($CX$3,0,0,'Données projet'!$E$13+1,1))-AVERAGE(OFFSET($H$3,0,0,'Données projet'!$E$13+1,1))</f>
        <v>182.98212193167009</v>
      </c>
      <c r="CZ62" s="62">
        <f t="shared" si="42"/>
        <v>195.9200038944301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21.192826705895101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21.192826705895101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18.2</v>
      </c>
      <c r="DO62" s="13">
        <f>IF('Données projet'!$A$166&gt;35,DO61+DN62-DW61,IF(A62&lt;'Données projet'!$A$166,$DL$205^A62,IF(A62='Données projet'!$A$166,'Données projet'!$B$166,DO61+DN62-DW61)))</f>
        <v>692.80000000000018</v>
      </c>
      <c r="DP62" s="18">
        <f>DO62*VLOOKUP('Données projet'!$B$14,Paramètres!$A$1:$I$89,3,0)*VLOOKUP('Données projet'!$B$14,Paramètres!$A$1:$I$89,5,0)</f>
        <v>306.21760000000012</v>
      </c>
      <c r="DQ62" s="14">
        <f t="shared" si="43"/>
        <v>72.478351013597631</v>
      </c>
      <c r="DR62" s="22">
        <f t="shared" si="16"/>
        <v>659.56211468201616</v>
      </c>
      <c r="DS62" s="62">
        <f t="shared" si="17"/>
        <v>920.251521875859</v>
      </c>
      <c r="DT62" s="62">
        <f ca="1">AVERAGE(OFFSET($DS$3,0,0,'Données projet'!$E$14+1,1))-AVERAGE(OFFSET($H$3,0,0,'Données projet'!$E$14+1,1))</f>
        <v>338.33525241236157</v>
      </c>
      <c r="DU62" s="62">
        <f t="shared" si="44"/>
        <v>373.47257029791717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36.156872460589447</v>
      </c>
      <c r="EB62" s="23">
        <f>EXP(-LN(2)/25)*EB61+(1-EXP(-LN(2)/25))/(LN(2)/25)*Calculateur!DW62*Calculateur!DY62*VLOOKUP('Données projet'!$B$14,Paramètres!$A$1:$I$89,3,0)*0.475*44/12</f>
        <v>30.542285879566165</v>
      </c>
      <c r="EC62" s="23">
        <f>EXP(-LN(2)/2)*EC61+(1-EXP(-LN(2)/2))/(LN(2)/2)*DW62*DZ62*VLOOKUP('Données projet'!$B$14,Paramètres!$A$1:$I$89,3,0)*0.475*44/12</f>
        <v>0.77138379984787897</v>
      </c>
      <c r="ED62" s="24">
        <f t="shared" si="18"/>
        <v>67.470542140003488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5.4</v>
      </c>
      <c r="EJ62" s="13">
        <f>IF('Données projet'!$A$192&gt;35,EJ61+EI62-ER61,IF(A62&lt;'Données projet'!$A$192,$EG$205^A62,IF(A62='Données projet'!$A$192,'Données projet'!$B$192,EJ61+EI62-ER61)))</f>
        <v>142.59999999999997</v>
      </c>
      <c r="EK62" s="18">
        <f>EJ62*VLOOKUP('Données projet'!$B$15,Paramètres!$A$1:$I$89,3,0)*VLOOKUP('Données projet'!$B$15,Paramètres!$A$1:$I$89,5,0)</f>
        <v>111.22799999999998</v>
      </c>
      <c r="EL62" s="14">
        <f t="shared" si="45"/>
        <v>29.620123744783804</v>
      </c>
      <c r="EM62" s="22">
        <f t="shared" si="19"/>
        <v>245.31048218883168</v>
      </c>
      <c r="EN62" s="62">
        <f t="shared" si="20"/>
        <v>505.9998893826745</v>
      </c>
      <c r="EO62" s="62">
        <f ca="1">AVERAGE(OFFSET($EN$3,0,0,'Données projet'!$E$15+1,1))-AVERAGE(OFFSET($H$3,0,0,'Données projet'!$E$15+1,1))</f>
        <v>144.92790055195192</v>
      </c>
      <c r="EP62" s="62">
        <f t="shared" si="46"/>
        <v>151.00642748754026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11.696034581674665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11.696034581674665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245</v>
      </c>
      <c r="L63" s="13">
        <f>VLOOKUP(A63,'Données projet'!$A$35:$I$55,9,0)</f>
        <v>5.2</v>
      </c>
      <c r="M63" s="13">
        <f t="array" ref="M63">INDEX(L:L,MIN(IF(ISNUMBER(L63:L259),ROW(L63:L259),"")))</f>
        <v>5.2</v>
      </c>
      <c r="N63" s="14">
        <f>IF('Données projet'!$A$36&gt;35,N62+M63-V62,IF(A63&lt;'Données projet'!$A$36,$K$205^A63,IF(A63='Données projet'!$A$36,'Données projet'!$B$36,N62+M63-V62)))</f>
        <v>244.99999999999983</v>
      </c>
      <c r="O63" s="14">
        <f>N63*VLOOKUP('Données projet'!$B$9,Paramètres!$A$1:$I$89,3,0)*VLOOKUP('Données projet'!$B$9,Paramètres!$A$1:$I$89,5,0)</f>
        <v>198.74399999999989</v>
      </c>
      <c r="P63" s="14">
        <f t="shared" si="33"/>
        <v>49.468035816012154</v>
      </c>
      <c r="Q63" s="22">
        <f t="shared" si="53"/>
        <v>432.30262904622094</v>
      </c>
      <c r="R63" s="62">
        <f t="shared" si="0"/>
        <v>693.55833537769843</v>
      </c>
      <c r="S63" s="62">
        <f ca="1">AVERAGE(OFFSET($R$3,0,0,'Données projet'!$E$9+1,1))-AVERAGE(OFFSET($H$3,0,0,'Données projet'!$E$9+1,1))</f>
        <v>259.10606516000064</v>
      </c>
      <c r="T63" s="62">
        <f t="shared" si="34"/>
        <v>316.57989180609252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245</v>
      </c>
      <c r="W63" s="17">
        <f>IF(ISNA(VLOOKUP(A63,'Données projet'!$A$35:$I$55,5,0)),0%,VLOOKUP(A63,'Données projet'!$A$35:$I$55,5,0)*VLOOKUP('Données projet'!$B$9,Paramètres!$A$1:$I$89,7,0))</f>
        <v>0.38700000000000001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102.15675110816662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102.15675110816662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350</v>
      </c>
      <c r="AG63" s="13">
        <f>VLOOKUP(A63,'Données projet'!$A$61:$I$81,9,0)</f>
        <v>10</v>
      </c>
      <c r="AH63" s="13">
        <f t="array" ref="AH63">INDEX(AG:AG,MIN(IF(ISNUMBER(AG63:AG259),ROW(AG63:AG259),"")))</f>
        <v>10</v>
      </c>
      <c r="AI63" s="14">
        <f>IF('Données projet'!$A$62&gt;35,AI62+AH63-AQ62,IF(A63&lt;'Données projet'!$A$62,$AF$205^A63,IF(A63='Données projet'!$A$62,'Données projet'!$B$62,AI62+AH63-AQ62)))</f>
        <v>350</v>
      </c>
      <c r="AJ63" s="14">
        <f>AI63*VLOOKUP('Données projet'!$B$10,Paramètres!$A$1:$I$89,3,0)*VLOOKUP('Données projet'!$B$10,Paramètres!$A$1:$I$89,5,0)</f>
        <v>163.80000000000001</v>
      </c>
      <c r="AK63" s="14">
        <f t="shared" si="35"/>
        <v>41.698441627605334</v>
      </c>
      <c r="AL63" s="22">
        <f t="shared" si="4"/>
        <v>357.90978583474595</v>
      </c>
      <c r="AM63" s="62">
        <f t="shared" si="5"/>
        <v>619.16549216622343</v>
      </c>
      <c r="AN63" s="62">
        <f ca="1">AVERAGE(OFFSET($AM$3,0,0,'Données projet'!$E$10+1,1))-AVERAGE(OFFSET($H$3,0,0,'Données projet'!$E$10+1,1))</f>
        <v>186.83226999296298</v>
      </c>
      <c r="AO63" s="62">
        <f t="shared" si="36"/>
        <v>232.70925470547317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350</v>
      </c>
      <c r="AR63" s="17">
        <f>IF(ISNA(VLOOKUP(A63,'Données projet'!$A$61:$I$81,5,0)),0%,VLOOKUP(A63,'Données projet'!$A$61:$I$81,5,0)*VLOOKUP('Données projet'!$B$10,Paramètres!$A$1:$I$89,7,0))</f>
        <v>0.49500000000000005</v>
      </c>
      <c r="AS63" s="17">
        <f>IF(ISNA(VLOOKUP(A63,'Données projet'!$A$61:$I$81,6,0)),0%,VLOOKUP(A63,'Données projet'!$A$61:$I$81,6,0)*VLOOKUP('Données projet'!$B$10,Paramètres!$A$1:$I$89,7,0))</f>
        <v>3.3000000000000002E-2</v>
      </c>
      <c r="AT63" s="17">
        <f>IF(ISNA(VLOOKUP(A63,'Données projet'!$A$61:$I$81,7,0)),0%,VLOOKUP(A63,'Données projet'!$A$61:$I$81,7,0))</f>
        <v>0.04</v>
      </c>
      <c r="AU63" s="23">
        <f>EXP(-LN(2)/35)*AU62+(1-EXP(-LN(2)/35))/(LN(2)/35)*AQ63*AR63*VLOOKUP('Données projet'!$B$10,Paramètres!$A$1:$I$89,3,0)*0.475*44/12</f>
        <v>122.25992632331038</v>
      </c>
      <c r="AV63" s="23">
        <f>EXP(-LN(2)/25)*AV62+(1-EXP(-LN(2)/25))/(LN(2)/25)*Calculateur!AQ63*Calculateur!AS63*VLOOKUP('Données projet'!$B$10,Paramètres!$A$1:$I$89,3,0)*0.475*44/12</f>
        <v>13.392449171608645</v>
      </c>
      <c r="AW63" s="23">
        <f>EXP(-LN(2)/2)*AW62+(1-EXP(-LN(2)/2))/(LN(2)/2)*AQ63*AT63*VLOOKUP('Données projet'!$B$10,Paramètres!$A$1:$I$89,3,0)*0.475*44/12</f>
        <v>7.5092464942895178</v>
      </c>
      <c r="AX63" s="23">
        <f t="shared" si="6"/>
        <v>143.16162198920856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247.01039999999992</v>
      </c>
      <c r="BF63" s="14">
        <f t="shared" si="37"/>
        <v>59.945315462121812</v>
      </c>
      <c r="BG63" s="22">
        <f t="shared" si="7"/>
        <v>534.61453776319524</v>
      </c>
      <c r="BH63" s="62">
        <f t="shared" si="8"/>
        <v>795.87024409467267</v>
      </c>
      <c r="BI63" s="62">
        <f ca="1">AVERAGE(OFFSET($BH$3,0,0,'Données projet'!$E$11+1,1))-AVERAGE(OFFSET($H$3,0,0,'Données projet'!$E$11+1,1))</f>
        <v>435.70500547084868</v>
      </c>
      <c r="BJ63" s="62">
        <f t="shared" si="38"/>
        <v>297.32483725004136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28</v>
      </c>
      <c r="BM63" s="17">
        <f>IF(ISNA(VLOOKUP(A63,'Données projet'!$A$87:$I$107,5,0)),0%,VLOOKUP(A63,'Données projet'!$A$87:$I$107,5,0)*VLOOKUP('Données projet'!$B$11,Paramètres!$A$1:$I$89,7,0))</f>
        <v>0.17200000000000001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18.01012780270117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18.01012780270117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310.89239999999995</v>
      </c>
      <c r="CA63" s="14">
        <f t="shared" si="39"/>
        <v>73.455167619307602</v>
      </c>
      <c r="CB63" s="22">
        <f t="shared" si="10"/>
        <v>669.40534693696065</v>
      </c>
      <c r="CC63" s="62">
        <f t="shared" si="11"/>
        <v>930.66105326843808</v>
      </c>
      <c r="CD63" s="62">
        <f ca="1">AVERAGE(OFFSET($CC$3,0,0,'Données projet'!$E$12+1,1))-AVERAGE(OFFSET($H$3,0,0,'Données projet'!$E$12+1,1))</f>
        <v>530.15080507516973</v>
      </c>
      <c r="CE63" s="62">
        <f t="shared" si="40"/>
        <v>358.10331902702217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28</v>
      </c>
      <c r="CH63" s="17">
        <f>IF(ISNA(VLOOKUP(A63,'Données projet'!$A$113:$I$133,5,0)),0%,VLOOKUP(A63,'Données projet'!$A$113:$I$133,5,0)*VLOOKUP('Données projet'!$B$12,Paramètres!$A$1:$I$89,7,0))</f>
        <v>0.17200000000000001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22.667919475813537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22.667919475813537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197</v>
      </c>
      <c r="CR63" s="13">
        <f>VLOOKUP(A63,'Données projet'!$A$139:$I$159,9,0)</f>
        <v>8.4</v>
      </c>
      <c r="CS63" s="13">
        <f t="array" ref="CS63">INDEX(CR:CR,MIN(IF(ISNUMBER(CR63:CR259),ROW(CR63:CR259),"")))</f>
        <v>8.4</v>
      </c>
      <c r="CT63" s="13">
        <f>IF('Données projet'!$A$140&gt;35,CT62+CS63-DB62,IF(A63&lt;'Données projet'!$A$140,$CQ$205^A63,IF(A63='Données projet'!$A$140,'Données projet'!$B$140,CT62+CS63-DB62)))</f>
        <v>196.99999999999994</v>
      </c>
      <c r="CU63" s="18">
        <f>CT63*VLOOKUP('Données projet'!$B$13,Paramètres!$A$1:$I$89,3,0)*VLOOKUP('Données projet'!$B$13,Paramètres!$A$1:$I$89,5,0)</f>
        <v>169.02599999999998</v>
      </c>
      <c r="CV63" s="14">
        <f t="shared" si="41"/>
        <v>42.871807090122402</v>
      </c>
      <c r="CW63" s="22">
        <f t="shared" si="13"/>
        <v>369.05534734862982</v>
      </c>
      <c r="CX63" s="62">
        <f t="shared" si="14"/>
        <v>630.31105368010731</v>
      </c>
      <c r="CY63" s="62">
        <f ca="1">AVERAGE(OFFSET($CX$3,0,0,'Données projet'!$E$13+1,1))-AVERAGE(OFFSET($H$3,0,0,'Données projet'!$E$13+1,1))</f>
        <v>182.98212193167009</v>
      </c>
      <c r="CZ63" s="62">
        <f t="shared" si="42"/>
        <v>195.9200038944301</v>
      </c>
      <c r="DA63" s="16">
        <f>IF(ISNA(VLOOKUP(A63,'Données projet'!$A$139:$I$159,3,0)),0,VLOOKUP(A63,'Données projet'!$A$139:$I$159,3,0))</f>
        <v>8</v>
      </c>
      <c r="DB63" s="16">
        <f>IF(ISNA(VLOOKUP(A63,'Données projet'!$A$139:$I$159,4,0)),0,VLOOKUP(A63,'Données projet'!$A$139:$I$159,4,0))</f>
        <v>197</v>
      </c>
      <c r="DC63" s="17">
        <f>IF(ISNA(VLOOKUP(A63,'Données projet'!$A$139:$I$159,5,0)),0%,VLOOKUP(A63,'Données projet'!$A$139:$I$159,5,0)*VLOOKUP('Données projet'!$B$13,Paramètres!$A$1:$I$89,7,0))</f>
        <v>0.47700000000000004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109.9062420494771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109.9062420494771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711</v>
      </c>
      <c r="DM63" s="13">
        <f>VLOOKUP(A63,'Données projet'!$A$165:$I$185,9,0)</f>
        <v>18.2</v>
      </c>
      <c r="DN63" s="13">
        <f t="array" ref="DN63">INDEX(DM:DM,MIN(IF(ISNUMBER(DM63:DM259),ROW(DM63:DM259),"")))</f>
        <v>18.2</v>
      </c>
      <c r="DO63" s="13">
        <f>IF('Données projet'!$A$166&gt;35,DO62+DN63-DW62,IF(A63&lt;'Données projet'!$A$166,$DL$205^A63,IF(A63='Données projet'!$A$166,'Données projet'!$B$166,DO62+DN63-DW62)))</f>
        <v>711.00000000000023</v>
      </c>
      <c r="DP63" s="18">
        <f>DO63*VLOOKUP('Données projet'!$B$14,Paramètres!$A$1:$I$89,3,0)*VLOOKUP('Données projet'!$B$14,Paramètres!$A$1:$I$89,5,0)</f>
        <v>314.26200000000011</v>
      </c>
      <c r="DQ63" s="14">
        <f t="shared" si="43"/>
        <v>74.158196822395979</v>
      </c>
      <c r="DR63" s="22">
        <f t="shared" si="16"/>
        <v>676.49850946567312</v>
      </c>
      <c r="DS63" s="62">
        <f t="shared" si="17"/>
        <v>937.75421579715066</v>
      </c>
      <c r="DT63" s="62">
        <f ca="1">AVERAGE(OFFSET($DS$3,0,0,'Données projet'!$E$14+1,1))-AVERAGE(OFFSET($H$3,0,0,'Données projet'!$E$14+1,1))</f>
        <v>338.33525241236157</v>
      </c>
      <c r="DU63" s="62">
        <f t="shared" si="44"/>
        <v>373.47257029791717</v>
      </c>
      <c r="DV63" s="16">
        <f>IF(ISNA(VLOOKUP(A63,'Données projet'!$A$165:$I$185,3,0)),0,VLOOKUP(A63,'Données projet'!$A$165:$I$185,3,0))</f>
        <v>10</v>
      </c>
      <c r="DW63" s="16">
        <f>IF(ISNA(VLOOKUP(A63,'Données projet'!$A$165:$I$185,4,0)),0,VLOOKUP(A63,'Données projet'!$A$165:$I$185,4,0))</f>
        <v>711</v>
      </c>
      <c r="DX63" s="17">
        <f>IF(ISNA(VLOOKUP(A63,'Données projet'!$A$165:$I$185,5,0)),0%,VLOOKUP(A63,'Données projet'!$A$165:$I$185,5,0)*VLOOKUP('Données projet'!$B$14,Paramètres!$A$1:$I$89,7,0))</f>
        <v>0.49500000000000005</v>
      </c>
      <c r="DY63" s="17">
        <f>IF(ISNA(VLOOKUP(A63,'Données projet'!$A$165:$I$185,6,0)),0%,VLOOKUP(A63,'Données projet'!$A$165:$I$185,6,0)*VLOOKUP('Données projet'!$B$14,Paramètres!$A$1:$I$89,7,0))</f>
        <v>3.0800000000000001E-2</v>
      </c>
      <c r="DZ63" s="17">
        <f>IF(ISNA(VLOOKUP(A63,'Données projet'!$A$165:$I$185,7,0)),0%,VLOOKUP(A63,'Données projet'!$A$165:$I$185,7,0))</f>
        <v>0.04</v>
      </c>
      <c r="EA63" s="23">
        <f>EXP(-LN(2)/35)*EA62+(1-EXP(-LN(2)/35))/(LN(2)/35)*DW63*DX63*VLOOKUP('Données projet'!$B$14,Paramètres!$A$1:$I$89,3,0)*0.475*44/12</f>
        <v>241.80781369834557</v>
      </c>
      <c r="EB63" s="23">
        <f>EXP(-LN(2)/25)*EB62+(1-EXP(-LN(2)/25))/(LN(2)/25)*Calculateur!DW63*Calculateur!DY63*VLOOKUP('Données projet'!$B$14,Paramètres!$A$1:$I$89,3,0)*0.475*44/12</f>
        <v>42.496723810528145</v>
      </c>
      <c r="EC63" s="23">
        <f>EXP(-LN(2)/2)*EC62+(1-EXP(-LN(2)/2))/(LN(2)/2)*DW63*DZ63*VLOOKUP('Données projet'!$B$14,Paramètres!$A$1:$I$89,3,0)*0.475*44/12</f>
        <v>14.77815416718037</v>
      </c>
      <c r="ED63" s="24">
        <f t="shared" si="18"/>
        <v>299.08269167605408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148</v>
      </c>
      <c r="EH63" s="13">
        <f>VLOOKUP(A63,'Données projet'!$A$191:$I$211,9,0)</f>
        <v>5.4</v>
      </c>
      <c r="EI63" s="13">
        <f t="array" ref="EI63">INDEX(EH:EH,MIN(IF(ISNUMBER(EH63:EH259),ROW(EH63:EH259),"")))</f>
        <v>5.4</v>
      </c>
      <c r="EJ63" s="13">
        <f>IF('Données projet'!$A$192&gt;35,EJ62+EI63-ER62,IF(A63&lt;'Données projet'!$A$192,$EG$205^A63,IF(A63='Données projet'!$A$192,'Données projet'!$B$192,EJ62+EI63-ER62)))</f>
        <v>147.99999999999997</v>
      </c>
      <c r="EK63" s="18">
        <f>EJ63*VLOOKUP('Données projet'!$B$15,Paramètres!$A$1:$I$89,3,0)*VLOOKUP('Données projet'!$B$15,Paramètres!$A$1:$I$89,5,0)</f>
        <v>115.43999999999998</v>
      </c>
      <c r="EL63" s="14">
        <f t="shared" si="45"/>
        <v>30.60906809471021</v>
      </c>
      <c r="EM63" s="22">
        <f t="shared" si="19"/>
        <v>254.36879359828689</v>
      </c>
      <c r="EN63" s="62">
        <f t="shared" si="20"/>
        <v>515.6244999297644</v>
      </c>
      <c r="EO63" s="62">
        <f ca="1">AVERAGE(OFFSET($EN$3,0,0,'Données projet'!$E$15+1,1))-AVERAGE(OFFSET($H$3,0,0,'Données projet'!$E$15+1,1))</f>
        <v>144.92790055195192</v>
      </c>
      <c r="EP63" s="62">
        <f t="shared" si="46"/>
        <v>151.00642748754026</v>
      </c>
      <c r="EQ63" s="16">
        <f>IF(ISNA(VLOOKUP(A63,'Données projet'!$A$191:$I$211,3,0)),0,VLOOKUP(A63,'Données projet'!$A$191:$I$211,3,0))</f>
        <v>8</v>
      </c>
      <c r="ER63" s="16">
        <f>IF(ISNA(VLOOKUP(A63,'Données projet'!$A$191:$I$211,4,0)),0,VLOOKUP(A63,'Données projet'!$A$191:$I$211,4,0))</f>
        <v>148</v>
      </c>
      <c r="ES63" s="17">
        <f>IF(ISNA(VLOOKUP(A63,'Données projet'!$A$191:$I$211,5,0)),0%,VLOOKUP(A63,'Données projet'!$A$191:$I$211,5,0)*VLOOKUP('Données projet'!$B$15,Paramètres!$A$1:$I$89,7,0))</f>
        <v>0.38700000000000001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60.853881214745527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60.853881214745527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-1.7053025658242404E-13</v>
      </c>
      <c r="O64" s="14">
        <f>N64*VLOOKUP('Données projet'!$B$9,Paramètres!$A$1:$I$89,3,0)*VLOOKUP('Données projet'!$B$9,Paramètres!$A$1:$I$89,5,0)</f>
        <v>-1.383341441396624E-13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259.10606516000064</v>
      </c>
      <c r="T64" s="62">
        <f t="shared" si="34"/>
        <v>316.57989180609252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100.15351952840109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100.15351952840109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186.83226999296298</v>
      </c>
      <c r="AO64" s="62">
        <f t="shared" si="36"/>
        <v>232.70925470547317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119.86248373930202</v>
      </c>
      <c r="AV64" s="23">
        <f>EXP(-LN(2)/25)*AV63+(1-EXP(-LN(2)/25))/(LN(2)/25)*Calculateur!AQ64*Calculateur!AS64*VLOOKUP('Données projet'!$B$10,Paramètres!$A$1:$I$89,3,0)*0.475*44/12</f>
        <v>13.026231944732713</v>
      </c>
      <c r="AW64" s="23">
        <f>EXP(-LN(2)/2)*AW63+(1-EXP(-LN(2)/2))/(LN(2)/2)*AQ64*AT64*VLOOKUP('Données projet'!$B$10,Paramètres!$A$1:$I$89,3,0)*0.475*44/12</f>
        <v>5.3098391177134276</v>
      </c>
      <c r="AX64" s="23">
        <f t="shared" si="6"/>
        <v>138.19855480174817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253.79999999999995</v>
      </c>
      <c r="BE64" s="14">
        <f>BD64*VLOOKUP('Données projet'!$B$11,Paramètres!$A$1:$I$89,3,0)*VLOOKUP('Données projet'!$B$11,Paramètres!$A$1:$I$89,5,0)</f>
        <v>229.63823999999994</v>
      </c>
      <c r="BF64" s="14">
        <f t="shared" si="37"/>
        <v>56.204453396569633</v>
      </c>
      <c r="BG64" s="22">
        <f t="shared" si="7"/>
        <v>497.84269099902531</v>
      </c>
      <c r="BH64" s="62">
        <f t="shared" si="8"/>
        <v>759.65487244415465</v>
      </c>
      <c r="BI64" s="62">
        <f ca="1">AVERAGE(OFFSET($BH$3,0,0,'Données projet'!$E$11+1,1))-AVERAGE(OFFSET($H$3,0,0,'Données projet'!$E$11+1,1))</f>
        <v>435.70500547084868</v>
      </c>
      <c r="BJ64" s="62">
        <f t="shared" si="38"/>
        <v>297.32483725004136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17.656960181583472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17.656960181583472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253.79999999999995</v>
      </c>
      <c r="BZ64" s="14">
        <f>BY64*VLOOKUP('Données projet'!$B$12,Paramètres!$A$1:$I$89,3,0)*VLOOKUP('Données projet'!$B$12,Paramètres!$A$1:$I$89,5,0)</f>
        <v>289.02743999999996</v>
      </c>
      <c r="CA64" s="14">
        <f t="shared" si="39"/>
        <v>68.871228942073074</v>
      </c>
      <c r="CB64" s="22">
        <f t="shared" si="10"/>
        <v>623.34018174077721</v>
      </c>
      <c r="CC64" s="62">
        <f t="shared" si="11"/>
        <v>885.15236318590655</v>
      </c>
      <c r="CD64" s="62">
        <f ca="1">AVERAGE(OFFSET($CC$3,0,0,'Données projet'!$E$12+1,1))-AVERAGE(OFFSET($H$3,0,0,'Données projet'!$E$12+1,1))</f>
        <v>530.15080507516973</v>
      </c>
      <c r="CE64" s="62">
        <f t="shared" si="40"/>
        <v>358.10331902702217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22.223415400958505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22.223415400958505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-5.6843418860808015E-14</v>
      </c>
      <c r="CU64" s="18">
        <f>CT64*VLOOKUP('Données projet'!$B$13,Paramètres!$A$1:$I$89,3,0)*VLOOKUP('Données projet'!$B$13,Paramètres!$A$1:$I$89,5,0)</f>
        <v>-4.8771653382573282E-14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182.98212193167009</v>
      </c>
      <c r="CZ64" s="62">
        <f t="shared" si="42"/>
        <v>195.9200038944301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107.75104767907523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107.75104767907523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2.2737367544323206E-13</v>
      </c>
      <c r="DP64" s="18">
        <f>DO64*VLOOKUP('Données projet'!$B$14,Paramètres!$A$1:$I$89,3,0)*VLOOKUP('Données projet'!$B$14,Paramètres!$A$1:$I$89,5,0)</f>
        <v>1.0049916454590858E-13</v>
      </c>
      <c r="DQ64" s="14">
        <f t="shared" si="43"/>
        <v>1.5089081593838289E-12</v>
      </c>
      <c r="DR64" s="22">
        <f t="shared" si="16"/>
        <v>2.8030510891776262E-12</v>
      </c>
      <c r="DS64" s="62">
        <f t="shared" si="17"/>
        <v>261.81218144513213</v>
      </c>
      <c r="DT64" s="62">
        <f ca="1">AVERAGE(OFFSET($DS$3,0,0,'Données projet'!$E$14+1,1))-AVERAGE(OFFSET($H$3,0,0,'Données projet'!$E$14+1,1))</f>
        <v>338.33525241236157</v>
      </c>
      <c r="DU64" s="62">
        <f t="shared" si="44"/>
        <v>373.47257029791717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237.06610995992412</v>
      </c>
      <c r="EB64" s="23">
        <f>EXP(-LN(2)/25)*EB63+(1-EXP(-LN(2)/25))/(LN(2)/25)*Calculateur!DW64*Calculateur!DY64*VLOOKUP('Données projet'!$B$14,Paramètres!$A$1:$I$89,3,0)*0.475*44/12</f>
        <v>41.334648663123673</v>
      </c>
      <c r="EC64" s="23">
        <f>EXP(-LN(2)/2)*EC63+(1-EXP(-LN(2)/2))/(LN(2)/2)*DW64*DZ64*VLOOKUP('Données projet'!$B$14,Paramètres!$A$1:$I$89,3,0)*0.475*44/12</f>
        <v>10.449733025033476</v>
      </c>
      <c r="ED64" s="24">
        <f t="shared" si="18"/>
        <v>288.85049164808129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-2.8421709430404007E-14</v>
      </c>
      <c r="EK64" s="18">
        <f>EJ64*VLOOKUP('Données projet'!$B$15,Paramètres!$A$1:$I$89,3,0)*VLOOKUP('Données projet'!$B$15,Paramètres!$A$1:$I$89,5,0)</f>
        <v>-2.2168933355715127E-14</v>
      </c>
      <c r="EL64" s="14" t="e">
        <f t="shared" si="45"/>
        <v>#NUM!</v>
      </c>
      <c r="EM64" s="22" t="e">
        <f t="shared" si="19"/>
        <v>#NUM!</v>
      </c>
      <c r="EN64" s="62" t="e">
        <f t="shared" si="20"/>
        <v>#NUM!</v>
      </c>
      <c r="EO64" s="62">
        <f ca="1">AVERAGE(OFFSET($EN$3,0,0,'Données projet'!$E$15+1,1))-AVERAGE(OFFSET($H$3,0,0,'Données projet'!$E$15+1,1))</f>
        <v>144.92790055195192</v>
      </c>
      <c r="EP64" s="62">
        <f t="shared" si="46"/>
        <v>151.00642748754026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59.660573721326891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59.660573721326891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-1.7053025658242404E-13</v>
      </c>
      <c r="O65" s="14">
        <f>N65*VLOOKUP('Données projet'!$B$9,Paramètres!$A$1:$I$89,3,0)*VLOOKUP('Données projet'!$B$9,Paramètres!$A$1:$I$89,5,0)</f>
        <v>-1.383341441396624E-13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259.10606516000064</v>
      </c>
      <c r="T65" s="62">
        <f t="shared" si="34"/>
        <v>316.57989180609252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98.189570098064152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98.189570098064152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186.83226999296298</v>
      </c>
      <c r="AO65" s="62">
        <f t="shared" si="36"/>
        <v>232.70925470547317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117.51205354207049</v>
      </c>
      <c r="AV65" s="23">
        <f>EXP(-LN(2)/25)*AV64+(1-EXP(-LN(2)/25))/(LN(2)/25)*Calculateur!AQ65*Calculateur!AS65*VLOOKUP('Données projet'!$B$10,Paramètres!$A$1:$I$89,3,0)*0.475*44/12</f>
        <v>12.67002894718423</v>
      </c>
      <c r="AW65" s="23">
        <f>EXP(-LN(2)/2)*AW64+(1-EXP(-LN(2)/2))/(LN(2)/2)*AQ65*AT65*VLOOKUP('Données projet'!$B$10,Paramètres!$A$1:$I$89,3,0)*0.475*44/12</f>
        <v>3.7546232471447594</v>
      </c>
      <c r="AX65" s="23">
        <f t="shared" si="6"/>
        <v>133.93670573639949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262.59999999999997</v>
      </c>
      <c r="BE65" s="14">
        <f>BD65*VLOOKUP('Données projet'!$B$11,Paramètres!$A$1:$I$89,3,0)*VLOOKUP('Données projet'!$B$11,Paramètres!$A$1:$I$89,5,0)</f>
        <v>237.60047999999995</v>
      </c>
      <c r="BF65" s="14">
        <f t="shared" si="37"/>
        <v>57.922960533442058</v>
      </c>
      <c r="BG65" s="22">
        <f t="shared" si="7"/>
        <v>514.70332559574479</v>
      </c>
      <c r="BH65" s="62">
        <f t="shared" si="8"/>
        <v>777.06232855539611</v>
      </c>
      <c r="BI65" s="62">
        <f ca="1">AVERAGE(OFFSET($BH$3,0,0,'Données projet'!$E$11+1,1))-AVERAGE(OFFSET($H$3,0,0,'Données projet'!$E$11+1,1))</f>
        <v>435.70500547084868</v>
      </c>
      <c r="BJ65" s="62">
        <f t="shared" si="38"/>
        <v>297.32483725004136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17.310717962104913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17.310717962104913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262.59999999999997</v>
      </c>
      <c r="BZ65" s="14">
        <f>BY65*VLOOKUP('Données projet'!$B$12,Paramètres!$A$1:$I$89,3,0)*VLOOKUP('Données projet'!$B$12,Paramètres!$A$1:$I$89,5,0)</f>
        <v>299.04888</v>
      </c>
      <c r="CA65" s="14">
        <f t="shared" si="39"/>
        <v>70.977035356148932</v>
      </c>
      <c r="CB65" s="22">
        <f t="shared" si="10"/>
        <v>644.46180257862602</v>
      </c>
      <c r="CC65" s="62">
        <f t="shared" si="11"/>
        <v>906.82080553827734</v>
      </c>
      <c r="CD65" s="62">
        <f ca="1">AVERAGE(OFFSET($CC$3,0,0,'Données projet'!$E$12+1,1))-AVERAGE(OFFSET($H$3,0,0,'Données projet'!$E$12+1,1))</f>
        <v>530.15080507516973</v>
      </c>
      <c r="CE65" s="62">
        <f t="shared" si="40"/>
        <v>358.10331902702217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21.787627779890663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21.787627779890663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-5.6843418860808015E-14</v>
      </c>
      <c r="CU65" s="18">
        <f>CT65*VLOOKUP('Données projet'!$B$13,Paramètres!$A$1:$I$89,3,0)*VLOOKUP('Données projet'!$B$13,Paramètres!$A$1:$I$89,5,0)</f>
        <v>-4.8771653382573282E-14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182.98212193167009</v>
      </c>
      <c r="CZ65" s="62">
        <f t="shared" si="42"/>
        <v>195.9200038944301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105.63811535573818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105.63811535573818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2.2737367544323206E-13</v>
      </c>
      <c r="DP65" s="18">
        <f>DO65*VLOOKUP('Données projet'!$B$14,Paramètres!$A$1:$I$89,3,0)*VLOOKUP('Données projet'!$B$14,Paramètres!$A$1:$I$89,5,0)</f>
        <v>1.0049916454590858E-13</v>
      </c>
      <c r="DQ65" s="14">
        <f t="shared" si="43"/>
        <v>1.5089081593838289E-12</v>
      </c>
      <c r="DR65" s="22">
        <f t="shared" si="16"/>
        <v>2.8030510891776262E-12</v>
      </c>
      <c r="DS65" s="62">
        <f t="shared" si="17"/>
        <v>262.35900295965411</v>
      </c>
      <c r="DT65" s="62">
        <f ca="1">AVERAGE(OFFSET($DS$3,0,0,'Données projet'!$E$14+1,1))-AVERAGE(OFFSET($H$3,0,0,'Données projet'!$E$14+1,1))</f>
        <v>338.33525241236157</v>
      </c>
      <c r="DU65" s="62">
        <f t="shared" si="44"/>
        <v>373.47257029791717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232.41738813965941</v>
      </c>
      <c r="EB65" s="23">
        <f>EXP(-LN(2)/25)*EB64+(1-EXP(-LN(2)/25))/(LN(2)/25)*Calculateur!DW65*Calculateur!DY65*VLOOKUP('Données projet'!$B$14,Paramètres!$A$1:$I$89,3,0)*0.475*44/12</f>
        <v>40.204350521735854</v>
      </c>
      <c r="EC65" s="23">
        <f>EXP(-LN(2)/2)*EC64+(1-EXP(-LN(2)/2))/(LN(2)/2)*DW65*DZ65*VLOOKUP('Données projet'!$B$14,Paramètres!$A$1:$I$89,3,0)*0.475*44/12</f>
        <v>7.3890770835901858</v>
      </c>
      <c r="ED65" s="24">
        <f t="shared" si="18"/>
        <v>280.01081574498545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-2.8421709430404007E-14</v>
      </c>
      <c r="EK65" s="18">
        <f>EJ65*VLOOKUP('Données projet'!$B$15,Paramètres!$A$1:$I$89,3,0)*VLOOKUP('Données projet'!$B$15,Paramètres!$A$1:$I$89,5,0)</f>
        <v>-2.2168933355715127E-14</v>
      </c>
      <c r="EL65" s="14" t="e">
        <f t="shared" si="45"/>
        <v>#NUM!</v>
      </c>
      <c r="EM65" s="22" t="e">
        <f t="shared" si="19"/>
        <v>#NUM!</v>
      </c>
      <c r="EN65" s="62" t="e">
        <f t="shared" si="20"/>
        <v>#NUM!</v>
      </c>
      <c r="EO65" s="62">
        <f ca="1">AVERAGE(OFFSET($EN$3,0,0,'Données projet'!$E$15+1,1))-AVERAGE(OFFSET($H$3,0,0,'Données projet'!$E$15+1,1))</f>
        <v>144.92790055195192</v>
      </c>
      <c r="EP65" s="62">
        <f t="shared" si="46"/>
        <v>151.00642748754026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58.490666260008489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58.490666260008489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-1.7053025658242404E-13</v>
      </c>
      <c r="O66" s="14">
        <f>N66*VLOOKUP('Données projet'!$B$9,Paramètres!$A$1:$I$89,3,0)*VLOOKUP('Données projet'!$B$9,Paramètres!$A$1:$I$89,5,0)</f>
        <v>-1.383341441396624E-13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259.10606516000064</v>
      </c>
      <c r="T66" s="62">
        <f t="shared" si="34"/>
        <v>316.57989180609252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96.264132518165255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96.264132518165255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186.83226999296298</v>
      </c>
      <c r="AO66" s="62">
        <f t="shared" si="36"/>
        <v>232.70925470547317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115.2077138473858</v>
      </c>
      <c r="AV66" s="23">
        <f>EXP(-LN(2)/25)*AV65+(1-EXP(-LN(2)/25))/(LN(2)/25)*Calculateur!AQ66*Calculateur!AS66*VLOOKUP('Données projet'!$B$10,Paramètres!$A$1:$I$89,3,0)*0.475*44/12</f>
        <v>12.323566339335613</v>
      </c>
      <c r="AW66" s="23">
        <f>EXP(-LN(2)/2)*AW65+(1-EXP(-LN(2)/2))/(LN(2)/2)*AQ66*AT66*VLOOKUP('Données projet'!$B$10,Paramètres!$A$1:$I$89,3,0)*0.475*44/12</f>
        <v>2.6549195588567143</v>
      </c>
      <c r="AX66" s="23">
        <f t="shared" si="6"/>
        <v>130.18619974557814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271.39999999999998</v>
      </c>
      <c r="BE66" s="14">
        <f>BD66*VLOOKUP('Données projet'!$B$11,Paramètres!$A$1:$I$89,3,0)*VLOOKUP('Données projet'!$B$11,Paramètres!$A$1:$I$89,5,0)</f>
        <v>245.56271999999998</v>
      </c>
      <c r="BF66" s="14">
        <f t="shared" si="37"/>
        <v>59.634776048276898</v>
      </c>
      <c r="BG66" s="22">
        <f t="shared" si="7"/>
        <v>531.55230561741564</v>
      </c>
      <c r="BH66" s="62">
        <f t="shared" si="8"/>
        <v>794.44864396082176</v>
      </c>
      <c r="BI66" s="62">
        <f ca="1">AVERAGE(OFFSET($BH$3,0,0,'Données projet'!$E$11+1,1))-AVERAGE(OFFSET($H$3,0,0,'Données projet'!$E$11+1,1))</f>
        <v>435.70500547084868</v>
      </c>
      <c r="BJ66" s="62">
        <f t="shared" si="38"/>
        <v>297.32483725004136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16.971265341363427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16.971265341363427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271.39999999999998</v>
      </c>
      <c r="BZ66" s="14">
        <f>BY66*VLOOKUP('Données projet'!$B$12,Paramètres!$A$1:$I$89,3,0)*VLOOKUP('Données projet'!$B$12,Paramètres!$A$1:$I$89,5,0)</f>
        <v>309.07031999999998</v>
      </c>
      <c r="CA66" s="14">
        <f t="shared" si="39"/>
        <v>73.074642059961803</v>
      </c>
      <c r="CB66" s="22">
        <f t="shared" si="10"/>
        <v>665.56914225443347</v>
      </c>
      <c r="CC66" s="62">
        <f t="shared" si="11"/>
        <v>928.46548059783959</v>
      </c>
      <c r="CD66" s="62">
        <f ca="1">AVERAGE(OFFSET($CC$3,0,0,'Données projet'!$E$12+1,1))-AVERAGE(OFFSET($H$3,0,0,'Données projet'!$E$12+1,1))</f>
        <v>530.15080507516973</v>
      </c>
      <c r="CE66" s="62">
        <f t="shared" si="40"/>
        <v>358.10331902702217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21.360385688267758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21.360385688267758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-5.6843418860808015E-14</v>
      </c>
      <c r="CU66" s="18">
        <f>CT66*VLOOKUP('Données projet'!$B$13,Paramètres!$A$1:$I$89,3,0)*VLOOKUP('Données projet'!$B$13,Paramètres!$A$1:$I$89,5,0)</f>
        <v>-4.8771653382573282E-14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182.98212193167009</v>
      </c>
      <c r="CZ66" s="62">
        <f t="shared" si="42"/>
        <v>195.9200038944301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103.5666163465003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103.5666163465003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2.2737367544323206E-13</v>
      </c>
      <c r="DP66" s="18">
        <f>DO66*VLOOKUP('Données projet'!$B$14,Paramètres!$A$1:$I$89,3,0)*VLOOKUP('Données projet'!$B$14,Paramètres!$A$1:$I$89,5,0)</f>
        <v>1.0049916454590858E-13</v>
      </c>
      <c r="DQ66" s="14">
        <f t="shared" si="43"/>
        <v>1.5089081593838289E-12</v>
      </c>
      <c r="DR66" s="22">
        <f t="shared" si="16"/>
        <v>2.8030510891776262E-12</v>
      </c>
      <c r="DS66" s="62">
        <f t="shared" si="17"/>
        <v>262.8963383434089</v>
      </c>
      <c r="DT66" s="62">
        <f ca="1">AVERAGE(OFFSET($DS$3,0,0,'Données projet'!$E$14+1,1))-AVERAGE(OFFSET($H$3,0,0,'Données projet'!$E$14+1,1))</f>
        <v>338.33525241236157</v>
      </c>
      <c r="DU66" s="62">
        <f t="shared" si="44"/>
        <v>373.47257029791717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227.85982491884977</v>
      </c>
      <c r="EB66" s="23">
        <f>EXP(-LN(2)/25)*EB65+(1-EXP(-LN(2)/25))/(LN(2)/25)*Calculateur!DW66*Calculateur!DY66*VLOOKUP('Données projet'!$B$14,Paramètres!$A$1:$I$89,3,0)*0.475*44/12</f>
        <v>39.104960442464083</v>
      </c>
      <c r="EC66" s="23">
        <f>EXP(-LN(2)/2)*EC65+(1-EXP(-LN(2)/2))/(LN(2)/2)*DW66*DZ66*VLOOKUP('Données projet'!$B$14,Paramètres!$A$1:$I$89,3,0)*0.475*44/12</f>
        <v>5.2248665125167388</v>
      </c>
      <c r="ED66" s="24">
        <f t="shared" si="18"/>
        <v>272.18965187383054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-2.8421709430404007E-14</v>
      </c>
      <c r="EK66" s="18">
        <f>EJ66*VLOOKUP('Données projet'!$B$15,Paramètres!$A$1:$I$89,3,0)*VLOOKUP('Données projet'!$B$15,Paramètres!$A$1:$I$89,5,0)</f>
        <v>-2.2168933355715127E-14</v>
      </c>
      <c r="EL66" s="14" t="e">
        <f t="shared" si="45"/>
        <v>#NUM!</v>
      </c>
      <c r="EM66" s="22" t="e">
        <f t="shared" si="19"/>
        <v>#NUM!</v>
      </c>
      <c r="EN66" s="62" t="e">
        <f t="shared" si="20"/>
        <v>#NUM!</v>
      </c>
      <c r="EO66" s="62">
        <f ca="1">AVERAGE(OFFSET($EN$3,0,0,'Données projet'!$E$15+1,1))-AVERAGE(OFFSET($H$3,0,0,'Données projet'!$E$15+1,1))</f>
        <v>144.92790055195192</v>
      </c>
      <c r="EP66" s="62">
        <f t="shared" si="46"/>
        <v>151.00642748754026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57.343699970433448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57.343699970433448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-1.7053025658242404E-13</v>
      </c>
      <c r="O67" s="14">
        <f>N67*VLOOKUP('Données projet'!$B$9,Paramètres!$A$1:$I$89,3,0)*VLOOKUP('Données projet'!$B$9,Paramètres!$A$1:$I$89,5,0)</f>
        <v>-1.383341441396624E-13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259.10606516000064</v>
      </c>
      <c r="T67" s="62">
        <f t="shared" si="34"/>
        <v>316.57989180609252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94.376451594807207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94.376451594807207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186.83226999296298</v>
      </c>
      <c r="AO67" s="62">
        <f t="shared" si="36"/>
        <v>232.70925470547317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112.94856084860545</v>
      </c>
      <c r="AV67" s="23">
        <f>EXP(-LN(2)/25)*AV66+(1-EXP(-LN(2)/25))/(LN(2)/25)*Calculateur!AQ67*Calculateur!AS67*VLOOKUP('Données projet'!$B$10,Paramètres!$A$1:$I$89,3,0)*0.475*44/12</f>
        <v>11.986577769718293</v>
      </c>
      <c r="AW67" s="23">
        <f>EXP(-LN(2)/2)*AW66+(1-EXP(-LN(2)/2))/(LN(2)/2)*AQ67*AT67*VLOOKUP('Données projet'!$B$10,Paramètres!$A$1:$I$89,3,0)*0.475*44/12</f>
        <v>1.8773116235723801</v>
      </c>
      <c r="AX67" s="23">
        <f t="shared" si="6"/>
        <v>126.81245024189613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280.2</v>
      </c>
      <c r="BE67" s="14">
        <f>BD67*VLOOKUP('Données projet'!$B$11,Paramètres!$A$1:$I$89,3,0)*VLOOKUP('Données projet'!$B$11,Paramètres!$A$1:$I$89,5,0)</f>
        <v>253.52495999999999</v>
      </c>
      <c r="BF67" s="14">
        <f t="shared" si="37"/>
        <v>61.340141798422209</v>
      </c>
      <c r="BG67" s="22">
        <f t="shared" si="7"/>
        <v>548.39005229891859</v>
      </c>
      <c r="BH67" s="62">
        <f t="shared" si="8"/>
        <v>811.81440445847329</v>
      </c>
      <c r="BI67" s="62">
        <f ca="1">AVERAGE(OFFSET($BH$3,0,0,'Données projet'!$E$11+1,1))-AVERAGE(OFFSET($H$3,0,0,'Données projet'!$E$11+1,1))</f>
        <v>435.70500547084868</v>
      </c>
      <c r="BJ67" s="62">
        <f t="shared" si="38"/>
        <v>297.32483725004136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16.638469179469027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16.638469179469027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280.2</v>
      </c>
      <c r="BZ67" s="14">
        <f>BY67*VLOOKUP('Données projet'!$B$12,Paramètres!$A$1:$I$89,3,0)*VLOOKUP('Données projet'!$B$12,Paramètres!$A$1:$I$89,5,0)</f>
        <v>319.09176000000002</v>
      </c>
      <c r="CA67" s="14">
        <f t="shared" si="39"/>
        <v>75.164345418155065</v>
      </c>
      <c r="CB67" s="22">
        <f t="shared" si="10"/>
        <v>686.66271693662009</v>
      </c>
      <c r="CC67" s="62">
        <f t="shared" si="11"/>
        <v>950.0870690961749</v>
      </c>
      <c r="CD67" s="62">
        <f ca="1">AVERAGE(OFFSET($CC$3,0,0,'Données projet'!$E$12+1,1))-AVERAGE(OFFSET($H$3,0,0,'Données projet'!$E$12+1,1))</f>
        <v>530.15080507516973</v>
      </c>
      <c r="CE67" s="62">
        <f t="shared" si="40"/>
        <v>358.10331902702217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20.941521553469634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20.941521553469634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-5.6843418860808015E-14</v>
      </c>
      <c r="CU67" s="18">
        <f>CT67*VLOOKUP('Données projet'!$B$13,Paramètres!$A$1:$I$89,3,0)*VLOOKUP('Données projet'!$B$13,Paramètres!$A$1:$I$89,5,0)</f>
        <v>-4.8771653382573282E-14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182.98212193167009</v>
      </c>
      <c r="CZ67" s="62">
        <f t="shared" si="42"/>
        <v>195.9200038944301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101.53573816934394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101.53573816934394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2.2737367544323206E-13</v>
      </c>
      <c r="DP67" s="18">
        <f>DO67*VLOOKUP('Données projet'!$B$14,Paramètres!$A$1:$I$89,3,0)*VLOOKUP('Données projet'!$B$14,Paramètres!$A$1:$I$89,5,0)</f>
        <v>1.0049916454590858E-13</v>
      </c>
      <c r="DQ67" s="14">
        <f t="shared" si="43"/>
        <v>1.5089081593838289E-12</v>
      </c>
      <c r="DR67" s="22">
        <f t="shared" si="16"/>
        <v>2.8030510891776262E-12</v>
      </c>
      <c r="DS67" s="62">
        <f t="shared" si="17"/>
        <v>263.42435215955754</v>
      </c>
      <c r="DT67" s="62">
        <f ca="1">AVERAGE(OFFSET($DS$3,0,0,'Données projet'!$E$14+1,1))-AVERAGE(OFFSET($H$3,0,0,'Données projet'!$E$14+1,1))</f>
        <v>338.33525241236157</v>
      </c>
      <c r="DU67" s="62">
        <f t="shared" si="44"/>
        <v>373.47257029791717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223.39163273296111</v>
      </c>
      <c r="EB67" s="23">
        <f>EXP(-LN(2)/25)*EB66+(1-EXP(-LN(2)/25))/(LN(2)/25)*Calculateur!DW67*Calculateur!DY67*VLOOKUP('Données projet'!$B$14,Paramètres!$A$1:$I$89,3,0)*0.475*44/12</f>
        <v>38.035633242724408</v>
      </c>
      <c r="EC67" s="23">
        <f>EXP(-LN(2)/2)*EC66+(1-EXP(-LN(2)/2))/(LN(2)/2)*DW67*DZ67*VLOOKUP('Données projet'!$B$14,Paramètres!$A$1:$I$89,3,0)*0.475*44/12</f>
        <v>3.6945385417950938</v>
      </c>
      <c r="ED67" s="24">
        <f t="shared" si="18"/>
        <v>265.12180451748065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-2.8421709430404007E-14</v>
      </c>
      <c r="EK67" s="18">
        <f>EJ67*VLOOKUP('Données projet'!$B$15,Paramètres!$A$1:$I$89,3,0)*VLOOKUP('Données projet'!$B$15,Paramètres!$A$1:$I$89,5,0)</f>
        <v>-2.2168933355715127E-14</v>
      </c>
      <c r="EL67" s="14" t="e">
        <f t="shared" si="45"/>
        <v>#NUM!</v>
      </c>
      <c r="EM67" s="22" t="e">
        <f t="shared" si="19"/>
        <v>#NUM!</v>
      </c>
      <c r="EN67" s="62" t="e">
        <f t="shared" si="20"/>
        <v>#NUM!</v>
      </c>
      <c r="EO67" s="62">
        <f ca="1">AVERAGE(OFFSET($EN$3,0,0,'Données projet'!$E$15+1,1))-AVERAGE(OFFSET($H$3,0,0,'Données projet'!$E$15+1,1))</f>
        <v>144.92790055195192</v>
      </c>
      <c r="EP67" s="62">
        <f t="shared" si="46"/>
        <v>151.00642748754026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56.219224990216617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56.219224990216617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-1.7053025658242404E-13</v>
      </c>
      <c r="O68" s="14">
        <f>N68*VLOOKUP('Données projet'!$B$9,Paramètres!$A$1:$I$89,3,0)*VLOOKUP('Données projet'!$B$9,Paramètres!$A$1:$I$89,5,0)</f>
        <v>-1.383341441396624E-13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259.10606516000064</v>
      </c>
      <c r="T68" s="62">
        <f t="shared" si="34"/>
        <v>316.57989180609252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92.525786942984539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92.525786942984539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186.83226999296298</v>
      </c>
      <c r="AO68" s="62">
        <f t="shared" si="36"/>
        <v>232.70925470547317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110.73370846218391</v>
      </c>
      <c r="AV68" s="23">
        <f>EXP(-LN(2)/25)*AV67+(1-EXP(-LN(2)/25))/(LN(2)/25)*Calculateur!AQ68*Calculateur!AS68*VLOOKUP('Données projet'!$B$10,Paramètres!$A$1:$I$89,3,0)*0.475*44/12</f>
        <v>11.658804170258618</v>
      </c>
      <c r="AW68" s="23">
        <f>EXP(-LN(2)/2)*AW67+(1-EXP(-LN(2)/2))/(LN(2)/2)*AQ68*AT68*VLOOKUP('Données projet'!$B$10,Paramètres!$A$1:$I$89,3,0)*0.475*44/12</f>
        <v>1.3274597794283574</v>
      </c>
      <c r="AX68" s="23">
        <f t="shared" ref="AX68:AX131" si="60">SUM(AU68:AW68)</f>
        <v>123.71997241187088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289</v>
      </c>
      <c r="BE68" s="14">
        <f>BD68*VLOOKUP('Données projet'!$B$11,Paramètres!$A$1:$I$89,3,0)*VLOOKUP('Données projet'!$B$11,Paramètres!$A$1:$I$89,5,0)</f>
        <v>261.48719999999997</v>
      </c>
      <c r="BF68" s="14">
        <f t="shared" si="37"/>
        <v>63.039283586802391</v>
      </c>
      <c r="BG68" s="22">
        <f t="shared" ref="BG68:BG131" si="61">(BE68+BF68)*0.475*44/12</f>
        <v>565.21695891368086</v>
      </c>
      <c r="BH68" s="62">
        <f t="shared" ref="BH68:BH131" si="62">BG68+(AY68+AZ68)*44/12</f>
        <v>829.16016503013611</v>
      </c>
      <c r="BI68" s="62">
        <f ca="1">AVERAGE(OFFSET($BH$3,0,0,'Données projet'!$E$11+1,1))-AVERAGE(OFFSET($H$3,0,0,'Données projet'!$E$11+1,1))</f>
        <v>435.70500547084868</v>
      </c>
      <c r="BJ68" s="62">
        <f t="shared" si="38"/>
        <v>297.32483725004136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28</v>
      </c>
      <c r="BM68" s="17">
        <f>IF(ISNA(VLOOKUP(A68,'Données projet'!$A$87:$I$107,5,0)),0%,VLOOKUP(A68,'Données projet'!$A$87:$I$107,5,0)*VLOOKUP('Données projet'!$B$11,Paramètres!$A$1:$I$89,7,0))</f>
        <v>0.25800000000000001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23.53785757339957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23.53785757339957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289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289</v>
      </c>
      <c r="BZ68" s="14">
        <f>BY68*VLOOKUP('Données projet'!$B$12,Paramètres!$A$1:$I$89,3,0)*VLOOKUP('Données projet'!$B$12,Paramètres!$A$1:$I$89,5,0)</f>
        <v>329.11320000000001</v>
      </c>
      <c r="CA68" s="14">
        <f t="shared" si="39"/>
        <v>77.246422122769317</v>
      </c>
      <c r="CB68" s="22">
        <f t="shared" ref="CB68:CB131" si="64">(BZ68+CA68)*0.475*44/12</f>
        <v>707.74300853048999</v>
      </c>
      <c r="CC68" s="62">
        <f t="shared" ref="CC68:CC131" si="65">CB68+(BT68+BU68)*44/12</f>
        <v>971.68621464694525</v>
      </c>
      <c r="CD68" s="62">
        <f ca="1">AVERAGE(OFFSET($CC$3,0,0,'Données projet'!$E$12+1,1))-AVERAGE(OFFSET($H$3,0,0,'Données projet'!$E$12+1,1))</f>
        <v>530.15080507516973</v>
      </c>
      <c r="CE68" s="62">
        <f t="shared" si="40"/>
        <v>358.10331902702217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28</v>
      </c>
      <c r="CH68" s="17">
        <f>IF(ISNA(VLOOKUP(A68,'Données projet'!$A$113:$I$133,5,0)),0%,VLOOKUP(A68,'Données projet'!$A$113:$I$133,5,0)*VLOOKUP('Données projet'!$B$12,Paramètres!$A$1:$I$89,7,0))</f>
        <v>0.25800000000000001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29.625234532037389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29.625234532037389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-5.6843418860808015E-14</v>
      </c>
      <c r="CU68" s="18">
        <f>CT68*VLOOKUP('Données projet'!$B$13,Paramètres!$A$1:$I$89,3,0)*VLOOKUP('Données projet'!$B$13,Paramètres!$A$1:$I$89,5,0)</f>
        <v>-4.8771653382573282E-14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182.98212193167009</v>
      </c>
      <c r="CZ68" s="62">
        <f t="shared" si="42"/>
        <v>195.9200038944301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99.544684274528251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99.544684274528251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2.2737367544323206E-13</v>
      </c>
      <c r="DP68" s="18">
        <f>DO68*VLOOKUP('Données projet'!$B$14,Paramètres!$A$1:$I$89,3,0)*VLOOKUP('Données projet'!$B$14,Paramètres!$A$1:$I$89,5,0)</f>
        <v>1.0049916454590858E-13</v>
      </c>
      <c r="DQ68" s="14">
        <f t="shared" si="43"/>
        <v>1.5089081593838289E-12</v>
      </c>
      <c r="DR68" s="22">
        <f t="shared" ref="DR68:DR131" si="70">(DP68+DQ68)*0.475*44/12</f>
        <v>2.8030510891776262E-12</v>
      </c>
      <c r="DS68" s="62">
        <f t="shared" ref="DS68:DS131" si="71">DR68+(DJ68+DK68)*44/12</f>
        <v>263.94320611645799</v>
      </c>
      <c r="DT68" s="62">
        <f ca="1">AVERAGE(OFFSET($DS$3,0,0,'Données projet'!$E$14+1,1))-AVERAGE(OFFSET($H$3,0,0,'Données projet'!$E$14+1,1))</f>
        <v>338.33525241236157</v>
      </c>
      <c r="DU68" s="62">
        <f t="shared" si="44"/>
        <v>373.47257029791717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219.01105907050962</v>
      </c>
      <c r="EB68" s="23">
        <f>EXP(-LN(2)/25)*EB67+(1-EXP(-LN(2)/25))/(LN(2)/25)*Calculateur!DW68*Calculateur!DY68*VLOOKUP('Données projet'!$B$14,Paramètres!$A$1:$I$89,3,0)*0.475*44/12</f>
        <v>36.995546851495092</v>
      </c>
      <c r="EC68" s="23">
        <f>EXP(-LN(2)/2)*EC67+(1-EXP(-LN(2)/2))/(LN(2)/2)*DW68*DZ68*VLOOKUP('Données projet'!$B$14,Paramètres!$A$1:$I$89,3,0)*0.475*44/12</f>
        <v>2.6124332562583699</v>
      </c>
      <c r="ED68" s="24">
        <f t="shared" ref="ED68:ED131" si="72">SUM(EA68:EC68)</f>
        <v>258.61903917826311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-2.8421709430404007E-14</v>
      </c>
      <c r="EK68" s="18">
        <f>EJ68*VLOOKUP('Données projet'!$B$15,Paramètres!$A$1:$I$89,3,0)*VLOOKUP('Données projet'!$B$15,Paramètres!$A$1:$I$89,5,0)</f>
        <v>-2.2168933355715127E-14</v>
      </c>
      <c r="EL68" s="14" t="e">
        <f t="shared" si="45"/>
        <v>#NUM!</v>
      </c>
      <c r="EM68" s="22" t="e">
        <f t="shared" ref="EM68:EM131" si="73">(EK68+EL68)*0.475*44/12</f>
        <v>#NUM!</v>
      </c>
      <c r="EN68" s="62" t="e">
        <f t="shared" ref="EN68:EN131" si="74">EM68+(EE68+EF68)*44/12</f>
        <v>#NUM!</v>
      </c>
      <c r="EO68" s="62">
        <f ca="1">AVERAGE(OFFSET($EN$3,0,0,'Données projet'!$E$15+1,1))-AVERAGE(OFFSET($H$3,0,0,'Données projet'!$E$15+1,1))</f>
        <v>144.92790055195192</v>
      </c>
      <c r="EP68" s="62">
        <f t="shared" si="46"/>
        <v>151.00642748754026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55.116800278499824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55.116800278499824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-1.7053025658242404E-13</v>
      </c>
      <c r="O69" s="14">
        <f>N69*VLOOKUP('Données projet'!$B$9,Paramètres!$A$1:$I$89,3,0)*VLOOKUP('Données projet'!$B$9,Paramètres!$A$1:$I$89,5,0)</f>
        <v>-1.383341441396624E-13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259.10606516000064</v>
      </c>
      <c r="T69" s="62">
        <f t="shared" ref="T69:T132" si="88">$T$3</f>
        <v>316.57989180609252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90.711412696190138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90.711412696190138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186.83226999296298</v>
      </c>
      <c r="AO69" s="62">
        <f t="shared" ref="AO69:AO132" si="90">$AO$3</f>
        <v>232.70925470547317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108.56228798013353</v>
      </c>
      <c r="AV69" s="23">
        <f>EXP(-LN(2)/25)*AV68+(1-EXP(-LN(2)/25))/(LN(2)/25)*Calculateur!AQ69*Calculateur!AS69*VLOOKUP('Données projet'!$B$10,Paramètres!$A$1:$I$89,3,0)*0.475*44/12</f>
        <v>11.339993557113031</v>
      </c>
      <c r="AW69" s="23">
        <f>EXP(-LN(2)/2)*AW68+(1-EXP(-LN(2)/2))/(LN(2)/2)*AQ69*AT69*VLOOKUP('Données projet'!$B$10,Paramètres!$A$1:$I$89,3,0)*0.475*44/12</f>
        <v>0.93865581178619018</v>
      </c>
      <c r="AX69" s="23">
        <f t="shared" si="60"/>
        <v>120.84093734903276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243.57216</v>
      </c>
      <c r="BF69" s="14">
        <f t="shared" ref="BF69:BF132" si="91">EXP(-1.0587+0.8836*LN(BE69)+0.284)</f>
        <v>59.207435995642292</v>
      </c>
      <c r="BG69" s="22">
        <f t="shared" si="61"/>
        <v>527.34112969241028</v>
      </c>
      <c r="BH69" s="62">
        <f t="shared" si="62"/>
        <v>791.79418880959736</v>
      </c>
      <c r="BI69" s="62">
        <f ca="1">AVERAGE(OFFSET($BH$3,0,0,'Données projet'!$E$11+1,1))-AVERAGE(OFFSET($H$3,0,0,'Données projet'!$E$11+1,1))</f>
        <v>435.70500547084868</v>
      </c>
      <c r="BJ69" s="62">
        <f t="shared" ref="BJ69:BJ132" si="92">$BJ$3</f>
        <v>297.32483725004136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23.076294543060719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23.076294543060719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306.56495999999999</v>
      </c>
      <c r="CA69" s="14">
        <f t="shared" ref="CA69:CA132" si="93">EXP(-1.0587+0.8836*LN(BZ69)+0.284)</f>
        <v>72.55099254782354</v>
      </c>
      <c r="CB69" s="22">
        <f t="shared" si="64"/>
        <v>660.29361735412601</v>
      </c>
      <c r="CC69" s="62">
        <f t="shared" si="65"/>
        <v>924.74667647131309</v>
      </c>
      <c r="CD69" s="62">
        <f ca="1">AVERAGE(OFFSET($CC$3,0,0,'Données projet'!$E$12+1,1))-AVERAGE(OFFSET($H$3,0,0,'Données projet'!$E$12+1,1))</f>
        <v>530.15080507516973</v>
      </c>
      <c r="CE69" s="62">
        <f t="shared" ref="CE69:CE132" si="94">$CE$3</f>
        <v>358.10331902702217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29.044301752472975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29.044301752472975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-5.6843418860808015E-14</v>
      </c>
      <c r="CU69" s="18">
        <f>CT69*VLOOKUP('Données projet'!$B$13,Paramètres!$A$1:$I$89,3,0)*VLOOKUP('Données projet'!$B$13,Paramètres!$A$1:$I$89,5,0)</f>
        <v>-4.8771653382573282E-14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182.98212193167009</v>
      </c>
      <c r="CZ69" s="62">
        <f t="shared" ref="CZ69:CZ132" si="96">$CZ$3</f>
        <v>195.9200038944301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97.592673732166929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97.592673732166929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2.2737367544323206E-13</v>
      </c>
      <c r="DP69" s="18">
        <f>DO69*VLOOKUP('Données projet'!$B$14,Paramètres!$A$1:$I$89,3,0)*VLOOKUP('Données projet'!$B$14,Paramètres!$A$1:$I$89,5,0)</f>
        <v>1.0049916454590858E-13</v>
      </c>
      <c r="DQ69" s="14">
        <f t="shared" ref="DQ69:DQ132" si="97">EXP(-1.0587+0.8836*LN(DP69)+0.284)</f>
        <v>1.5089081593838289E-12</v>
      </c>
      <c r="DR69" s="22">
        <f t="shared" si="70"/>
        <v>2.8030510891776262E-12</v>
      </c>
      <c r="DS69" s="62">
        <f t="shared" si="71"/>
        <v>264.45305911718987</v>
      </c>
      <c r="DT69" s="62">
        <f ca="1">AVERAGE(OFFSET($DS$3,0,0,'Données projet'!$E$14+1,1))-AVERAGE(OFFSET($H$3,0,0,'Données projet'!$E$14+1,1))</f>
        <v>338.33525241236157</v>
      </c>
      <c r="DU69" s="62">
        <f t="shared" ref="DU69:DU132" si="98">$DU$3</f>
        <v>373.47257029791717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214.71638578569267</v>
      </c>
      <c r="EB69" s="23">
        <f>EXP(-LN(2)/25)*EB68+(1-EXP(-LN(2)/25))/(LN(2)/25)*Calculateur!DW69*Calculateur!DY69*VLOOKUP('Données projet'!$B$14,Paramètres!$A$1:$I$89,3,0)*0.475*44/12</f>
        <v>35.983901677329705</v>
      </c>
      <c r="EC69" s="23">
        <f>EXP(-LN(2)/2)*EC68+(1-EXP(-LN(2)/2))/(LN(2)/2)*DW69*DZ69*VLOOKUP('Données projet'!$B$14,Paramètres!$A$1:$I$89,3,0)*0.475*44/12</f>
        <v>1.8472692708975471</v>
      </c>
      <c r="ED69" s="24">
        <f t="shared" si="72"/>
        <v>252.54755673391992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-2.8421709430404007E-14</v>
      </c>
      <c r="EK69" s="18">
        <f>EJ69*VLOOKUP('Données projet'!$B$15,Paramètres!$A$1:$I$89,3,0)*VLOOKUP('Données projet'!$B$15,Paramètres!$A$1:$I$89,5,0)</f>
        <v>-2.2168933355715127E-14</v>
      </c>
      <c r="EL69" s="14" t="e">
        <f t="shared" ref="EL69:EL132" si="99">EXP(-1.0587+0.8836*LN(EK69)+0.284)</f>
        <v>#NUM!</v>
      </c>
      <c r="EM69" s="22" t="e">
        <f t="shared" si="73"/>
        <v>#NUM!</v>
      </c>
      <c r="EN69" s="62" t="e">
        <f t="shared" si="74"/>
        <v>#NUM!</v>
      </c>
      <c r="EO69" s="62">
        <f ca="1">AVERAGE(OFFSET($EN$3,0,0,'Données projet'!$E$15+1,1))-AVERAGE(OFFSET($H$3,0,0,'Données projet'!$E$15+1,1))</f>
        <v>144.92790055195192</v>
      </c>
      <c r="EP69" s="62">
        <f t="shared" ref="EP69:EP132" si="100">$EP$3</f>
        <v>151.00642748754026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54.035993442967118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54.035993442967118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-1.7053025658242404E-13</v>
      </c>
      <c r="O70" s="14">
        <f>N70*VLOOKUP('Données projet'!$B$9,Paramètres!$A$1:$I$89,3,0)*VLOOKUP('Données projet'!$B$9,Paramètres!$A$1:$I$89,5,0)</f>
        <v>-1.383341441396624E-13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259.10606516000064</v>
      </c>
      <c r="T70" s="62">
        <f t="shared" si="88"/>
        <v>316.57989180609252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88.932617221716356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88.932617221716356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186.83226999296298</v>
      </c>
      <c r="AO70" s="62">
        <f t="shared" si="90"/>
        <v>232.70925470547317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106.43344772930045</v>
      </c>
      <c r="AV70" s="23">
        <f>EXP(-LN(2)/25)*AV69+(1-EXP(-LN(2)/25))/(LN(2)/25)*Calculateur!AQ70*Calculateur!AS70*VLOOKUP('Données projet'!$B$10,Paramètres!$A$1:$I$89,3,0)*0.475*44/12</f>
        <v>11.029900836949432</v>
      </c>
      <c r="AW70" s="23">
        <f>EXP(-LN(2)/2)*AW69+(1-EXP(-LN(2)/2))/(LN(2)/2)*AQ70*AT70*VLOOKUP('Données projet'!$B$10,Paramètres!$A$1:$I$89,3,0)*0.475*44/12</f>
        <v>0.66372988971417879</v>
      </c>
      <c r="AX70" s="23">
        <f t="shared" si="60"/>
        <v>118.12707845596407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250.99151999999995</v>
      </c>
      <c r="BF70" s="14">
        <f t="shared" si="91"/>
        <v>60.798211000769406</v>
      </c>
      <c r="BG70" s="22">
        <f t="shared" si="61"/>
        <v>543.03378149300659</v>
      </c>
      <c r="BH70" s="62">
        <f t="shared" si="62"/>
        <v>807.98784880122344</v>
      </c>
      <c r="BI70" s="62">
        <f ca="1">AVERAGE(OFFSET($BH$3,0,0,'Données projet'!$E$11+1,1))-AVERAGE(OFFSET($H$3,0,0,'Données projet'!$E$11+1,1))</f>
        <v>435.70500547084868</v>
      </c>
      <c r="BJ70" s="62">
        <f t="shared" si="92"/>
        <v>297.32483725004136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22.623782482221163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22.623782482221163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315.90312</v>
      </c>
      <c r="CA70" s="14">
        <f t="shared" si="93"/>
        <v>74.500279889885292</v>
      </c>
      <c r="CB70" s="22">
        <f t="shared" si="64"/>
        <v>679.95258814155022</v>
      </c>
      <c r="CC70" s="62">
        <f t="shared" si="65"/>
        <v>944.90665544976719</v>
      </c>
      <c r="CD70" s="62">
        <f ca="1">AVERAGE(OFFSET($CC$3,0,0,'Données projet'!$E$12+1,1))-AVERAGE(OFFSET($H$3,0,0,'Données projet'!$E$12+1,1))</f>
        <v>530.15080507516973</v>
      </c>
      <c r="CE70" s="62">
        <f t="shared" si="94"/>
        <v>358.10331902702217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28.474760710381812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28.474760710381812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-5.6843418860808015E-14</v>
      </c>
      <c r="CU70" s="18">
        <f>CT70*VLOOKUP('Données projet'!$B$13,Paramètres!$A$1:$I$89,3,0)*VLOOKUP('Données projet'!$B$13,Paramètres!$A$1:$I$89,5,0)</f>
        <v>-4.8771653382573282E-14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182.98212193167009</v>
      </c>
      <c r="CZ70" s="62">
        <f t="shared" si="96"/>
        <v>195.9200038944301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95.678940925932437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95.678940925932437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2.2737367544323206E-13</v>
      </c>
      <c r="DP70" s="18">
        <f>DO70*VLOOKUP('Données projet'!$B$14,Paramètres!$A$1:$I$89,3,0)*VLOOKUP('Données projet'!$B$14,Paramètres!$A$1:$I$89,5,0)</f>
        <v>1.0049916454590858E-13</v>
      </c>
      <c r="DQ70" s="14">
        <f t="shared" si="97"/>
        <v>1.5089081593838289E-12</v>
      </c>
      <c r="DR70" s="22">
        <f t="shared" si="70"/>
        <v>2.8030510891776262E-12</v>
      </c>
      <c r="DS70" s="62">
        <f t="shared" si="71"/>
        <v>264.95406730821969</v>
      </c>
      <c r="DT70" s="62">
        <f ca="1">AVERAGE(OFFSET($DS$3,0,0,'Données projet'!$E$14+1,1))-AVERAGE(OFFSET($H$3,0,0,'Données projet'!$E$14+1,1))</f>
        <v>338.33525241236157</v>
      </c>
      <c r="DU70" s="62">
        <f t="shared" si="98"/>
        <v>373.47257029791717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210.50592842449893</v>
      </c>
      <c r="EB70" s="23">
        <f>EXP(-LN(2)/25)*EB69+(1-EXP(-LN(2)/25))/(LN(2)/25)*Calculateur!DW70*Calculateur!DY70*VLOOKUP('Données projet'!$B$14,Paramètres!$A$1:$I$89,3,0)*0.475*44/12</f>
        <v>34.999919993651979</v>
      </c>
      <c r="EC70" s="23">
        <f>EXP(-LN(2)/2)*EC69+(1-EXP(-LN(2)/2))/(LN(2)/2)*DW70*DZ70*VLOOKUP('Données projet'!$B$14,Paramètres!$A$1:$I$89,3,0)*0.475*44/12</f>
        <v>1.3062166281291852</v>
      </c>
      <c r="ED70" s="24">
        <f t="shared" si="72"/>
        <v>246.81206504628011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-2.8421709430404007E-14</v>
      </c>
      <c r="EK70" s="18">
        <f>EJ70*VLOOKUP('Données projet'!$B$15,Paramètres!$A$1:$I$89,3,0)*VLOOKUP('Données projet'!$B$15,Paramètres!$A$1:$I$89,5,0)</f>
        <v>-2.2168933355715127E-14</v>
      </c>
      <c r="EL70" s="14" t="e">
        <f t="shared" si="99"/>
        <v>#NUM!</v>
      </c>
      <c r="EM70" s="22" t="e">
        <f t="shared" si="73"/>
        <v>#NUM!</v>
      </c>
      <c r="EN70" s="62" t="e">
        <f t="shared" si="74"/>
        <v>#NUM!</v>
      </c>
      <c r="EO70" s="62">
        <f ca="1">AVERAGE(OFFSET($EN$3,0,0,'Données projet'!$E$15+1,1))-AVERAGE(OFFSET($H$3,0,0,'Données projet'!$E$15+1,1))</f>
        <v>144.92790055195192</v>
      </c>
      <c r="EP70" s="62">
        <f t="shared" si="100"/>
        <v>151.00642748754026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52.976380570252132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52.976380570252132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-1.7053025658242404E-13</v>
      </c>
      <c r="O71" s="14">
        <f>N71*VLOOKUP('Données projet'!$B$9,Paramètres!$A$1:$I$89,3,0)*VLOOKUP('Données projet'!$B$9,Paramètres!$A$1:$I$89,5,0)</f>
        <v>-1.383341441396624E-13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259.10606516000064</v>
      </c>
      <c r="T71" s="62">
        <f t="shared" si="88"/>
        <v>316.57989180609252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87.188702841538898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87.188702841538898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186.83226999296298</v>
      </c>
      <c r="AO71" s="62">
        <f t="shared" si="90"/>
        <v>232.70925470547317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104.34635273732187</v>
      </c>
      <c r="AV71" s="23">
        <f>EXP(-LN(2)/25)*AV70+(1-EXP(-LN(2)/25))/(LN(2)/25)*Calculateur!AQ71*Calculateur!AS71*VLOOKUP('Données projet'!$B$10,Paramètres!$A$1:$I$89,3,0)*0.475*44/12</f>
        <v>10.728287618525775</v>
      </c>
      <c r="AW71" s="23">
        <f>EXP(-LN(2)/2)*AW70+(1-EXP(-LN(2)/2))/(LN(2)/2)*AQ71*AT71*VLOOKUP('Données projet'!$B$10,Paramètres!$A$1:$I$89,3,0)*0.475*44/12</f>
        <v>0.4693279058930952</v>
      </c>
      <c r="AX71" s="23">
        <f t="shared" si="60"/>
        <v>115.54396826174073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258.41087999999996</v>
      </c>
      <c r="BF71" s="14">
        <f t="shared" si="91"/>
        <v>62.383521020316756</v>
      </c>
      <c r="BG71" s="22">
        <f t="shared" si="61"/>
        <v>558.71691511038489</v>
      </c>
      <c r="BH71" s="62">
        <f t="shared" si="62"/>
        <v>824.16329923760372</v>
      </c>
      <c r="BI71" s="62">
        <f ca="1">AVERAGE(OFFSET($BH$3,0,0,'Données projet'!$E$11+1,1))-AVERAGE(OFFSET($H$3,0,0,'Données projet'!$E$11+1,1))</f>
        <v>435.70500547084868</v>
      </c>
      <c r="BJ71" s="62">
        <f t="shared" si="92"/>
        <v>297.32483725004136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22.180143906889569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22.180143906889569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325.24127999999996</v>
      </c>
      <c r="CA71" s="14">
        <f t="shared" si="93"/>
        <v>76.442870604717712</v>
      </c>
      <c r="CB71" s="22">
        <f t="shared" si="64"/>
        <v>699.59989563654983</v>
      </c>
      <c r="CC71" s="62">
        <f t="shared" si="65"/>
        <v>965.04627976376867</v>
      </c>
      <c r="CD71" s="62">
        <f ca="1">AVERAGE(OFFSET($CC$3,0,0,'Données projet'!$E$12+1,1))-AVERAGE(OFFSET($H$3,0,0,'Données projet'!$E$12+1,1))</f>
        <v>530.15080507516973</v>
      </c>
      <c r="CE71" s="62">
        <f t="shared" si="94"/>
        <v>358.10331902702217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27.916388020740321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27.916388020740321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-5.6843418860808015E-14</v>
      </c>
      <c r="CU71" s="18">
        <f>CT71*VLOOKUP('Données projet'!$B$13,Paramètres!$A$1:$I$89,3,0)*VLOOKUP('Données projet'!$B$13,Paramètres!$A$1:$I$89,5,0)</f>
        <v>-4.8771653382573282E-14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182.98212193167009</v>
      </c>
      <c r="CZ71" s="62">
        <f t="shared" si="96"/>
        <v>195.9200038944301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93.802735252766453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93.802735252766453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2.2737367544323206E-13</v>
      </c>
      <c r="DP71" s="18">
        <f>DO71*VLOOKUP('Données projet'!$B$14,Paramètres!$A$1:$I$89,3,0)*VLOOKUP('Données projet'!$B$14,Paramètres!$A$1:$I$89,5,0)</f>
        <v>1.0049916454590858E-13</v>
      </c>
      <c r="DQ71" s="14">
        <f t="shared" si="97"/>
        <v>1.5089081593838289E-12</v>
      </c>
      <c r="DR71" s="22">
        <f t="shared" si="70"/>
        <v>2.8030510891776262E-12</v>
      </c>
      <c r="DS71" s="62">
        <f t="shared" si="71"/>
        <v>265.44638412722162</v>
      </c>
      <c r="DT71" s="62">
        <f ca="1">AVERAGE(OFFSET($DS$3,0,0,'Données projet'!$E$14+1,1))-AVERAGE(OFFSET($H$3,0,0,'Données projet'!$E$14+1,1))</f>
        <v>338.33525241236157</v>
      </c>
      <c r="DU71" s="62">
        <f t="shared" si="98"/>
        <v>373.47257029791717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206.37803556403281</v>
      </c>
      <c r="EB71" s="23">
        <f>EXP(-LN(2)/25)*EB70+(1-EXP(-LN(2)/25))/(LN(2)/25)*Calculateur!DW71*Calculateur!DY71*VLOOKUP('Données projet'!$B$14,Paramètres!$A$1:$I$89,3,0)*0.475*44/12</f>
        <v>34.042845340859763</v>
      </c>
      <c r="EC71" s="23">
        <f>EXP(-LN(2)/2)*EC70+(1-EXP(-LN(2)/2))/(LN(2)/2)*DW71*DZ71*VLOOKUP('Données projet'!$B$14,Paramètres!$A$1:$I$89,3,0)*0.475*44/12</f>
        <v>0.92363463544877367</v>
      </c>
      <c r="ED71" s="24">
        <f t="shared" si="72"/>
        <v>241.34451554034135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-2.8421709430404007E-14</v>
      </c>
      <c r="EK71" s="18">
        <f>EJ71*VLOOKUP('Données projet'!$B$15,Paramètres!$A$1:$I$89,3,0)*VLOOKUP('Données projet'!$B$15,Paramètres!$A$1:$I$89,5,0)</f>
        <v>-2.2168933355715127E-14</v>
      </c>
      <c r="EL71" s="14" t="e">
        <f t="shared" si="99"/>
        <v>#NUM!</v>
      </c>
      <c r="EM71" s="22" t="e">
        <f t="shared" si="73"/>
        <v>#NUM!</v>
      </c>
      <c r="EN71" s="62" t="e">
        <f t="shared" si="74"/>
        <v>#NUM!</v>
      </c>
      <c r="EO71" s="62">
        <f ca="1">AVERAGE(OFFSET($EN$3,0,0,'Données projet'!$E$15+1,1))-AVERAGE(OFFSET($H$3,0,0,'Données projet'!$E$15+1,1))</f>
        <v>144.92790055195192</v>
      </c>
      <c r="EP71" s="62">
        <f t="shared" si="100"/>
        <v>151.00642748754026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51.93754605967105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51.93754605967105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-1.7053025658242404E-13</v>
      </c>
      <c r="O72" s="14">
        <f>N72*VLOOKUP('Données projet'!$B$9,Paramètres!$A$1:$I$89,3,0)*VLOOKUP('Données projet'!$B$9,Paramètres!$A$1:$I$89,5,0)</f>
        <v>-1.383341441396624E-13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259.10606516000064</v>
      </c>
      <c r="T72" s="62">
        <f t="shared" si="88"/>
        <v>316.57989180609252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85.478985558673983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85.478985558673983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186.83226999296298</v>
      </c>
      <c r="AO72" s="62">
        <f t="shared" si="90"/>
        <v>232.70925470547317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102.30018440513373</v>
      </c>
      <c r="AV72" s="23">
        <f>EXP(-LN(2)/25)*AV71+(1-EXP(-LN(2)/25))/(LN(2)/25)*Calculateur!AQ72*Calculateur!AS72*VLOOKUP('Données projet'!$B$10,Paramètres!$A$1:$I$89,3,0)*0.475*44/12</f>
        <v>10.434922029421061</v>
      </c>
      <c r="AW72" s="23">
        <f>EXP(-LN(2)/2)*AW71+(1-EXP(-LN(2)/2))/(LN(2)/2)*AQ72*AT72*VLOOKUP('Données projet'!$B$10,Paramètres!$A$1:$I$89,3,0)*0.475*44/12</f>
        <v>0.33186494485708945</v>
      </c>
      <c r="AX72" s="23">
        <f t="shared" si="60"/>
        <v>113.06697137941188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265.83023999999995</v>
      </c>
      <c r="BF72" s="14">
        <f t="shared" si="91"/>
        <v>63.963540982526439</v>
      </c>
      <c r="BG72" s="22">
        <f t="shared" si="61"/>
        <v>574.39083521123348</v>
      </c>
      <c r="BH72" s="62">
        <f t="shared" si="62"/>
        <v>840.32099556130004</v>
      </c>
      <c r="BI72" s="62">
        <f ca="1">AVERAGE(OFFSET($BH$3,0,0,'Données projet'!$E$11+1,1))-AVERAGE(OFFSET($H$3,0,0,'Données projet'!$E$11+1,1))</f>
        <v>435.70500547084868</v>
      </c>
      <c r="BJ72" s="62">
        <f t="shared" si="92"/>
        <v>297.32483725004136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21.745204813427414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21.745204813427414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334.57943999999998</v>
      </c>
      <c r="CA72" s="14">
        <f t="shared" si="93"/>
        <v>78.378979044071997</v>
      </c>
      <c r="CB72" s="22">
        <f t="shared" si="64"/>
        <v>719.23591316842533</v>
      </c>
      <c r="CC72" s="62">
        <f t="shared" si="65"/>
        <v>985.16607351849188</v>
      </c>
      <c r="CD72" s="62">
        <f ca="1">AVERAGE(OFFSET($CC$3,0,0,'Données projet'!$E$12+1,1))-AVERAGE(OFFSET($H$3,0,0,'Données projet'!$E$12+1,1))</f>
        <v>530.15080507516973</v>
      </c>
      <c r="CE72" s="62">
        <f t="shared" si="94"/>
        <v>358.10331902702217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27.36896467896899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27.36896467896899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-5.6843418860808015E-14</v>
      </c>
      <c r="CU72" s="18">
        <f>CT72*VLOOKUP('Données projet'!$B$13,Paramètres!$A$1:$I$89,3,0)*VLOOKUP('Données projet'!$B$13,Paramètres!$A$1:$I$89,5,0)</f>
        <v>-4.8771653382573282E-14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182.98212193167009</v>
      </c>
      <c r="CZ72" s="62">
        <f t="shared" si="96"/>
        <v>195.9200038944301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91.963320828478786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91.963320828478786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2.2737367544323206E-13</v>
      </c>
      <c r="DP72" s="18">
        <f>DO72*VLOOKUP('Données projet'!$B$14,Paramètres!$A$1:$I$89,3,0)*VLOOKUP('Données projet'!$B$14,Paramètres!$A$1:$I$89,5,0)</f>
        <v>1.0049916454590858E-13</v>
      </c>
      <c r="DQ72" s="14">
        <f t="shared" si="97"/>
        <v>1.5089081593838289E-12</v>
      </c>
      <c r="DR72" s="22">
        <f t="shared" si="70"/>
        <v>2.8030510891776262E-12</v>
      </c>
      <c r="DS72" s="62">
        <f t="shared" si="71"/>
        <v>265.93016035006934</v>
      </c>
      <c r="DT72" s="62">
        <f ca="1">AVERAGE(OFFSET($DS$3,0,0,'Données projet'!$E$14+1,1))-AVERAGE(OFFSET($H$3,0,0,'Données projet'!$E$14+1,1))</f>
        <v>338.33525241236157</v>
      </c>
      <c r="DU72" s="62">
        <f t="shared" si="98"/>
        <v>373.47257029791717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202.33108816479438</v>
      </c>
      <c r="EB72" s="23">
        <f>EXP(-LN(2)/25)*EB71+(1-EXP(-LN(2)/25))/(LN(2)/25)*Calculateur!DW72*Calculateur!DY72*VLOOKUP('Données projet'!$B$14,Paramètres!$A$1:$I$89,3,0)*0.475*44/12</f>
        <v>33.111941944778522</v>
      </c>
      <c r="EC72" s="23">
        <f>EXP(-LN(2)/2)*EC71+(1-EXP(-LN(2)/2))/(LN(2)/2)*DW72*DZ72*VLOOKUP('Données projet'!$B$14,Paramètres!$A$1:$I$89,3,0)*0.475*44/12</f>
        <v>0.65310831406459269</v>
      </c>
      <c r="ED72" s="24">
        <f t="shared" si="72"/>
        <v>236.09613842363748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-2.8421709430404007E-14</v>
      </c>
      <c r="EK72" s="18">
        <f>EJ72*VLOOKUP('Données projet'!$B$15,Paramètres!$A$1:$I$89,3,0)*VLOOKUP('Données projet'!$B$15,Paramètres!$A$1:$I$89,5,0)</f>
        <v>-2.2168933355715127E-14</v>
      </c>
      <c r="EL72" s="14" t="e">
        <f t="shared" si="99"/>
        <v>#NUM!</v>
      </c>
      <c r="EM72" s="22" t="e">
        <f t="shared" si="73"/>
        <v>#NUM!</v>
      </c>
      <c r="EN72" s="62" t="e">
        <f t="shared" si="74"/>
        <v>#NUM!</v>
      </c>
      <c r="EO72" s="62">
        <f ca="1">AVERAGE(OFFSET($EN$3,0,0,'Données projet'!$E$15+1,1))-AVERAGE(OFFSET($H$3,0,0,'Données projet'!$E$15+1,1))</f>
        <v>144.92790055195192</v>
      </c>
      <c r="EP72" s="62">
        <f t="shared" si="100"/>
        <v>151.00642748754026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50.919082460215975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50.919082460215975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-1.7053025658242404E-13</v>
      </c>
      <c r="O73" s="14">
        <f>N73*VLOOKUP('Données projet'!$B$9,Paramètres!$A$1:$I$89,3,0)*VLOOKUP('Données projet'!$B$9,Paramètres!$A$1:$I$89,5,0)</f>
        <v>-1.383341441396624E-13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259.10606516000064</v>
      </c>
      <c r="T73" s="62">
        <f t="shared" si="88"/>
        <v>316.57989180609252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83.80279478890148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83.80279478890148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186.83226999296298</v>
      </c>
      <c r="AO73" s="62">
        <f t="shared" si="90"/>
        <v>232.70925470547317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100.29414018590036</v>
      </c>
      <c r="AV73" s="23">
        <f>EXP(-LN(2)/25)*AV72+(1-EXP(-LN(2)/25))/(LN(2)/25)*Calculateur!AQ73*Calculateur!AS73*VLOOKUP('Données projet'!$B$10,Paramètres!$A$1:$I$89,3,0)*0.475*44/12</f>
        <v>10.149578537777842</v>
      </c>
      <c r="AW73" s="23">
        <f>EXP(-LN(2)/2)*AW72+(1-EXP(-LN(2)/2))/(LN(2)/2)*AQ73*AT73*VLOOKUP('Données projet'!$B$10,Paramètres!$A$1:$I$89,3,0)*0.475*44/12</f>
        <v>0.23466395294654763</v>
      </c>
      <c r="AX73" s="23">
        <f t="shared" si="60"/>
        <v>110.67838267662475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273.24959999999999</v>
      </c>
      <c r="BF73" s="14">
        <f t="shared" si="91"/>
        <v>65.538435495514321</v>
      </c>
      <c r="BG73" s="22">
        <f t="shared" si="61"/>
        <v>590.05582848802067</v>
      </c>
      <c r="BH73" s="62">
        <f t="shared" si="62"/>
        <v>856.46137262503021</v>
      </c>
      <c r="BI73" s="62">
        <f ca="1">AVERAGE(OFFSET($BH$3,0,0,'Données projet'!$E$11+1,1))-AVERAGE(OFFSET($H$3,0,0,'Données projet'!$E$11+1,1))</f>
        <v>435.70500547084868</v>
      </c>
      <c r="BJ73" s="62">
        <f t="shared" si="92"/>
        <v>297.32483725004136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28</v>
      </c>
      <c r="BM73" s="17">
        <f>IF(ISNA(VLOOKUP(A73,'Données projet'!$A$87:$I$107,5,0)),0%,VLOOKUP(A73,'Données projet'!$A$87:$I$107,5,0)*VLOOKUP('Données projet'!$B$11,Paramètres!$A$1:$I$89,7,0))</f>
        <v>0.25800000000000001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28.544453236377208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28.544453236377208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343.91759999999994</v>
      </c>
      <c r="CA73" s="14">
        <f t="shared" si="93"/>
        <v>80.308806913730081</v>
      </c>
      <c r="CB73" s="22">
        <f t="shared" si="64"/>
        <v>738.86099204141294</v>
      </c>
      <c r="CC73" s="62">
        <f t="shared" si="65"/>
        <v>1005.2665361784225</v>
      </c>
      <c r="CD73" s="62">
        <f ca="1">AVERAGE(OFFSET($CC$3,0,0,'Données projet'!$E$12+1,1))-AVERAGE(OFFSET($H$3,0,0,'Données projet'!$E$12+1,1))</f>
        <v>530.15080507516973</v>
      </c>
      <c r="CE73" s="62">
        <f t="shared" si="94"/>
        <v>358.10331902702217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28</v>
      </c>
      <c r="CH73" s="17">
        <f>IF(ISNA(VLOOKUP(A73,'Données projet'!$A$113:$I$133,5,0)),0%,VLOOKUP(A73,'Données projet'!$A$113:$I$133,5,0)*VLOOKUP('Données projet'!$B$12,Paramètres!$A$1:$I$89,7,0))</f>
        <v>0.25800000000000001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35.926639418198903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35.926639418198903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-5.6843418860808015E-14</v>
      </c>
      <c r="CU73" s="18">
        <f>CT73*VLOOKUP('Données projet'!$B$13,Paramètres!$A$1:$I$89,3,0)*VLOOKUP('Données projet'!$B$13,Paramètres!$A$1:$I$89,5,0)</f>
        <v>-4.8771653382573282E-14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182.98212193167009</v>
      </c>
      <c r="CZ73" s="62">
        <f t="shared" si="96"/>
        <v>195.9200038944301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90.159976199119384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90.159976199119384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2.2737367544323206E-13</v>
      </c>
      <c r="DP73" s="18">
        <f>DO73*VLOOKUP('Données projet'!$B$14,Paramètres!$A$1:$I$89,3,0)*VLOOKUP('Données projet'!$B$14,Paramètres!$A$1:$I$89,5,0)</f>
        <v>1.0049916454590858E-13</v>
      </c>
      <c r="DQ73" s="14">
        <f t="shared" si="97"/>
        <v>1.5089081593838289E-12</v>
      </c>
      <c r="DR73" s="22">
        <f t="shared" si="70"/>
        <v>2.8030510891776262E-12</v>
      </c>
      <c r="DS73" s="62">
        <f t="shared" si="71"/>
        <v>266.40554413701227</v>
      </c>
      <c r="DT73" s="62">
        <f ca="1">AVERAGE(OFFSET($DS$3,0,0,'Données projet'!$E$14+1,1))-AVERAGE(OFFSET($H$3,0,0,'Données projet'!$E$14+1,1))</f>
        <v>338.33525241236157</v>
      </c>
      <c r="DU73" s="62">
        <f t="shared" si="98"/>
        <v>373.47257029791717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198.36349893566083</v>
      </c>
      <c r="EB73" s="23">
        <f>EXP(-LN(2)/25)*EB72+(1-EXP(-LN(2)/25))/(LN(2)/25)*Calculateur!DW73*Calculateur!DY73*VLOOKUP('Données projet'!$B$14,Paramètres!$A$1:$I$89,3,0)*0.475*44/12</f>
        <v>32.206494151017203</v>
      </c>
      <c r="EC73" s="23">
        <f>EXP(-LN(2)/2)*EC72+(1-EXP(-LN(2)/2))/(LN(2)/2)*DW73*DZ73*VLOOKUP('Données projet'!$B$14,Paramètres!$A$1:$I$89,3,0)*0.475*44/12</f>
        <v>0.46181731772438694</v>
      </c>
      <c r="ED73" s="24">
        <f t="shared" si="72"/>
        <v>231.03181040440242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-2.8421709430404007E-14</v>
      </c>
      <c r="EK73" s="18">
        <f>EJ73*VLOOKUP('Données projet'!$B$15,Paramètres!$A$1:$I$89,3,0)*VLOOKUP('Données projet'!$B$15,Paramètres!$A$1:$I$89,5,0)</f>
        <v>-2.2168933355715127E-14</v>
      </c>
      <c r="EL73" s="14" t="e">
        <f t="shared" si="99"/>
        <v>#NUM!</v>
      </c>
      <c r="EM73" s="22" t="e">
        <f t="shared" si="73"/>
        <v>#NUM!</v>
      </c>
      <c r="EN73" s="62" t="e">
        <f t="shared" si="74"/>
        <v>#NUM!</v>
      </c>
      <c r="EO73" s="62">
        <f ca="1">AVERAGE(OFFSET($EN$3,0,0,'Données projet'!$E$15+1,1))-AVERAGE(OFFSET($H$3,0,0,'Données projet'!$E$15+1,1))</f>
        <v>144.92790055195192</v>
      </c>
      <c r="EP73" s="62">
        <f t="shared" si="100"/>
        <v>151.00642748754026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49.920590310744757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49.920590310744757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-1.7053025658242404E-13</v>
      </c>
      <c r="O74" s="14">
        <f>N74*VLOOKUP('Données projet'!$B$9,Paramètres!$A$1:$I$89,3,0)*VLOOKUP('Données projet'!$B$9,Paramètres!$A$1:$I$89,5,0)</f>
        <v>-1.383341441396624E-13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259.10606516000064</v>
      </c>
      <c r="T74" s="62">
        <f t="shared" si="88"/>
        <v>316.57989180609252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82.159473097748787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82.159473097748787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186.83226999296298</v>
      </c>
      <c r="AO74" s="62">
        <f t="shared" si="90"/>
        <v>232.70925470547317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98.327433270239993</v>
      </c>
      <c r="AV74" s="23">
        <f>EXP(-LN(2)/25)*AV73+(1-EXP(-LN(2)/25))/(LN(2)/25)*Calculateur!AQ74*Calculateur!AS74*VLOOKUP('Données projet'!$B$10,Paramètres!$A$1:$I$89,3,0)*0.475*44/12</f>
        <v>9.872037778919168</v>
      </c>
      <c r="AW74" s="23">
        <f>EXP(-LN(2)/2)*AW73+(1-EXP(-LN(2)/2))/(LN(2)/2)*AQ74*AT74*VLOOKUP('Données projet'!$B$10,Paramètres!$A$1:$I$89,3,0)*0.475*44/12</f>
        <v>0.16593247242854475</v>
      </c>
      <c r="AX74" s="23">
        <f t="shared" si="60"/>
        <v>108.36540352158771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281.59999999999997</v>
      </c>
      <c r="BE74" s="14">
        <f>BD74*VLOOKUP('Données projet'!$B$11,Paramètres!$A$1:$I$89,3,0)*VLOOKUP('Données projet'!$B$11,Paramètres!$A$1:$I$89,5,0)</f>
        <v>254.79167999999996</v>
      </c>
      <c r="BF74" s="14">
        <f t="shared" si="91"/>
        <v>61.610870508448471</v>
      </c>
      <c r="BG74" s="22">
        <f t="shared" si="61"/>
        <v>551.067775468881</v>
      </c>
      <c r="BH74" s="62">
        <f t="shared" si="62"/>
        <v>817.940456546929</v>
      </c>
      <c r="BI74" s="62">
        <f ca="1">AVERAGE(OFFSET($BH$3,0,0,'Données projet'!$E$11+1,1))-AVERAGE(OFFSET($H$3,0,0,'Données projet'!$E$11+1,1))</f>
        <v>435.70500547084868</v>
      </c>
      <c r="BJ74" s="62">
        <f t="shared" si="92"/>
        <v>297.32483725004136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27.984713918809192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27.984713918809192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281.59999999999997</v>
      </c>
      <c r="BZ74" s="14">
        <f>BY74*VLOOKUP('Données projet'!$B$12,Paramètres!$A$1:$I$89,3,0)*VLOOKUP('Données projet'!$B$12,Paramètres!$A$1:$I$89,5,0)</f>
        <v>320.68608</v>
      </c>
      <c r="CA74" s="14">
        <f t="shared" si="93"/>
        <v>75.496088151028061</v>
      </c>
      <c r="CB74" s="22">
        <f t="shared" si="64"/>
        <v>690.01727619637393</v>
      </c>
      <c r="CC74" s="62">
        <f t="shared" si="65"/>
        <v>956.88995727442193</v>
      </c>
      <c r="CD74" s="62">
        <f ca="1">AVERAGE(OFFSET($CC$3,0,0,'Données projet'!$E$12+1,1))-AVERAGE(OFFSET($H$3,0,0,'Données projet'!$E$12+1,1))</f>
        <v>530.15080507516973</v>
      </c>
      <c r="CE74" s="62">
        <f t="shared" si="94"/>
        <v>358.10331902702217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35.222139932294333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35.222139932294333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-5.6843418860808015E-14</v>
      </c>
      <c r="CU74" s="18">
        <f>CT74*VLOOKUP('Données projet'!$B$13,Paramètres!$A$1:$I$89,3,0)*VLOOKUP('Données projet'!$B$13,Paramètres!$A$1:$I$89,5,0)</f>
        <v>-4.8771653382573282E-14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182.98212193167009</v>
      </c>
      <c r="CZ74" s="62">
        <f t="shared" si="96"/>
        <v>195.9200038944301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88.391994058010113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88.391994058010113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2.2737367544323206E-13</v>
      </c>
      <c r="DP74" s="18">
        <f>DO74*VLOOKUP('Données projet'!$B$14,Paramètres!$A$1:$I$89,3,0)*VLOOKUP('Données projet'!$B$14,Paramètres!$A$1:$I$89,5,0)</f>
        <v>1.0049916454590858E-13</v>
      </c>
      <c r="DQ74" s="14">
        <f t="shared" si="97"/>
        <v>1.5089081593838289E-12</v>
      </c>
      <c r="DR74" s="22">
        <f t="shared" si="70"/>
        <v>2.8030510891776262E-12</v>
      </c>
      <c r="DS74" s="62">
        <f t="shared" si="71"/>
        <v>266.87268107805073</v>
      </c>
      <c r="DT74" s="62">
        <f ca="1">AVERAGE(OFFSET($DS$3,0,0,'Données projet'!$E$14+1,1))-AVERAGE(OFFSET($H$3,0,0,'Données projet'!$E$14+1,1))</f>
        <v>338.33525241236157</v>
      </c>
      <c r="DU74" s="62">
        <f t="shared" si="98"/>
        <v>373.47257029791717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194.47371171132014</v>
      </c>
      <c r="EB74" s="23">
        <f>EXP(-LN(2)/25)*EB73+(1-EXP(-LN(2)/25))/(LN(2)/25)*Calculateur!DW74*Calculateur!DY74*VLOOKUP('Données projet'!$B$14,Paramètres!$A$1:$I$89,3,0)*0.475*44/12</f>
        <v>31.325805874791719</v>
      </c>
      <c r="EC74" s="23">
        <f>EXP(-LN(2)/2)*EC73+(1-EXP(-LN(2)/2))/(LN(2)/2)*DW74*DZ74*VLOOKUP('Données projet'!$B$14,Paramètres!$A$1:$I$89,3,0)*0.475*44/12</f>
        <v>0.3265541570322964</v>
      </c>
      <c r="ED74" s="24">
        <f t="shared" si="72"/>
        <v>226.12607174314414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-2.8421709430404007E-14</v>
      </c>
      <c r="EK74" s="18">
        <f>EJ74*VLOOKUP('Données projet'!$B$15,Paramètres!$A$1:$I$89,3,0)*VLOOKUP('Données projet'!$B$15,Paramètres!$A$1:$I$89,5,0)</f>
        <v>-2.2168933355715127E-14</v>
      </c>
      <c r="EL74" s="14" t="e">
        <f t="shared" si="99"/>
        <v>#NUM!</v>
      </c>
      <c r="EM74" s="22" t="e">
        <f t="shared" si="73"/>
        <v>#NUM!</v>
      </c>
      <c r="EN74" s="62" t="e">
        <f t="shared" si="74"/>
        <v>#NUM!</v>
      </c>
      <c r="EO74" s="62">
        <f ca="1">AVERAGE(OFFSET($EN$3,0,0,'Données projet'!$E$15+1,1))-AVERAGE(OFFSET($H$3,0,0,'Données projet'!$E$15+1,1))</f>
        <v>144.92790055195192</v>
      </c>
      <c r="EP74" s="62">
        <f t="shared" si="100"/>
        <v>151.00642748754026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48.941677983304594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48.941677983304594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-1.7053025658242404E-13</v>
      </c>
      <c r="O75" s="14">
        <f>N75*VLOOKUP('Données projet'!$B$9,Paramètres!$A$1:$I$89,3,0)*VLOOKUP('Données projet'!$B$9,Paramètres!$A$1:$I$89,5,0)</f>
        <v>-1.383341441396624E-13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259.10606516000064</v>
      </c>
      <c r="T75" s="62">
        <f t="shared" si="88"/>
        <v>316.57989180609252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80.548375942632347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80.548375942632347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186.83226999296298</v>
      </c>
      <c r="AO75" s="62">
        <f t="shared" si="90"/>
        <v>232.70925470547317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96.399292277622962</v>
      </c>
      <c r="AV75" s="23">
        <f>EXP(-LN(2)/25)*AV74+(1-EXP(-LN(2)/25))/(LN(2)/25)*Calculateur!AQ75*Calculateur!AS75*VLOOKUP('Données projet'!$B$10,Paramètres!$A$1:$I$89,3,0)*0.475*44/12</f>
        <v>9.6020863867067199</v>
      </c>
      <c r="AW75" s="23">
        <f>EXP(-LN(2)/2)*AW74+(1-EXP(-LN(2)/2))/(LN(2)/2)*AQ75*AT75*VLOOKUP('Données projet'!$B$10,Paramètres!$A$1:$I$89,3,0)*0.475*44/12</f>
        <v>0.11733197647327383</v>
      </c>
      <c r="AX75" s="23">
        <f t="shared" si="60"/>
        <v>106.11871064080295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289.2</v>
      </c>
      <c r="BE75" s="14">
        <f>BD75*VLOOKUP('Données projet'!$B$11,Paramètres!$A$1:$I$89,3,0)*VLOOKUP('Données projet'!$B$11,Paramètres!$A$1:$I$89,5,0)</f>
        <v>261.66816</v>
      </c>
      <c r="BF75" s="14">
        <f t="shared" si="91"/>
        <v>63.077829793082856</v>
      </c>
      <c r="BG75" s="22">
        <f t="shared" si="61"/>
        <v>565.5992655562859</v>
      </c>
      <c r="BH75" s="62">
        <f t="shared" si="62"/>
        <v>832.93097979380696</v>
      </c>
      <c r="BI75" s="62">
        <f ca="1">AVERAGE(OFFSET($BH$3,0,0,'Données projet'!$E$11+1,1))-AVERAGE(OFFSET($H$3,0,0,'Données projet'!$E$11+1,1))</f>
        <v>435.70500547084868</v>
      </c>
      <c r="BJ75" s="62">
        <f t="shared" si="92"/>
        <v>297.32483725004136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27.435950747851411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27.435950747851411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289.2</v>
      </c>
      <c r="BZ75" s="14">
        <f>BY75*VLOOKUP('Données projet'!$B$12,Paramètres!$A$1:$I$89,3,0)*VLOOKUP('Données projet'!$B$12,Paramètres!$A$1:$I$89,5,0)</f>
        <v>329.34096</v>
      </c>
      <c r="CA75" s="14">
        <f t="shared" si="93"/>
        <v>77.293655472391322</v>
      </c>
      <c r="CB75" s="22">
        <f t="shared" si="64"/>
        <v>708.22195528108148</v>
      </c>
      <c r="CC75" s="62">
        <f t="shared" si="65"/>
        <v>975.55366951860265</v>
      </c>
      <c r="CD75" s="62">
        <f ca="1">AVERAGE(OFFSET($CC$3,0,0,'Données projet'!$E$12+1,1))-AVERAGE(OFFSET($H$3,0,0,'Données projet'!$E$12+1,1))</f>
        <v>530.15080507516973</v>
      </c>
      <c r="CE75" s="62">
        <f t="shared" si="94"/>
        <v>358.10331902702217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34.53145525160609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34.53145525160609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-5.6843418860808015E-14</v>
      </c>
      <c r="CU75" s="18">
        <f>CT75*VLOOKUP('Données projet'!$B$13,Paramètres!$A$1:$I$89,3,0)*VLOOKUP('Données projet'!$B$13,Paramètres!$A$1:$I$89,5,0)</f>
        <v>-4.8771653382573282E-14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182.98212193167009</v>
      </c>
      <c r="CZ75" s="62">
        <f t="shared" si="96"/>
        <v>195.9200038944301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86.65868096832537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86.65868096832537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2.2737367544323206E-13</v>
      </c>
      <c r="DP75" s="18">
        <f>DO75*VLOOKUP('Données projet'!$B$14,Paramètres!$A$1:$I$89,3,0)*VLOOKUP('Données projet'!$B$14,Paramètres!$A$1:$I$89,5,0)</f>
        <v>1.0049916454590858E-13</v>
      </c>
      <c r="DQ75" s="14">
        <f t="shared" si="97"/>
        <v>1.5089081593838289E-12</v>
      </c>
      <c r="DR75" s="22">
        <f t="shared" si="70"/>
        <v>2.8030510891776262E-12</v>
      </c>
      <c r="DS75" s="62">
        <f t="shared" si="71"/>
        <v>267.3317142375239</v>
      </c>
      <c r="DT75" s="62">
        <f ca="1">AVERAGE(OFFSET($DS$3,0,0,'Données projet'!$E$14+1,1))-AVERAGE(OFFSET($H$3,0,0,'Données projet'!$E$14+1,1))</f>
        <v>338.33525241236157</v>
      </c>
      <c r="DU75" s="62">
        <f t="shared" si="98"/>
        <v>373.47257029791717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190.6602008419128</v>
      </c>
      <c r="EB75" s="23">
        <f>EXP(-LN(2)/25)*EB74+(1-EXP(-LN(2)/25))/(LN(2)/25)*Calculateur!DW75*Calculateur!DY75*VLOOKUP('Données projet'!$B$14,Paramètres!$A$1:$I$89,3,0)*0.475*44/12</f>
        <v>30.469200065793004</v>
      </c>
      <c r="EC75" s="23">
        <f>EXP(-LN(2)/2)*EC74+(1-EXP(-LN(2)/2))/(LN(2)/2)*DW75*DZ75*VLOOKUP('Données projet'!$B$14,Paramètres!$A$1:$I$89,3,0)*0.475*44/12</f>
        <v>0.2309086588621935</v>
      </c>
      <c r="ED75" s="24">
        <f t="shared" si="72"/>
        <v>221.36030956656802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-2.8421709430404007E-14</v>
      </c>
      <c r="EK75" s="18">
        <f>EJ75*VLOOKUP('Données projet'!$B$15,Paramètres!$A$1:$I$89,3,0)*VLOOKUP('Données projet'!$B$15,Paramètres!$A$1:$I$89,5,0)</f>
        <v>-2.2168933355715127E-14</v>
      </c>
      <c r="EL75" s="14" t="e">
        <f t="shared" si="99"/>
        <v>#NUM!</v>
      </c>
      <c r="EM75" s="22" t="e">
        <f t="shared" si="73"/>
        <v>#NUM!</v>
      </c>
      <c r="EN75" s="62" t="e">
        <f t="shared" si="74"/>
        <v>#NUM!</v>
      </c>
      <c r="EO75" s="62">
        <f ca="1">AVERAGE(OFFSET($EN$3,0,0,'Données projet'!$E$15+1,1))-AVERAGE(OFFSET($H$3,0,0,'Données projet'!$E$15+1,1))</f>
        <v>144.92790055195192</v>
      </c>
      <c r="EP75" s="62">
        <f t="shared" si="100"/>
        <v>151.00642748754026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47.981961529527972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47.981961529527972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-1.7053025658242404E-13</v>
      </c>
      <c r="O76" s="14">
        <f>N76*VLOOKUP('Données projet'!$B$9,Paramètres!$A$1:$I$89,3,0)*VLOOKUP('Données projet'!$B$9,Paramètres!$A$1:$I$89,5,0)</f>
        <v>-1.383341441396624E-13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259.10606516000064</v>
      </c>
      <c r="T76" s="62">
        <f t="shared" si="88"/>
        <v>316.57989180609252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78.968871420055507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78.968871420055507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186.83226999296298</v>
      </c>
      <c r="AO76" s="62">
        <f t="shared" si="90"/>
        <v>232.70925470547317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94.508960953821273</v>
      </c>
      <c r="AV76" s="23">
        <f>EXP(-LN(2)/25)*AV75+(1-EXP(-LN(2)/25))/(LN(2)/25)*Calculateur!AQ76*Calculateur!AS76*VLOOKUP('Données projet'!$B$10,Paramètres!$A$1:$I$89,3,0)*0.475*44/12</f>
        <v>9.3395168295104476</v>
      </c>
      <c r="AW76" s="23">
        <f>EXP(-LN(2)/2)*AW75+(1-EXP(-LN(2)/2))/(LN(2)/2)*AQ76*AT76*VLOOKUP('Données projet'!$B$10,Paramètres!$A$1:$I$89,3,0)*0.475*44/12</f>
        <v>8.296623621427239E-2</v>
      </c>
      <c r="AX76" s="23">
        <f t="shared" si="60"/>
        <v>103.93144401954599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296.8</v>
      </c>
      <c r="BE76" s="14">
        <f>BD76*VLOOKUP('Données projet'!$B$11,Paramètres!$A$1:$I$89,3,0)*VLOOKUP('Données projet'!$B$11,Paramètres!$A$1:$I$89,5,0)</f>
        <v>268.54464000000002</v>
      </c>
      <c r="BF76" s="14">
        <f t="shared" si="91"/>
        <v>64.54030807605065</v>
      </c>
      <c r="BG76" s="22">
        <f t="shared" si="61"/>
        <v>580.12295123245474</v>
      </c>
      <c r="BH76" s="62">
        <f t="shared" si="62"/>
        <v>847.90573543037658</v>
      </c>
      <c r="BI76" s="62">
        <f ca="1">AVERAGE(OFFSET($BH$3,0,0,'Données projet'!$E$11+1,1))-AVERAGE(OFFSET($H$3,0,0,'Données projet'!$E$11+1,1))</f>
        <v>435.70500547084868</v>
      </c>
      <c r="BJ76" s="62">
        <f t="shared" si="92"/>
        <v>297.32483725004136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26.897948487963628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26.897948487963628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296.8</v>
      </c>
      <c r="BZ76" s="14">
        <f>BY76*VLOOKUP('Données projet'!$B$12,Paramètres!$A$1:$I$89,3,0)*VLOOKUP('Données projet'!$B$12,Paramètres!$A$1:$I$89,5,0)</f>
        <v>337.99584000000004</v>
      </c>
      <c r="CA76" s="14">
        <f t="shared" si="93"/>
        <v>79.085731910505615</v>
      </c>
      <c r="CB76" s="22">
        <f t="shared" si="64"/>
        <v>726.4170710774639</v>
      </c>
      <c r="CC76" s="62">
        <f t="shared" si="65"/>
        <v>994.19985527538574</v>
      </c>
      <c r="CD76" s="62">
        <f ca="1">AVERAGE(OFFSET($CC$3,0,0,'Données projet'!$E$12+1,1))-AVERAGE(OFFSET($H$3,0,0,'Données projet'!$E$12+1,1))</f>
        <v>530.15080507516973</v>
      </c>
      <c r="CE76" s="62">
        <f t="shared" si="94"/>
        <v>358.10331902702217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33.854314476230087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33.854314476230087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-5.6843418860808015E-14</v>
      </c>
      <c r="CU76" s="18">
        <f>CT76*VLOOKUP('Données projet'!$B$13,Paramètres!$A$1:$I$89,3,0)*VLOOKUP('Données projet'!$B$13,Paramètres!$A$1:$I$89,5,0)</f>
        <v>-4.8771653382573282E-14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182.98212193167009</v>
      </c>
      <c r="CZ76" s="62">
        <f t="shared" si="96"/>
        <v>195.9200038944301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84.95935709111275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84.95935709111275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2.2737367544323206E-13</v>
      </c>
      <c r="DP76" s="18">
        <f>DO76*VLOOKUP('Données projet'!$B$14,Paramètres!$A$1:$I$89,3,0)*VLOOKUP('Données projet'!$B$14,Paramètres!$A$1:$I$89,5,0)</f>
        <v>1.0049916454590858E-13</v>
      </c>
      <c r="DQ76" s="14">
        <f t="shared" si="97"/>
        <v>1.5089081593838289E-12</v>
      </c>
      <c r="DR76" s="22">
        <f t="shared" si="70"/>
        <v>2.8030510891776262E-12</v>
      </c>
      <c r="DS76" s="62">
        <f t="shared" si="71"/>
        <v>267.78278419792457</v>
      </c>
      <c r="DT76" s="62">
        <f ca="1">AVERAGE(OFFSET($DS$3,0,0,'Données projet'!$E$14+1,1))-AVERAGE(OFFSET($H$3,0,0,'Données projet'!$E$14+1,1))</f>
        <v>338.33525241236157</v>
      </c>
      <c r="DU76" s="62">
        <f t="shared" si="98"/>
        <v>373.47257029791717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186.92147059464259</v>
      </c>
      <c r="EB76" s="23">
        <f>EXP(-LN(2)/25)*EB75+(1-EXP(-LN(2)/25))/(LN(2)/25)*Calculateur!DW76*Calculateur!DY76*VLOOKUP('Données projet'!$B$14,Paramètres!$A$1:$I$89,3,0)*0.475*44/12</f>
        <v>29.6360181876883</v>
      </c>
      <c r="EC76" s="23">
        <f>EXP(-LN(2)/2)*EC75+(1-EXP(-LN(2)/2))/(LN(2)/2)*DW76*DZ76*VLOOKUP('Données projet'!$B$14,Paramètres!$A$1:$I$89,3,0)*0.475*44/12</f>
        <v>0.16327707851614823</v>
      </c>
      <c r="ED76" s="24">
        <f t="shared" si="72"/>
        <v>216.72076586084705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-2.8421709430404007E-14</v>
      </c>
      <c r="EK76" s="18">
        <f>EJ76*VLOOKUP('Données projet'!$B$15,Paramètres!$A$1:$I$89,3,0)*VLOOKUP('Données projet'!$B$15,Paramètres!$A$1:$I$89,5,0)</f>
        <v>-2.2168933355715127E-14</v>
      </c>
      <c r="EL76" s="14" t="e">
        <f t="shared" si="99"/>
        <v>#NUM!</v>
      </c>
      <c r="EM76" s="22" t="e">
        <f t="shared" si="73"/>
        <v>#NUM!</v>
      </c>
      <c r="EN76" s="62" t="e">
        <f t="shared" si="74"/>
        <v>#NUM!</v>
      </c>
      <c r="EO76" s="62">
        <f ca="1">AVERAGE(OFFSET($EN$3,0,0,'Données projet'!$E$15+1,1))-AVERAGE(OFFSET($H$3,0,0,'Données projet'!$E$15+1,1))</f>
        <v>144.92790055195192</v>
      </c>
      <c r="EP76" s="62">
        <f t="shared" si="100"/>
        <v>151.00642748754026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47.041064530040671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47.041064530040671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-1.7053025658242404E-13</v>
      </c>
      <c r="O77" s="14">
        <f>N77*VLOOKUP('Données projet'!$B$9,Paramètres!$A$1:$I$89,3,0)*VLOOKUP('Données projet'!$B$9,Paramètres!$A$1:$I$89,5,0)</f>
        <v>-1.383341441396624E-13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259.10606516000064</v>
      </c>
      <c r="T77" s="62">
        <f t="shared" si="88"/>
        <v>316.57989180609252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77.420340017763763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77.420340017763763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186.83226999296298</v>
      </c>
      <c r="AO77" s="62">
        <f t="shared" si="90"/>
        <v>232.70925470547317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92.655697874291064</v>
      </c>
      <c r="AV77" s="23">
        <f>EXP(-LN(2)/25)*AV76+(1-EXP(-LN(2)/25))/(LN(2)/25)*Calculateur!AQ77*Calculateur!AS77*VLOOKUP('Données projet'!$B$10,Paramètres!$A$1:$I$89,3,0)*0.475*44/12</f>
        <v>9.0841272506636397</v>
      </c>
      <c r="AW77" s="23">
        <f>EXP(-LN(2)/2)*AW76+(1-EXP(-LN(2)/2))/(LN(2)/2)*AQ77*AT77*VLOOKUP('Données projet'!$B$10,Paramètres!$A$1:$I$89,3,0)*0.475*44/12</f>
        <v>5.8665988236636928E-2</v>
      </c>
      <c r="AX77" s="23">
        <f t="shared" si="60"/>
        <v>101.79849111319135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304.40000000000003</v>
      </c>
      <c r="BE77" s="14">
        <f>BD77*VLOOKUP('Données projet'!$B$11,Paramètres!$A$1:$I$89,3,0)*VLOOKUP('Données projet'!$B$11,Paramètres!$A$1:$I$89,5,0)</f>
        <v>275.42112000000003</v>
      </c>
      <c r="BF77" s="14">
        <f t="shared" si="91"/>
        <v>65.998433293601067</v>
      </c>
      <c r="BG77" s="22">
        <f t="shared" si="61"/>
        <v>594.63905531968851</v>
      </c>
      <c r="BH77" s="62">
        <f t="shared" si="62"/>
        <v>862.86508442263937</v>
      </c>
      <c r="BI77" s="62">
        <f ca="1">AVERAGE(OFFSET($BH$3,0,0,'Données projet'!$E$11+1,1))-AVERAGE(OFFSET($H$3,0,0,'Données projet'!$E$11+1,1))</f>
        <v>435.70500547084868</v>
      </c>
      <c r="BJ77" s="62">
        <f t="shared" si="92"/>
        <v>297.32483725004136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26.370496124243267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26.370496124243267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304.40000000000003</v>
      </c>
      <c r="BZ77" s="14">
        <f>BY77*VLOOKUP('Données projet'!$B$12,Paramètres!$A$1:$I$89,3,0)*VLOOKUP('Données projet'!$B$12,Paramètres!$A$1:$I$89,5,0)</f>
        <v>346.65072000000004</v>
      </c>
      <c r="CA77" s="14">
        <f t="shared" si="93"/>
        <v>80.872474234562333</v>
      </c>
      <c r="CB77" s="22">
        <f t="shared" si="64"/>
        <v>744.60289662519608</v>
      </c>
      <c r="CC77" s="62">
        <f t="shared" si="65"/>
        <v>1012.8289257281469</v>
      </c>
      <c r="CD77" s="62">
        <f ca="1">AVERAGE(OFFSET($CC$3,0,0,'Données projet'!$E$12+1,1))-AVERAGE(OFFSET($H$3,0,0,'Données projet'!$E$12+1,1))</f>
        <v>530.15080507516973</v>
      </c>
      <c r="CE77" s="62">
        <f t="shared" si="94"/>
        <v>358.10331902702217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33.19045201844412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33.19045201844412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-5.6843418860808015E-14</v>
      </c>
      <c r="CU77" s="18">
        <f>CT77*VLOOKUP('Données projet'!$B$13,Paramètres!$A$1:$I$89,3,0)*VLOOKUP('Données projet'!$B$13,Paramètres!$A$1:$I$89,5,0)</f>
        <v>-4.8771653382573282E-14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182.98212193167009</v>
      </c>
      <c r="CZ77" s="62">
        <f t="shared" si="96"/>
        <v>195.9200038944301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83.293355918647052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83.293355918647052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2.2737367544323206E-13</v>
      </c>
      <c r="DP77" s="18">
        <f>DO77*VLOOKUP('Données projet'!$B$14,Paramètres!$A$1:$I$89,3,0)*VLOOKUP('Données projet'!$B$14,Paramètres!$A$1:$I$89,5,0)</f>
        <v>1.0049916454590858E-13</v>
      </c>
      <c r="DQ77" s="14">
        <f t="shared" si="97"/>
        <v>1.5089081593838289E-12</v>
      </c>
      <c r="DR77" s="22">
        <f t="shared" si="70"/>
        <v>2.8030510891776262E-12</v>
      </c>
      <c r="DS77" s="62">
        <f t="shared" si="71"/>
        <v>268.22602910295365</v>
      </c>
      <c r="DT77" s="62">
        <f ca="1">AVERAGE(OFFSET($DS$3,0,0,'Données projet'!$E$14+1,1))-AVERAGE(OFFSET($H$3,0,0,'Données projet'!$E$14+1,1))</f>
        <v>338.33525241236157</v>
      </c>
      <c r="DU77" s="62">
        <f t="shared" si="98"/>
        <v>373.47257029791717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183.25605456712108</v>
      </c>
      <c r="EB77" s="23">
        <f>EXP(-LN(2)/25)*EB76+(1-EXP(-LN(2)/25))/(LN(2)/25)*Calculateur!DW77*Calculateur!DY77*VLOOKUP('Données projet'!$B$14,Paramètres!$A$1:$I$89,3,0)*0.475*44/12</f>
        <v>28.825619711855502</v>
      </c>
      <c r="EC77" s="23">
        <f>EXP(-LN(2)/2)*EC76+(1-EXP(-LN(2)/2))/(LN(2)/2)*DW77*DZ77*VLOOKUP('Données projet'!$B$14,Paramètres!$A$1:$I$89,3,0)*0.475*44/12</f>
        <v>0.11545432943109678</v>
      </c>
      <c r="ED77" s="24">
        <f t="shared" si="72"/>
        <v>212.19712860840767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-2.8421709430404007E-14</v>
      </c>
      <c r="EK77" s="18">
        <f>EJ77*VLOOKUP('Données projet'!$B$15,Paramètres!$A$1:$I$89,3,0)*VLOOKUP('Données projet'!$B$15,Paramètres!$A$1:$I$89,5,0)</f>
        <v>-2.2168933355715127E-14</v>
      </c>
      <c r="EL77" s="14" t="e">
        <f t="shared" si="99"/>
        <v>#NUM!</v>
      </c>
      <c r="EM77" s="22" t="e">
        <f t="shared" si="73"/>
        <v>#NUM!</v>
      </c>
      <c r="EN77" s="62" t="e">
        <f t="shared" si="74"/>
        <v>#NUM!</v>
      </c>
      <c r="EO77" s="62">
        <f ca="1">AVERAGE(OFFSET($EN$3,0,0,'Données projet'!$E$15+1,1))-AVERAGE(OFFSET($H$3,0,0,'Données projet'!$E$15+1,1))</f>
        <v>144.92790055195192</v>
      </c>
      <c r="EP77" s="62">
        <f t="shared" si="100"/>
        <v>151.00642748754026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46.118617946822816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46.118617946822816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-1.7053025658242404E-13</v>
      </c>
      <c r="O78" s="14">
        <f>N78*VLOOKUP('Données projet'!$B$9,Paramètres!$A$1:$I$89,3,0)*VLOOKUP('Données projet'!$B$9,Paramètres!$A$1:$I$89,5,0)</f>
        <v>-1.383341441396624E-13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259.10606516000064</v>
      </c>
      <c r="T78" s="62">
        <f t="shared" si="88"/>
        <v>316.57989180609252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75.902174371760069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75.902174371760069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186.83226999296298</v>
      </c>
      <c r="AO78" s="62">
        <f t="shared" si="90"/>
        <v>232.70925470547317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90.838776153371583</v>
      </c>
      <c r="AV78" s="23">
        <f>EXP(-LN(2)/25)*AV77+(1-EXP(-LN(2)/25))/(LN(2)/25)*Calculateur!AQ78*Calculateur!AS78*VLOOKUP('Données projet'!$B$10,Paramètres!$A$1:$I$89,3,0)*0.475*44/12</f>
        <v>8.8357213132807519</v>
      </c>
      <c r="AW78" s="23">
        <f>EXP(-LN(2)/2)*AW77+(1-EXP(-LN(2)/2))/(LN(2)/2)*AQ78*AT78*VLOOKUP('Données projet'!$B$10,Paramètres!$A$1:$I$89,3,0)*0.475*44/12</f>
        <v>4.1483118107136202E-2</v>
      </c>
      <c r="AX78" s="23">
        <f t="shared" si="60"/>
        <v>99.715980584759478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312.00000000000006</v>
      </c>
      <c r="BE78" s="14">
        <f>BD78*VLOOKUP('Données projet'!$B$11,Paramètres!$A$1:$I$89,3,0)*VLOOKUP('Données projet'!$B$11,Paramètres!$A$1:$I$89,5,0)</f>
        <v>282.29760000000005</v>
      </c>
      <c r="BF78" s="14">
        <f t="shared" si="91"/>
        <v>67.452326629470178</v>
      </c>
      <c r="BG78" s="22">
        <f t="shared" si="61"/>
        <v>609.14778887966054</v>
      </c>
      <c r="BH78" s="62">
        <f t="shared" si="62"/>
        <v>877.80937357948528</v>
      </c>
      <c r="BI78" s="62">
        <f ca="1">AVERAGE(OFFSET($BH$3,0,0,'Données projet'!$E$11+1,1))-AVERAGE(OFFSET($H$3,0,0,'Données projet'!$E$11+1,1))</f>
        <v>435.70500547084868</v>
      </c>
      <c r="BJ78" s="62">
        <f t="shared" si="92"/>
        <v>297.32483725004136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0.25800000000000001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33.079045405737098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33.079045405737098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312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312.00000000000006</v>
      </c>
      <c r="BZ78" s="14">
        <f>BY78*VLOOKUP('Données projet'!$B$12,Paramètres!$A$1:$I$89,3,0)*VLOOKUP('Données projet'!$B$12,Paramètres!$A$1:$I$89,5,0)</f>
        <v>355.30560000000008</v>
      </c>
      <c r="CA78" s="14">
        <f t="shared" si="93"/>
        <v>82.654030939428409</v>
      </c>
      <c r="CB78" s="22">
        <f t="shared" si="64"/>
        <v>762.77969055283802</v>
      </c>
      <c r="CC78" s="62">
        <f t="shared" si="65"/>
        <v>1031.4412752526628</v>
      </c>
      <c r="CD78" s="62">
        <f ca="1">AVERAGE(OFFSET($CC$3,0,0,'Données projet'!$E$12+1,1))-AVERAGE(OFFSET($H$3,0,0,'Données projet'!$E$12+1,1))</f>
        <v>530.15080507516973</v>
      </c>
      <c r="CE78" s="62">
        <f t="shared" si="94"/>
        <v>358.10331902702217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28</v>
      </c>
      <c r="CH78" s="17">
        <f>IF(ISNA(VLOOKUP(A78,'Données projet'!$A$113:$I$133,5,0)),0%,VLOOKUP(A78,'Données projet'!$A$113:$I$133,5,0)*VLOOKUP('Données projet'!$B$12,Paramètres!$A$1:$I$89,7,0))</f>
        <v>0.25800000000000001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41.633970941703595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41.633970941703595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-5.6843418860808015E-14</v>
      </c>
      <c r="CU78" s="18">
        <f>CT78*VLOOKUP('Données projet'!$B$13,Paramètres!$A$1:$I$89,3,0)*VLOOKUP('Données projet'!$B$13,Paramètres!$A$1:$I$89,5,0)</f>
        <v>-4.8771653382573282E-14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182.98212193167009</v>
      </c>
      <c r="CZ78" s="62">
        <f t="shared" si="96"/>
        <v>195.9200038944301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81.660024013013029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81.660024013013029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2.2737367544323206E-13</v>
      </c>
      <c r="DP78" s="18">
        <f>DO78*VLOOKUP('Données projet'!$B$14,Paramètres!$A$1:$I$89,3,0)*VLOOKUP('Données projet'!$B$14,Paramètres!$A$1:$I$89,5,0)</f>
        <v>1.0049916454590858E-13</v>
      </c>
      <c r="DQ78" s="14">
        <f t="shared" si="97"/>
        <v>1.5089081593838289E-12</v>
      </c>
      <c r="DR78" s="22">
        <f t="shared" si="70"/>
        <v>2.8030510891776262E-12</v>
      </c>
      <c r="DS78" s="62">
        <f t="shared" si="71"/>
        <v>268.66158469982759</v>
      </c>
      <c r="DT78" s="62">
        <f ca="1">AVERAGE(OFFSET($DS$3,0,0,'Données projet'!$E$14+1,1))-AVERAGE(OFFSET($H$3,0,0,'Données projet'!$E$14+1,1))</f>
        <v>338.33525241236157</v>
      </c>
      <c r="DU78" s="62">
        <f t="shared" si="98"/>
        <v>373.47257029791717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179.66251511221625</v>
      </c>
      <c r="EB78" s="23">
        <f>EXP(-LN(2)/25)*EB77+(1-EXP(-LN(2)/25))/(LN(2)/25)*Calculateur!DW78*Calculateur!DY78*VLOOKUP('Données projet'!$B$14,Paramètres!$A$1:$I$89,3,0)*0.475*44/12</f>
        <v>28.037381624961355</v>
      </c>
      <c r="EC78" s="23">
        <f>EXP(-LN(2)/2)*EC77+(1-EXP(-LN(2)/2))/(LN(2)/2)*DW78*DZ78*VLOOKUP('Données projet'!$B$14,Paramètres!$A$1:$I$89,3,0)*0.475*44/12</f>
        <v>8.1638539258074128E-2</v>
      </c>
      <c r="ED78" s="24">
        <f t="shared" si="72"/>
        <v>207.78153527643568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-2.8421709430404007E-14</v>
      </c>
      <c r="EK78" s="18">
        <f>EJ78*VLOOKUP('Données projet'!$B$15,Paramètres!$A$1:$I$89,3,0)*VLOOKUP('Données projet'!$B$15,Paramètres!$A$1:$I$89,5,0)</f>
        <v>-2.2168933355715127E-14</v>
      </c>
      <c r="EL78" s="14" t="e">
        <f t="shared" si="99"/>
        <v>#NUM!</v>
      </c>
      <c r="EM78" s="22" t="e">
        <f t="shared" si="73"/>
        <v>#NUM!</v>
      </c>
      <c r="EN78" s="62" t="e">
        <f t="shared" si="74"/>
        <v>#NUM!</v>
      </c>
      <c r="EO78" s="62">
        <f ca="1">AVERAGE(OFFSET($EN$3,0,0,'Données projet'!$E$15+1,1))-AVERAGE(OFFSET($H$3,0,0,'Données projet'!$E$15+1,1))</f>
        <v>144.92790055195192</v>
      </c>
      <c r="EP78" s="62">
        <f t="shared" si="100"/>
        <v>151.00642748754026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45.214259978465002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45.214259978465002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-1.7053025658242404E-13</v>
      </c>
      <c r="O79" s="14">
        <f>N79*VLOOKUP('Données projet'!$B$9,Paramètres!$A$1:$I$89,3,0)*VLOOKUP('Données projet'!$B$9,Paramètres!$A$1:$I$89,5,0)</f>
        <v>-1.383341441396624E-13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259.10606516000064</v>
      </c>
      <c r="T79" s="62">
        <f t="shared" si="88"/>
        <v>316.57989180609252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74.413779028084889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74.413779028084889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186.83226999296298</v>
      </c>
      <c r="AO79" s="62">
        <f t="shared" si="90"/>
        <v>232.70925470547317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89.057483159186518</v>
      </c>
      <c r="AV79" s="23">
        <f>EXP(-LN(2)/25)*AV78+(1-EXP(-LN(2)/25))/(LN(2)/25)*Calculateur!AQ79*Calculateur!AS79*VLOOKUP('Données projet'!$B$10,Paramètres!$A$1:$I$89,3,0)*0.475*44/12</f>
        <v>8.5941080493187005</v>
      </c>
      <c r="AW79" s="23">
        <f>EXP(-LN(2)/2)*AW78+(1-EXP(-LN(2)/2))/(LN(2)/2)*AQ79*AT79*VLOOKUP('Données projet'!$B$10,Paramètres!$A$1:$I$89,3,0)*0.475*44/12</f>
        <v>2.9332994118318467E-2</v>
      </c>
      <c r="AX79" s="23">
        <f t="shared" si="60"/>
        <v>97.680924202623544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263.47776000000005</v>
      </c>
      <c r="BF79" s="14">
        <f t="shared" si="91"/>
        <v>63.46312159763346</v>
      </c>
      <c r="BG79" s="22">
        <f t="shared" si="61"/>
        <v>569.42203544921165</v>
      </c>
      <c r="BH79" s="62">
        <f t="shared" si="62"/>
        <v>838.51161983006114</v>
      </c>
      <c r="BI79" s="62">
        <f ca="1">AVERAGE(OFFSET($BH$3,0,0,'Données projet'!$E$11+1,1))-AVERAGE(OFFSET($H$3,0,0,'Données projet'!$E$11+1,1))</f>
        <v>435.70500547084868</v>
      </c>
      <c r="BJ79" s="62">
        <f t="shared" si="92"/>
        <v>297.32483725004136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32.430385501556053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32.430385501556053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331.61856000000006</v>
      </c>
      <c r="CA79" s="14">
        <f t="shared" si="93"/>
        <v>77.765780339320969</v>
      </c>
      <c r="CB79" s="22">
        <f t="shared" si="64"/>
        <v>713.01105942431741</v>
      </c>
      <c r="CC79" s="62">
        <f t="shared" si="65"/>
        <v>982.10064380516678</v>
      </c>
      <c r="CD79" s="62">
        <f ca="1">AVERAGE(OFFSET($CC$3,0,0,'Données projet'!$E$12+1,1))-AVERAGE(OFFSET($H$3,0,0,'Données projet'!$E$12+1,1))</f>
        <v>530.15080507516973</v>
      </c>
      <c r="CE79" s="62">
        <f t="shared" si="94"/>
        <v>358.10331902702217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40.817554165751588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40.817554165751588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-5.6843418860808015E-14</v>
      </c>
      <c r="CU79" s="18">
        <f>CT79*VLOOKUP('Données projet'!$B$13,Paramètres!$A$1:$I$89,3,0)*VLOOKUP('Données projet'!$B$13,Paramètres!$A$1:$I$89,5,0)</f>
        <v>-4.8771653382573282E-14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182.98212193167009</v>
      </c>
      <c r="CZ79" s="62">
        <f t="shared" si="96"/>
        <v>195.9200038944301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80.058720749814384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80.058720749814384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2.2737367544323206E-13</v>
      </c>
      <c r="DP79" s="18">
        <f>DO79*VLOOKUP('Données projet'!$B$14,Paramètres!$A$1:$I$89,3,0)*VLOOKUP('Données projet'!$B$14,Paramètres!$A$1:$I$89,5,0)</f>
        <v>1.0049916454590858E-13</v>
      </c>
      <c r="DQ79" s="14">
        <f t="shared" si="97"/>
        <v>1.5089081593838289E-12</v>
      </c>
      <c r="DR79" s="22">
        <f t="shared" si="70"/>
        <v>2.8030510891776262E-12</v>
      </c>
      <c r="DS79" s="62">
        <f t="shared" si="71"/>
        <v>269.08958438085222</v>
      </c>
      <c r="DT79" s="62">
        <f ca="1">AVERAGE(OFFSET($DS$3,0,0,'Données projet'!$E$14+1,1))-AVERAGE(OFFSET($H$3,0,0,'Données projet'!$E$14+1,1))</f>
        <v>338.33525241236157</v>
      </c>
      <c r="DU79" s="62">
        <f t="shared" si="98"/>
        <v>373.47257029791717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176.13944277417946</v>
      </c>
      <c r="EB79" s="23">
        <f>EXP(-LN(2)/25)*EB78+(1-EXP(-LN(2)/25))/(LN(2)/25)*Calculateur!DW79*Calculateur!DY79*VLOOKUP('Données projet'!$B$14,Paramètres!$A$1:$I$89,3,0)*0.475*44/12</f>
        <v>27.270697950004969</v>
      </c>
      <c r="EC79" s="23">
        <f>EXP(-LN(2)/2)*EC78+(1-EXP(-LN(2)/2))/(LN(2)/2)*DW79*DZ79*VLOOKUP('Données projet'!$B$14,Paramètres!$A$1:$I$89,3,0)*0.475*44/12</f>
        <v>5.7727164715548396E-2</v>
      </c>
      <c r="ED79" s="24">
        <f t="shared" si="72"/>
        <v>203.46786788889997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-2.8421709430404007E-14</v>
      </c>
      <c r="EK79" s="18">
        <f>EJ79*VLOOKUP('Données projet'!$B$15,Paramètres!$A$1:$I$89,3,0)*VLOOKUP('Données projet'!$B$15,Paramètres!$A$1:$I$89,5,0)</f>
        <v>-2.2168933355715127E-14</v>
      </c>
      <c r="EL79" s="14" t="e">
        <f t="shared" si="99"/>
        <v>#NUM!</v>
      </c>
      <c r="EM79" s="22" t="e">
        <f t="shared" si="73"/>
        <v>#NUM!</v>
      </c>
      <c r="EN79" s="62" t="e">
        <f t="shared" si="74"/>
        <v>#NUM!</v>
      </c>
      <c r="EO79" s="62">
        <f ca="1">AVERAGE(OFFSET($EN$3,0,0,'Données projet'!$E$15+1,1))-AVERAGE(OFFSET($H$3,0,0,'Données projet'!$E$15+1,1))</f>
        <v>144.92790055195192</v>
      </c>
      <c r="EP79" s="62">
        <f t="shared" si="100"/>
        <v>151.00642748754026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44.327635918262793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44.327635918262793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-1.7053025658242404E-13</v>
      </c>
      <c r="O80" s="14">
        <f>N80*VLOOKUP('Données projet'!$B$9,Paramètres!$A$1:$I$89,3,0)*VLOOKUP('Données projet'!$B$9,Paramètres!$A$1:$I$89,5,0)</f>
        <v>-1.383341441396624E-13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259.10606516000064</v>
      </c>
      <c r="T80" s="62">
        <f t="shared" si="88"/>
        <v>316.57989180609252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72.954570209267672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72.954570209267672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186.83226999296298</v>
      </c>
      <c r="AO80" s="62">
        <f t="shared" si="90"/>
        <v>232.70925470547317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87.31112023413597</v>
      </c>
      <c r="AV80" s="23">
        <f>EXP(-LN(2)/25)*AV79+(1-EXP(-LN(2)/25))/(LN(2)/25)*Calculateur!AQ80*Calculateur!AS80*VLOOKUP('Données projet'!$B$10,Paramètres!$A$1:$I$89,3,0)*0.475*44/12</f>
        <v>8.3591017127655807</v>
      </c>
      <c r="AW80" s="23">
        <f>EXP(-LN(2)/2)*AW79+(1-EXP(-LN(2)/2))/(LN(2)/2)*AQ80*AT80*VLOOKUP('Données projet'!$B$10,Paramètres!$A$1:$I$89,3,0)*0.475*44/12</f>
        <v>2.0741559053568105E-2</v>
      </c>
      <c r="AX80" s="23">
        <f t="shared" si="60"/>
        <v>95.690963505955111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269.99232000000001</v>
      </c>
      <c r="BF80" s="14">
        <f t="shared" si="91"/>
        <v>64.847639395310296</v>
      </c>
      <c r="BG80" s="22">
        <f t="shared" si="61"/>
        <v>583.17959594683214</v>
      </c>
      <c r="BH80" s="62">
        <f t="shared" si="62"/>
        <v>852.68975517110448</v>
      </c>
      <c r="BI80" s="62">
        <f ca="1">AVERAGE(OFFSET($BH$3,0,0,'Données projet'!$E$11+1,1))-AVERAGE(OFFSET($H$3,0,0,'Données projet'!$E$11+1,1))</f>
        <v>435.70500547084868</v>
      </c>
      <c r="BJ80" s="62">
        <f t="shared" si="92"/>
        <v>297.32483725004136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31.794445422452526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31.794445422452526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339.81792000000007</v>
      </c>
      <c r="CA80" s="14">
        <f t="shared" si="93"/>
        <v>79.462326368251695</v>
      </c>
      <c r="CB80" s="22">
        <f t="shared" si="64"/>
        <v>730.24642909137185</v>
      </c>
      <c r="CC80" s="62">
        <f t="shared" si="65"/>
        <v>999.75658831564419</v>
      </c>
      <c r="CD80" s="62">
        <f ca="1">AVERAGE(OFFSET($CC$3,0,0,'Données projet'!$E$12+1,1))-AVERAGE(OFFSET($H$3,0,0,'Données projet'!$E$12+1,1))</f>
        <v>530.15080507516973</v>
      </c>
      <c r="CE80" s="62">
        <f t="shared" si="94"/>
        <v>358.10331902702217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40.017146824810943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40.017146824810943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-5.6843418860808015E-14</v>
      </c>
      <c r="CU80" s="18">
        <f>CT80*VLOOKUP('Données projet'!$B$13,Paramètres!$A$1:$I$89,3,0)*VLOOKUP('Données projet'!$B$13,Paramètres!$A$1:$I$89,5,0)</f>
        <v>-4.8771653382573282E-14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182.98212193167009</v>
      </c>
      <c r="CZ80" s="62">
        <f t="shared" si="96"/>
        <v>195.9200038944301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78.488818066908522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78.488818066908522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2.2737367544323206E-13</v>
      </c>
      <c r="DP80" s="18">
        <f>DO80*VLOOKUP('Données projet'!$B$14,Paramètres!$A$1:$I$89,3,0)*VLOOKUP('Données projet'!$B$14,Paramètres!$A$1:$I$89,5,0)</f>
        <v>1.0049916454590858E-13</v>
      </c>
      <c r="DQ80" s="14">
        <f t="shared" si="97"/>
        <v>1.5089081593838289E-12</v>
      </c>
      <c r="DR80" s="22">
        <f t="shared" si="70"/>
        <v>2.8030510891776262E-12</v>
      </c>
      <c r="DS80" s="62">
        <f t="shared" si="71"/>
        <v>269.51015922427507</v>
      </c>
      <c r="DT80" s="62">
        <f ca="1">AVERAGE(OFFSET($DS$3,0,0,'Données projet'!$E$14+1,1))-AVERAGE(OFFSET($H$3,0,0,'Données projet'!$E$14+1,1))</f>
        <v>338.33525241236157</v>
      </c>
      <c r="DU80" s="62">
        <f t="shared" si="98"/>
        <v>373.47257029791717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172.68545573582961</v>
      </c>
      <c r="EB80" s="23">
        <f>EXP(-LN(2)/25)*EB79+(1-EXP(-LN(2)/25))/(LN(2)/25)*Calculateur!DW80*Calculateur!DY80*VLOOKUP('Données projet'!$B$14,Paramètres!$A$1:$I$89,3,0)*0.475*44/12</f>
        <v>26.524979280458407</v>
      </c>
      <c r="EC80" s="23">
        <f>EXP(-LN(2)/2)*EC79+(1-EXP(-LN(2)/2))/(LN(2)/2)*DW80*DZ80*VLOOKUP('Données projet'!$B$14,Paramètres!$A$1:$I$89,3,0)*0.475*44/12</f>
        <v>4.0819269629037071E-2</v>
      </c>
      <c r="ED80" s="24">
        <f t="shared" si="72"/>
        <v>199.25125428591704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-2.8421709430404007E-14</v>
      </c>
      <c r="EK80" s="18">
        <f>EJ80*VLOOKUP('Données projet'!$B$15,Paramètres!$A$1:$I$89,3,0)*VLOOKUP('Données projet'!$B$15,Paramètres!$A$1:$I$89,5,0)</f>
        <v>-2.2168933355715127E-14</v>
      </c>
      <c r="EL80" s="14" t="e">
        <f t="shared" si="99"/>
        <v>#NUM!</v>
      </c>
      <c r="EM80" s="22" t="e">
        <f t="shared" si="73"/>
        <v>#NUM!</v>
      </c>
      <c r="EN80" s="62" t="e">
        <f t="shared" si="74"/>
        <v>#NUM!</v>
      </c>
      <c r="EO80" s="62">
        <f ca="1">AVERAGE(OFFSET($EN$3,0,0,'Données projet'!$E$15+1,1))-AVERAGE(OFFSET($H$3,0,0,'Données projet'!$E$15+1,1))</f>
        <v>144.92790055195192</v>
      </c>
      <c r="EP80" s="62">
        <f t="shared" si="100"/>
        <v>151.00642748754026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43.45839801509387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43.45839801509387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-1.7053025658242404E-13</v>
      </c>
      <c r="O81" s="14">
        <f>N81*VLOOKUP('Données projet'!$B$9,Paramètres!$A$1:$I$89,3,0)*VLOOKUP('Données projet'!$B$9,Paramètres!$A$1:$I$89,5,0)</f>
        <v>-1.383341441396624E-13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259.10606516000064</v>
      </c>
      <c r="T81" s="62">
        <f t="shared" si="88"/>
        <v>316.57989180609252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71.52397558535796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71.52397558535796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186.83226999296298</v>
      </c>
      <c r="AO81" s="62">
        <f t="shared" si="90"/>
        <v>232.70925470547317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85.599002420869454</v>
      </c>
      <c r="AV81" s="23">
        <f>EXP(-LN(2)/25)*AV80+(1-EXP(-LN(2)/25))/(LN(2)/25)*Calculateur!AQ81*Calculateur!AS81*VLOOKUP('Données projet'!$B$10,Paramètres!$A$1:$I$89,3,0)*0.475*44/12</f>
        <v>8.1305216368439517</v>
      </c>
      <c r="AW81" s="23">
        <f>EXP(-LN(2)/2)*AW80+(1-EXP(-LN(2)/2))/(LN(2)/2)*AQ81*AT81*VLOOKUP('Données projet'!$B$10,Paramètres!$A$1:$I$89,3,0)*0.475*44/12</f>
        <v>1.4666497059159237E-2</v>
      </c>
      <c r="AX81" s="23">
        <f t="shared" si="60"/>
        <v>93.744190554772558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276.50687999999997</v>
      </c>
      <c r="BF81" s="14">
        <f t="shared" si="91"/>
        <v>66.228273722513677</v>
      </c>
      <c r="BG81" s="22">
        <f t="shared" si="61"/>
        <v>596.93039273337797</v>
      </c>
      <c r="BH81" s="62">
        <f t="shared" si="62"/>
        <v>866.8538307678042</v>
      </c>
      <c r="BI81" s="62">
        <f ca="1">AVERAGE(OFFSET($BH$3,0,0,'Données projet'!$E$11+1,1))-AVERAGE(OFFSET($H$3,0,0,'Données projet'!$E$11+1,1))</f>
        <v>435.70500547084868</v>
      </c>
      <c r="BJ81" s="62">
        <f t="shared" si="92"/>
        <v>297.32483725004136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31.17097574041507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31.17097574041507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348.01728000000003</v>
      </c>
      <c r="CA81" s="14">
        <f t="shared" si="93"/>
        <v>81.154113710496574</v>
      </c>
      <c r="CB81" s="22">
        <f t="shared" si="64"/>
        <v>747.47351071244827</v>
      </c>
      <c r="CC81" s="62">
        <f t="shared" si="65"/>
        <v>1017.3969487468745</v>
      </c>
      <c r="CD81" s="62">
        <f ca="1">AVERAGE(OFFSET($CC$3,0,0,'Données projet'!$E$12+1,1))-AVERAGE(OFFSET($H$3,0,0,'Données projet'!$E$12+1,1))</f>
        <v>530.15080507516973</v>
      </c>
      <c r="CE81" s="62">
        <f t="shared" si="94"/>
        <v>358.10331902702217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39.232434983625872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39.232434983625872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-5.6843418860808015E-14</v>
      </c>
      <c r="CU81" s="18">
        <f>CT81*VLOOKUP('Données projet'!$B$13,Paramètres!$A$1:$I$89,3,0)*VLOOKUP('Données projet'!$B$13,Paramètres!$A$1:$I$89,5,0)</f>
        <v>-4.8771653382573282E-14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182.98212193167009</v>
      </c>
      <c r="CZ81" s="62">
        <f t="shared" si="96"/>
        <v>195.9200038944301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76.949700218068358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76.949700218068358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2.2737367544323206E-13</v>
      </c>
      <c r="DP81" s="18">
        <f>DO81*VLOOKUP('Données projet'!$B$14,Paramètres!$A$1:$I$89,3,0)*VLOOKUP('Données projet'!$B$14,Paramètres!$A$1:$I$89,5,0)</f>
        <v>1.0049916454590858E-13</v>
      </c>
      <c r="DQ81" s="14">
        <f t="shared" si="97"/>
        <v>1.5089081593838289E-12</v>
      </c>
      <c r="DR81" s="22">
        <f t="shared" si="70"/>
        <v>2.8030510891776262E-12</v>
      </c>
      <c r="DS81" s="62">
        <f t="shared" si="71"/>
        <v>269.92343803442901</v>
      </c>
      <c r="DT81" s="62">
        <f ca="1">AVERAGE(OFFSET($DS$3,0,0,'Données projet'!$E$14+1,1))-AVERAGE(OFFSET($H$3,0,0,'Données projet'!$E$14+1,1))</f>
        <v>338.33525241236157</v>
      </c>
      <c r="DU81" s="62">
        <f t="shared" si="98"/>
        <v>373.47257029791717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169.29919927657772</v>
      </c>
      <c r="EB81" s="23">
        <f>EXP(-LN(2)/25)*EB80+(1-EXP(-LN(2)/25))/(LN(2)/25)*Calculateur!DW81*Calculateur!DY81*VLOOKUP('Données projet'!$B$14,Paramètres!$A$1:$I$89,3,0)*0.475*44/12</f>
        <v>25.799652327146234</v>
      </c>
      <c r="EC81" s="23">
        <f>EXP(-LN(2)/2)*EC80+(1-EXP(-LN(2)/2))/(LN(2)/2)*DW81*DZ81*VLOOKUP('Données projet'!$B$14,Paramètres!$A$1:$I$89,3,0)*0.475*44/12</f>
        <v>2.8863582357774201E-2</v>
      </c>
      <c r="ED81" s="24">
        <f t="shared" si="72"/>
        <v>195.12771518608176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-2.8421709430404007E-14</v>
      </c>
      <c r="EK81" s="18">
        <f>EJ81*VLOOKUP('Données projet'!$B$15,Paramètres!$A$1:$I$89,3,0)*VLOOKUP('Données projet'!$B$15,Paramètres!$A$1:$I$89,5,0)</f>
        <v>-2.2168933355715127E-14</v>
      </c>
      <c r="EL81" s="14" t="e">
        <f t="shared" si="99"/>
        <v>#NUM!</v>
      </c>
      <c r="EM81" s="22" t="e">
        <f t="shared" si="73"/>
        <v>#NUM!</v>
      </c>
      <c r="EN81" s="62" t="e">
        <f t="shared" si="74"/>
        <v>#NUM!</v>
      </c>
      <c r="EO81" s="62">
        <f ca="1">AVERAGE(OFFSET($EN$3,0,0,'Données projet'!$E$15+1,1))-AVERAGE(OFFSET($H$3,0,0,'Données projet'!$E$15+1,1))</f>
        <v>144.92790055195192</v>
      </c>
      <c r="EP81" s="62">
        <f t="shared" si="100"/>
        <v>151.00642748754026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42.606205337023319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42.606205337023319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-1.7053025658242404E-13</v>
      </c>
      <c r="O82" s="14">
        <f>N82*VLOOKUP('Données projet'!$B$9,Paramètres!$A$1:$I$89,3,0)*VLOOKUP('Données projet'!$B$9,Paramètres!$A$1:$I$89,5,0)</f>
        <v>-1.383341441396624E-13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259.10606516000064</v>
      </c>
      <c r="T82" s="62">
        <f t="shared" si="88"/>
        <v>316.57989180609252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70.121434049446549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70.121434049446549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186.83226999296298</v>
      </c>
      <c r="AO82" s="62">
        <f t="shared" si="90"/>
        <v>232.70925470547317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83.920458193632342</v>
      </c>
      <c r="AV82" s="23">
        <f>EXP(-LN(2)/25)*AV81+(1-EXP(-LN(2)/25))/(LN(2)/25)*Calculateur!AQ82*Calculateur!AS82*VLOOKUP('Données projet'!$B$10,Paramètres!$A$1:$I$89,3,0)*0.475*44/12</f>
        <v>7.9081920951189035</v>
      </c>
      <c r="AW82" s="23">
        <f>EXP(-LN(2)/2)*AW81+(1-EXP(-LN(2)/2))/(LN(2)/2)*AQ82*AT82*VLOOKUP('Données projet'!$B$10,Paramètres!$A$1:$I$89,3,0)*0.475*44/12</f>
        <v>1.0370779526784054E-2</v>
      </c>
      <c r="AX82" s="23">
        <f t="shared" si="60"/>
        <v>91.839021068278029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283.02144000000004</v>
      </c>
      <c r="BF82" s="14">
        <f t="shared" si="91"/>
        <v>67.605126603830598</v>
      </c>
      <c r="BG82" s="22">
        <f t="shared" si="61"/>
        <v>610.67460350167164</v>
      </c>
      <c r="BH82" s="62">
        <f t="shared" si="62"/>
        <v>881.00415088284853</v>
      </c>
      <c r="BI82" s="62">
        <f ca="1">AVERAGE(OFFSET($BH$3,0,0,'Données projet'!$E$11+1,1))-AVERAGE(OFFSET($H$3,0,0,'Données projet'!$E$11+1,1))</f>
        <v>435.70500547084868</v>
      </c>
      <c r="BJ82" s="62">
        <f t="shared" si="92"/>
        <v>297.32483725004136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30.559731918563411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30.559731918563411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356.21663999999998</v>
      </c>
      <c r="CA82" s="14">
        <f t="shared" si="93"/>
        <v>82.841267383883647</v>
      </c>
      <c r="CB82" s="22">
        <f t="shared" si="64"/>
        <v>764.69252202693053</v>
      </c>
      <c r="CC82" s="62">
        <f t="shared" si="65"/>
        <v>1035.0220694081074</v>
      </c>
      <c r="CD82" s="62">
        <f ca="1">AVERAGE(OFFSET($CC$3,0,0,'Données projet'!$E$12+1,1))-AVERAGE(OFFSET($H$3,0,0,'Données projet'!$E$12+1,1))</f>
        <v>530.15080507516973</v>
      </c>
      <c r="CE82" s="62">
        <f t="shared" si="94"/>
        <v>358.10331902702217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38.463110863019473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38.463110863019473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-5.6843418860808015E-14</v>
      </c>
      <c r="CU82" s="18">
        <f>CT82*VLOOKUP('Données projet'!$B$13,Paramètres!$A$1:$I$89,3,0)*VLOOKUP('Données projet'!$B$13,Paramètres!$A$1:$I$89,5,0)</f>
        <v>-4.8771653382573282E-14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182.98212193167009</v>
      </c>
      <c r="CZ82" s="62">
        <f t="shared" si="96"/>
        <v>195.9200038944301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75.440763531474758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75.440763531474758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2.2737367544323206E-13</v>
      </c>
      <c r="DP82" s="18">
        <f>DO82*VLOOKUP('Données projet'!$B$14,Paramètres!$A$1:$I$89,3,0)*VLOOKUP('Données projet'!$B$14,Paramètres!$A$1:$I$89,5,0)</f>
        <v>1.0049916454590858E-13</v>
      </c>
      <c r="DQ82" s="14">
        <f t="shared" si="97"/>
        <v>1.5089081593838289E-12</v>
      </c>
      <c r="DR82" s="22">
        <f t="shared" si="70"/>
        <v>2.8030510891776262E-12</v>
      </c>
      <c r="DS82" s="62">
        <f t="shared" si="71"/>
        <v>270.32954738117974</v>
      </c>
      <c r="DT82" s="62">
        <f ca="1">AVERAGE(OFFSET($DS$3,0,0,'Données projet'!$E$14+1,1))-AVERAGE(OFFSET($H$3,0,0,'Données projet'!$E$14+1,1))</f>
        <v>338.33525241236157</v>
      </c>
      <c r="DU82" s="62">
        <f t="shared" si="98"/>
        <v>373.47257029791717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165.9793452410793</v>
      </c>
      <c r="EB82" s="23">
        <f>EXP(-LN(2)/25)*EB81+(1-EXP(-LN(2)/25))/(LN(2)/25)*Calculateur!DW82*Calculateur!DY82*VLOOKUP('Données projet'!$B$14,Paramètres!$A$1:$I$89,3,0)*0.475*44/12</f>
        <v>25.094159477515671</v>
      </c>
      <c r="EC82" s="23">
        <f>EXP(-LN(2)/2)*EC81+(1-EXP(-LN(2)/2))/(LN(2)/2)*DW82*DZ82*VLOOKUP('Données projet'!$B$14,Paramètres!$A$1:$I$89,3,0)*0.475*44/12</f>
        <v>2.0409634814518535E-2</v>
      </c>
      <c r="ED82" s="24">
        <f t="shared" si="72"/>
        <v>191.09391435340947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-2.8421709430404007E-14</v>
      </c>
      <c r="EK82" s="18">
        <f>EJ82*VLOOKUP('Données projet'!$B$15,Paramètres!$A$1:$I$89,3,0)*VLOOKUP('Données projet'!$B$15,Paramètres!$A$1:$I$89,5,0)</f>
        <v>-2.2168933355715127E-14</v>
      </c>
      <c r="EL82" s="14" t="e">
        <f t="shared" si="99"/>
        <v>#NUM!</v>
      </c>
      <c r="EM82" s="22" t="e">
        <f t="shared" si="73"/>
        <v>#NUM!</v>
      </c>
      <c r="EN82" s="62" t="e">
        <f t="shared" si="74"/>
        <v>#NUM!</v>
      </c>
      <c r="EO82" s="62">
        <f ca="1">AVERAGE(OFFSET($EN$3,0,0,'Données projet'!$E$15+1,1))-AVERAGE(OFFSET($H$3,0,0,'Données projet'!$E$15+1,1))</f>
        <v>144.92790055195192</v>
      </c>
      <c r="EP82" s="62">
        <f t="shared" si="100"/>
        <v>151.00642748754026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41.770723637583522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41.770723637583522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-1.7053025658242404E-13</v>
      </c>
      <c r="O83" s="14">
        <f>N83*VLOOKUP('Données projet'!$B$9,Paramètres!$A$1:$I$89,3,0)*VLOOKUP('Données projet'!$B$9,Paramètres!$A$1:$I$89,5,0)</f>
        <v>-1.383341441396624E-13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259.10606516000064</v>
      </c>
      <c r="T83" s="62">
        <f t="shared" si="88"/>
        <v>316.57989180609252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68.746395497588495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68.746395497588495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186.83226999296298</v>
      </c>
      <c r="AO83" s="62">
        <f t="shared" si="90"/>
        <v>232.70925470547317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82.274829194880468</v>
      </c>
      <c r="AV83" s="23">
        <f>EXP(-LN(2)/25)*AV82+(1-EXP(-LN(2)/25))/(LN(2)/25)*Calculateur!AQ83*Calculateur!AS83*VLOOKUP('Données projet'!$B$10,Paramètres!$A$1:$I$89,3,0)*0.475*44/12</f>
        <v>7.6919421664041296</v>
      </c>
      <c r="AW83" s="23">
        <f>EXP(-LN(2)/2)*AW82+(1-EXP(-LN(2)/2))/(LN(2)/2)*AQ83*AT83*VLOOKUP('Données projet'!$B$10,Paramètres!$A$1:$I$89,3,0)*0.475*44/12</f>
        <v>7.3332485295796194E-3</v>
      </c>
      <c r="AX83" s="23">
        <f t="shared" si="60"/>
        <v>89.974104609814177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289.536</v>
      </c>
      <c r="BF83" s="14">
        <f t="shared" si="91"/>
        <v>68.97829509904436</v>
      </c>
      <c r="BG83" s="22">
        <f t="shared" si="61"/>
        <v>624.41239729750225</v>
      </c>
      <c r="BH83" s="62">
        <f t="shared" si="62"/>
        <v>895.14100893618843</v>
      </c>
      <c r="BI83" s="62">
        <f ca="1">AVERAGE(OFFSET($BH$3,0,0,'Données projet'!$E$11+1,1))-AVERAGE(OFFSET($H$3,0,0,'Données projet'!$E$11+1,1))</f>
        <v>435.70500547084868</v>
      </c>
      <c r="BJ83" s="62">
        <f t="shared" si="92"/>
        <v>297.32483725004136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28</v>
      </c>
      <c r="BM83" s="17">
        <f>IF(ISNA(VLOOKUP(A83,'Données projet'!$A$87:$I$107,5,0)),0%,VLOOKUP(A83,'Données projet'!$A$87:$I$107,5,0)*VLOOKUP('Données projet'!$B$11,Paramètres!$A$1:$I$89,7,0))</f>
        <v>0.34400000000000003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39.59468571667076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39.59468571667076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364.416</v>
      </c>
      <c r="CA83" s="14">
        <f t="shared" si="93"/>
        <v>84.523906322521142</v>
      </c>
      <c r="CB83" s="22">
        <f t="shared" si="64"/>
        <v>781.90367017839083</v>
      </c>
      <c r="CC83" s="62">
        <f t="shared" si="65"/>
        <v>1052.632281817077</v>
      </c>
      <c r="CD83" s="62">
        <f ca="1">AVERAGE(OFFSET($CC$3,0,0,'Données projet'!$E$12+1,1))-AVERAGE(OFFSET($H$3,0,0,'Données projet'!$E$12+1,1))</f>
        <v>530.15080507516973</v>
      </c>
      <c r="CE83" s="62">
        <f t="shared" si="94"/>
        <v>358.10331902702217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28</v>
      </c>
      <c r="CH83" s="17">
        <f>IF(ISNA(VLOOKUP(A83,'Données projet'!$A$113:$I$133,5,0)),0%,VLOOKUP(A83,'Données projet'!$A$113:$I$133,5,0)*VLOOKUP('Données projet'!$B$12,Paramètres!$A$1:$I$89,7,0))</f>
        <v>0.34400000000000003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49.834690643395966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49.834690643395966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-5.6843418860808015E-14</v>
      </c>
      <c r="CU83" s="18">
        <f>CT83*VLOOKUP('Données projet'!$B$13,Paramètres!$A$1:$I$89,3,0)*VLOOKUP('Données projet'!$B$13,Paramètres!$A$1:$I$89,5,0)</f>
        <v>-4.8771653382573282E-14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182.98212193167009</v>
      </c>
      <c r="CZ83" s="62">
        <f t="shared" si="96"/>
        <v>195.9200038944301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73.961416172944752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73.961416172944752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2.2737367544323206E-13</v>
      </c>
      <c r="DP83" s="18">
        <f>DO83*VLOOKUP('Données projet'!$B$14,Paramètres!$A$1:$I$89,3,0)*VLOOKUP('Données projet'!$B$14,Paramètres!$A$1:$I$89,5,0)</f>
        <v>1.0049916454590858E-13</v>
      </c>
      <c r="DQ83" s="14">
        <f t="shared" si="97"/>
        <v>1.5089081593838289E-12</v>
      </c>
      <c r="DR83" s="22">
        <f t="shared" si="70"/>
        <v>2.8030510891776262E-12</v>
      </c>
      <c r="DS83" s="62">
        <f t="shared" si="71"/>
        <v>270.7286116386889</v>
      </c>
      <c r="DT83" s="62">
        <f ca="1">AVERAGE(OFFSET($DS$3,0,0,'Données projet'!$E$14+1,1))-AVERAGE(OFFSET($H$3,0,0,'Données projet'!$E$14+1,1))</f>
        <v>338.33525241236157</v>
      </c>
      <c r="DU83" s="62">
        <f t="shared" si="98"/>
        <v>373.47257029791717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162.72459151830597</v>
      </c>
      <c r="EB83" s="23">
        <f>EXP(-LN(2)/25)*EB82+(1-EXP(-LN(2)/25))/(LN(2)/25)*Calculateur!DW83*Calculateur!DY83*VLOOKUP('Données projet'!$B$14,Paramètres!$A$1:$I$89,3,0)*0.475*44/12</f>
        <v>24.407958366958511</v>
      </c>
      <c r="EC83" s="23">
        <f>EXP(-LN(2)/2)*EC82+(1-EXP(-LN(2)/2))/(LN(2)/2)*DW83*DZ83*VLOOKUP('Données projet'!$B$14,Paramètres!$A$1:$I$89,3,0)*0.475*44/12</f>
        <v>1.4431791178887101E-2</v>
      </c>
      <c r="ED83" s="24">
        <f t="shared" si="72"/>
        <v>187.14698167644337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-2.8421709430404007E-14</v>
      </c>
      <c r="EK83" s="18">
        <f>EJ83*VLOOKUP('Données projet'!$B$15,Paramètres!$A$1:$I$89,3,0)*VLOOKUP('Données projet'!$B$15,Paramètres!$A$1:$I$89,5,0)</f>
        <v>-2.2168933355715127E-14</v>
      </c>
      <c r="EL83" s="14" t="e">
        <f t="shared" si="99"/>
        <v>#NUM!</v>
      </c>
      <c r="EM83" s="22" t="e">
        <f t="shared" si="73"/>
        <v>#NUM!</v>
      </c>
      <c r="EN83" s="62" t="e">
        <f t="shared" si="74"/>
        <v>#NUM!</v>
      </c>
      <c r="EO83" s="62">
        <f ca="1">AVERAGE(OFFSET($EN$3,0,0,'Données projet'!$E$15+1,1))-AVERAGE(OFFSET($H$3,0,0,'Données projet'!$E$15+1,1))</f>
        <v>144.92790055195192</v>
      </c>
      <c r="EP83" s="62">
        <f t="shared" si="100"/>
        <v>151.00642748754026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40.951625224676221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40.951625224676221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-1.7053025658242404E-13</v>
      </c>
      <c r="O84" s="14">
        <f>N84*VLOOKUP('Données projet'!$B$9,Paramètres!$A$1:$I$89,3,0)*VLOOKUP('Données projet'!$B$9,Paramètres!$A$1:$I$89,5,0)</f>
        <v>-1.383341441396624E-13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259.10606516000064</v>
      </c>
      <c r="T84" s="62">
        <f t="shared" si="88"/>
        <v>316.57989180609252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67.398320613041676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67.398320613041676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186.83226999296298</v>
      </c>
      <c r="AO84" s="62">
        <f t="shared" si="90"/>
        <v>232.70925470547317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80.661469977059539</v>
      </c>
      <c r="AV84" s="23">
        <f>EXP(-LN(2)/25)*AV83+(1-EXP(-LN(2)/25))/(LN(2)/25)*Calculateur!AQ84*Calculateur!AS84*VLOOKUP('Données projet'!$B$10,Paramètres!$A$1:$I$89,3,0)*0.475*44/12</f>
        <v>7.4816056033621505</v>
      </c>
      <c r="AW84" s="23">
        <f>EXP(-LN(2)/2)*AW83+(1-EXP(-LN(2)/2))/(LN(2)/2)*AQ84*AT84*VLOOKUP('Données projet'!$B$10,Paramètres!$A$1:$I$89,3,0)*0.475*44/12</f>
        <v>5.1853897633920279E-3</v>
      </c>
      <c r="AX84" s="23">
        <f t="shared" si="60"/>
        <v>88.148260970185092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6.8</v>
      </c>
      <c r="BD84" s="13">
        <f>IF('Données projet'!$A$88&gt;35,BD83+BC84-BL83,IF(A84&lt;'Données projet'!$A$88,$BA$205^A84,IF(A84='Données projet'!$A$88,'Données projet'!$B$88,BD83+BC84-BL83)))</f>
        <v>298.8</v>
      </c>
      <c r="BE84" s="14">
        <f>BD84*VLOOKUP('Données projet'!$B$11,Paramètres!$A$1:$I$89,3,0)*VLOOKUP('Données projet'!$B$11,Paramètres!$A$1:$I$89,5,0)</f>
        <v>270.35424</v>
      </c>
      <c r="BF84" s="14">
        <f t="shared" si="91"/>
        <v>64.924442218534367</v>
      </c>
      <c r="BG84" s="22">
        <f t="shared" si="61"/>
        <v>583.94370486394735</v>
      </c>
      <c r="BH84" s="62">
        <f t="shared" si="62"/>
        <v>855.06445788744873</v>
      </c>
      <c r="BI84" s="62">
        <f ca="1">AVERAGE(OFFSET($BH$3,0,0,'Données projet'!$E$11+1,1))-AVERAGE(OFFSET($H$3,0,0,'Données projet'!$E$11+1,1))</f>
        <v>435.70500547084868</v>
      </c>
      <c r="BJ84" s="62">
        <f t="shared" si="92"/>
        <v>297.32483725004136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38.818258080140481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38.818258080140481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6.8</v>
      </c>
      <c r="BY84" s="13">
        <f>IF('Données projet'!$A$114&gt;35,BY83+BX84-CG83,IF(A84&lt;'Données projet'!$A$114,$BV$205^A84,IF(A84='Données projet'!$A$114,'Données projet'!$B$114,BY83+BX84-CG83)))</f>
        <v>298.8</v>
      </c>
      <c r="BZ84" s="14">
        <f>BY84*VLOOKUP('Données projet'!$B$12,Paramètres!$A$1:$I$89,3,0)*VLOOKUP('Données projet'!$B$12,Paramètres!$A$1:$I$89,5,0)</f>
        <v>340.27343999999999</v>
      </c>
      <c r="CA84" s="14">
        <f t="shared" si="93"/>
        <v>79.556438213523833</v>
      </c>
      <c r="CB84" s="22">
        <f t="shared" si="64"/>
        <v>731.20370455522072</v>
      </c>
      <c r="CC84" s="62">
        <f t="shared" si="65"/>
        <v>1002.3244575787221</v>
      </c>
      <c r="CD84" s="62">
        <f ca="1">AVERAGE(OFFSET($CC$3,0,0,'Données projet'!$E$12+1,1))-AVERAGE(OFFSET($H$3,0,0,'Données projet'!$E$12+1,1))</f>
        <v>530.15080507516973</v>
      </c>
      <c r="CE84" s="62">
        <f t="shared" si="94"/>
        <v>358.10331902702217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48.857462756038892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48.857462756038892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-5.6843418860808015E-14</v>
      </c>
      <c r="CU84" s="18">
        <f>CT84*VLOOKUP('Données projet'!$B$13,Paramètres!$A$1:$I$89,3,0)*VLOOKUP('Données projet'!$B$13,Paramètres!$A$1:$I$89,5,0)</f>
        <v>-4.8771653382573282E-14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182.98212193167009</v>
      </c>
      <c r="CZ84" s="62">
        <f t="shared" si="96"/>
        <v>195.9200038944301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72.511077913802723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72.511077913802723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2.2737367544323206E-13</v>
      </c>
      <c r="DP84" s="18">
        <f>DO84*VLOOKUP('Données projet'!$B$14,Paramètres!$A$1:$I$89,3,0)*VLOOKUP('Données projet'!$B$14,Paramètres!$A$1:$I$89,5,0)</f>
        <v>1.0049916454590858E-13</v>
      </c>
      <c r="DQ84" s="14">
        <f t="shared" si="97"/>
        <v>1.5089081593838289E-12</v>
      </c>
      <c r="DR84" s="22">
        <f t="shared" si="70"/>
        <v>2.8030510891776262E-12</v>
      </c>
      <c r="DS84" s="62">
        <f t="shared" si="71"/>
        <v>271.12075302350422</v>
      </c>
      <c r="DT84" s="62">
        <f ca="1">AVERAGE(OFFSET($DS$3,0,0,'Données projet'!$E$14+1,1))-AVERAGE(OFFSET($H$3,0,0,'Données projet'!$E$14+1,1))</f>
        <v>338.33525241236157</v>
      </c>
      <c r="DU84" s="62">
        <f t="shared" si="98"/>
        <v>373.47257029791717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159.53366153083249</v>
      </c>
      <c r="EB84" s="23">
        <f>EXP(-LN(2)/25)*EB83+(1-EXP(-LN(2)/25))/(LN(2)/25)*Calculateur!DW84*Calculateur!DY84*VLOOKUP('Données projet'!$B$14,Paramètres!$A$1:$I$89,3,0)*0.475*44/12</f>
        <v>23.740521461855284</v>
      </c>
      <c r="EC84" s="23">
        <f>EXP(-LN(2)/2)*EC83+(1-EXP(-LN(2)/2))/(LN(2)/2)*DW84*DZ84*VLOOKUP('Données projet'!$B$14,Paramètres!$A$1:$I$89,3,0)*0.475*44/12</f>
        <v>1.0204817407259268E-2</v>
      </c>
      <c r="ED84" s="24">
        <f t="shared" si="72"/>
        <v>183.28438781009504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-2.8421709430404007E-14</v>
      </c>
      <c r="EK84" s="18">
        <f>EJ84*VLOOKUP('Données projet'!$B$15,Paramètres!$A$1:$I$89,3,0)*VLOOKUP('Données projet'!$B$15,Paramètres!$A$1:$I$89,5,0)</f>
        <v>-2.2168933355715127E-14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144.92790055195192</v>
      </c>
      <c r="EP84" s="62">
        <f t="shared" si="100"/>
        <v>151.00642748754026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40.148588832045334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40.148588832045334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-1.7053025658242404E-13</v>
      </c>
      <c r="O85" s="14">
        <f>N85*VLOOKUP('Données projet'!$B$9,Paramètres!$A$1:$I$89,3,0)*VLOOKUP('Données projet'!$B$9,Paramètres!$A$1:$I$89,5,0)</f>
        <v>-1.383341441396624E-13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259.10606516000064</v>
      </c>
      <c r="T85" s="62">
        <f t="shared" si="88"/>
        <v>316.57989180609252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66.076680654736336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66.076680654736336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186.83226999296298</v>
      </c>
      <c r="AO85" s="62">
        <f t="shared" si="90"/>
        <v>232.70925470547317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79.079747749448131</v>
      </c>
      <c r="AV85" s="23">
        <f>EXP(-LN(2)/25)*AV84+(1-EXP(-LN(2)/25))/(LN(2)/25)*Calculateur!AQ85*Calculateur!AS85*VLOOKUP('Données projet'!$B$10,Paramètres!$A$1:$I$89,3,0)*0.475*44/12</f>
        <v>7.2770207046976729</v>
      </c>
      <c r="AW85" s="23">
        <f>EXP(-LN(2)/2)*AW84+(1-EXP(-LN(2)/2))/(LN(2)/2)*AQ85*AT85*VLOOKUP('Données projet'!$B$10,Paramètres!$A$1:$I$89,3,0)*0.475*44/12</f>
        <v>3.6666242647898101E-3</v>
      </c>
      <c r="AX85" s="23">
        <f t="shared" si="60"/>
        <v>86.360435078410603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6.8</v>
      </c>
      <c r="BD85" s="13">
        <f>IF('Données projet'!$A$88&gt;35,BD84+BC85-BL84,IF(A85&lt;'Données projet'!$A$88,$BA$205^A85,IF(A85='Données projet'!$A$88,'Données projet'!$B$88,BD84+BC85-BL84)))</f>
        <v>305.60000000000002</v>
      </c>
      <c r="BE85" s="14">
        <f>BD85*VLOOKUP('Données projet'!$B$11,Paramètres!$A$1:$I$89,3,0)*VLOOKUP('Données projet'!$B$11,Paramètres!$A$1:$I$89,5,0)</f>
        <v>276.50687999999997</v>
      </c>
      <c r="BF85" s="14">
        <f t="shared" si="91"/>
        <v>66.228273722513677</v>
      </c>
      <c r="BG85" s="22">
        <f t="shared" si="61"/>
        <v>596.93039273337797</v>
      </c>
      <c r="BH85" s="62">
        <f t="shared" si="62"/>
        <v>868.436484365365</v>
      </c>
      <c r="BI85" s="62">
        <f ca="1">AVERAGE(OFFSET($BH$3,0,0,'Données projet'!$E$11+1,1))-AVERAGE(OFFSET($H$3,0,0,'Données projet'!$E$11+1,1))</f>
        <v>435.70500547084868</v>
      </c>
      <c r="BJ85" s="62">
        <f t="shared" si="92"/>
        <v>297.32483725004136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38.057055715988469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38.057055715988469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6.8</v>
      </c>
      <c r="BY85" s="13">
        <f>IF('Données projet'!$A$114&gt;35,BY84+BX85-CG84,IF(A85&lt;'Données projet'!$A$114,$BV$205^A85,IF(A85='Données projet'!$A$114,'Données projet'!$B$114,BY84+BX85-CG84)))</f>
        <v>305.60000000000002</v>
      </c>
      <c r="BZ85" s="14">
        <f>BY85*VLOOKUP('Données projet'!$B$12,Paramètres!$A$1:$I$89,3,0)*VLOOKUP('Données projet'!$B$12,Paramètres!$A$1:$I$89,5,0)</f>
        <v>348.01728000000003</v>
      </c>
      <c r="CA85" s="14">
        <f t="shared" si="93"/>
        <v>81.154113710496574</v>
      </c>
      <c r="CB85" s="22">
        <f t="shared" si="64"/>
        <v>747.47351071244827</v>
      </c>
      <c r="CC85" s="62">
        <f t="shared" si="65"/>
        <v>1018.9796023444353</v>
      </c>
      <c r="CD85" s="62">
        <f ca="1">AVERAGE(OFFSET($CC$3,0,0,'Données projet'!$E$12+1,1))-AVERAGE(OFFSET($H$3,0,0,'Données projet'!$E$12+1,1))</f>
        <v>530.15080507516973</v>
      </c>
      <c r="CE85" s="62">
        <f t="shared" si="94"/>
        <v>358.10331902702217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47.899397711502736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47.899397711502736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-5.6843418860808015E-14</v>
      </c>
      <c r="CU85" s="18">
        <f>CT85*VLOOKUP('Données projet'!$B$13,Paramètres!$A$1:$I$89,3,0)*VLOOKUP('Données projet'!$B$13,Paramètres!$A$1:$I$89,5,0)</f>
        <v>-4.8771653382573282E-14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182.98212193167009</v>
      </c>
      <c r="CZ85" s="62">
        <f t="shared" si="96"/>
        <v>195.9200038944301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71.089179903303489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71.089179903303489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2.2737367544323206E-13</v>
      </c>
      <c r="DP85" s="18">
        <f>DO85*VLOOKUP('Données projet'!$B$14,Paramètres!$A$1:$I$89,3,0)*VLOOKUP('Données projet'!$B$14,Paramètres!$A$1:$I$89,5,0)</f>
        <v>1.0049916454590858E-13</v>
      </c>
      <c r="DQ85" s="14">
        <f t="shared" si="97"/>
        <v>1.5089081593838289E-12</v>
      </c>
      <c r="DR85" s="22">
        <f t="shared" si="70"/>
        <v>2.8030510891776262E-12</v>
      </c>
      <c r="DS85" s="62">
        <f t="shared" si="71"/>
        <v>271.50609163198982</v>
      </c>
      <c r="DT85" s="62">
        <f ca="1">AVERAGE(OFFSET($DS$3,0,0,'Données projet'!$E$14+1,1))-AVERAGE(OFFSET($H$3,0,0,'Données projet'!$E$14+1,1))</f>
        <v>338.33525241236157</v>
      </c>
      <c r="DU85" s="62">
        <f t="shared" si="98"/>
        <v>373.47257029791717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156.40530373413824</v>
      </c>
      <c r="EB85" s="23">
        <f>EXP(-LN(2)/25)*EB84+(1-EXP(-LN(2)/25))/(LN(2)/25)*Calculateur!DW85*Calculateur!DY85*VLOOKUP('Données projet'!$B$14,Paramètres!$A$1:$I$89,3,0)*0.475*44/12</f>
        <v>23.091335654021087</v>
      </c>
      <c r="EC85" s="23">
        <f>EXP(-LN(2)/2)*EC84+(1-EXP(-LN(2)/2))/(LN(2)/2)*DW85*DZ85*VLOOKUP('Données projet'!$B$14,Paramètres!$A$1:$I$89,3,0)*0.475*44/12</f>
        <v>7.2158955894435503E-3</v>
      </c>
      <c r="ED85" s="24">
        <f t="shared" si="72"/>
        <v>179.50385528374878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-2.8421709430404007E-14</v>
      </c>
      <c r="EK85" s="18">
        <f>EJ85*VLOOKUP('Données projet'!$B$15,Paramètres!$A$1:$I$89,3,0)*VLOOKUP('Données projet'!$B$15,Paramètres!$A$1:$I$89,5,0)</f>
        <v>-2.2168933355715127E-14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144.92790055195192</v>
      </c>
      <c r="EP85" s="62">
        <f t="shared" si="100"/>
        <v>151.00642748754026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39.361299493270103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39.361299493270103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-1.7053025658242404E-13</v>
      </c>
      <c r="O86" s="14">
        <f>N86*VLOOKUP('Données projet'!$B$9,Paramètres!$A$1:$I$89,3,0)*VLOOKUP('Données projet'!$B$9,Paramètres!$A$1:$I$89,5,0)</f>
        <v>-1.383341441396624E-13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259.10606516000064</v>
      </c>
      <c r="T86" s="62">
        <f t="shared" si="88"/>
        <v>316.57989180609252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64.78095724989258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64.78095724989258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186.83226999296298</v>
      </c>
      <c r="AO86" s="62">
        <f t="shared" si="90"/>
        <v>232.70925470547317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77.529042129964878</v>
      </c>
      <c r="AV86" s="23">
        <f>EXP(-LN(2)/25)*AV85+(1-EXP(-LN(2)/25))/(LN(2)/25)*Calculateur!AQ86*Calculateur!AS86*VLOOKUP('Données projet'!$B$10,Paramètres!$A$1:$I$89,3,0)*0.475*44/12</f>
        <v>7.0780301908458281</v>
      </c>
      <c r="AW86" s="23">
        <f>EXP(-LN(2)/2)*AW85+(1-EXP(-LN(2)/2))/(LN(2)/2)*AQ86*AT86*VLOOKUP('Données projet'!$B$10,Paramètres!$A$1:$I$89,3,0)*0.475*44/12</f>
        <v>2.5926948816960144E-3</v>
      </c>
      <c r="AX86" s="23">
        <f t="shared" si="60"/>
        <v>84.6096650156924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6.8</v>
      </c>
      <c r="BD86" s="13">
        <f>IF('Données projet'!$A$88&gt;35,BD85+BC86-BL85,IF(A86&lt;'Données projet'!$A$88,$BA$205^A86,IF(A86='Données projet'!$A$88,'Données projet'!$B$88,BD85+BC86-BL85)))</f>
        <v>312.40000000000003</v>
      </c>
      <c r="BE86" s="14">
        <f>BD86*VLOOKUP('Données projet'!$B$11,Paramètres!$A$1:$I$89,3,0)*VLOOKUP('Données projet'!$B$11,Paramètres!$A$1:$I$89,5,0)</f>
        <v>282.65952000000004</v>
      </c>
      <c r="BF86" s="14">
        <f t="shared" si="91"/>
        <v>67.528732309967324</v>
      </c>
      <c r="BG86" s="22">
        <f t="shared" si="61"/>
        <v>609.91120610652649</v>
      </c>
      <c r="BH86" s="62">
        <f t="shared" si="62"/>
        <v>881.79595158362997</v>
      </c>
      <c r="BI86" s="62">
        <f ca="1">AVERAGE(OFFSET($BH$3,0,0,'Données projet'!$E$11+1,1))-AVERAGE(OFFSET($H$3,0,0,'Données projet'!$E$11+1,1))</f>
        <v>435.70500547084868</v>
      </c>
      <c r="BJ86" s="62">
        <f t="shared" si="92"/>
        <v>297.32483725004136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37.310780065909874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37.310780065909874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6.8</v>
      </c>
      <c r="BY86" s="13">
        <f>IF('Données projet'!$A$114&gt;35,BY85+BX86-CG85,IF(A86&lt;'Données projet'!$A$114,$BV$205^A86,IF(A86='Données projet'!$A$114,'Données projet'!$B$114,BY85+BX86-CG85)))</f>
        <v>312.40000000000003</v>
      </c>
      <c r="BZ86" s="14">
        <f>BY86*VLOOKUP('Données projet'!$B$12,Paramètres!$A$1:$I$89,3,0)*VLOOKUP('Données projet'!$B$12,Paramètres!$A$1:$I$89,5,0)</f>
        <v>355.76112000000006</v>
      </c>
      <c r="CA86" s="14">
        <f t="shared" si="93"/>
        <v>82.747656138073538</v>
      </c>
      <c r="CB86" s="22">
        <f t="shared" si="64"/>
        <v>763.73611844047809</v>
      </c>
      <c r="CC86" s="62">
        <f t="shared" si="65"/>
        <v>1035.6208639175816</v>
      </c>
      <c r="CD86" s="62">
        <f ca="1">AVERAGE(OFFSET($CC$3,0,0,'Données projet'!$E$12+1,1))-AVERAGE(OFFSET($H$3,0,0,'Données projet'!$E$12+1,1))</f>
        <v>530.15080507516973</v>
      </c>
      <c r="CE86" s="62">
        <f t="shared" si="94"/>
        <v>358.10331902702217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46.960119738127958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46.960119738127958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-5.6843418860808015E-14</v>
      </c>
      <c r="CU86" s="18">
        <f>CT86*VLOOKUP('Données projet'!$B$13,Paramètres!$A$1:$I$89,3,0)*VLOOKUP('Données projet'!$B$13,Paramètres!$A$1:$I$89,5,0)</f>
        <v>-4.8771653382573282E-14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182.98212193167009</v>
      </c>
      <c r="CZ86" s="62">
        <f t="shared" si="96"/>
        <v>195.9200038944301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69.695164445517989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69.695164445517989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2.2737367544323206E-13</v>
      </c>
      <c r="DP86" s="18">
        <f>DO86*VLOOKUP('Données projet'!$B$14,Paramètres!$A$1:$I$89,3,0)*VLOOKUP('Données projet'!$B$14,Paramètres!$A$1:$I$89,5,0)</f>
        <v>1.0049916454590858E-13</v>
      </c>
      <c r="DQ86" s="14">
        <f t="shared" si="97"/>
        <v>1.5089081593838289E-12</v>
      </c>
      <c r="DR86" s="22">
        <f t="shared" si="70"/>
        <v>2.8030510891776262E-12</v>
      </c>
      <c r="DS86" s="62">
        <f t="shared" si="71"/>
        <v>271.88474547710626</v>
      </c>
      <c r="DT86" s="62">
        <f ca="1">AVERAGE(OFFSET($DS$3,0,0,'Données projet'!$E$14+1,1))-AVERAGE(OFFSET($H$3,0,0,'Données projet'!$E$14+1,1))</f>
        <v>338.33525241236157</v>
      </c>
      <c r="DU86" s="62">
        <f t="shared" si="98"/>
        <v>373.47257029791717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153.33829112572732</v>
      </c>
      <c r="EB86" s="23">
        <f>EXP(-LN(2)/25)*EB85+(1-EXP(-LN(2)/25))/(LN(2)/25)*Calculateur!DW86*Calculateur!DY86*VLOOKUP('Données projet'!$B$14,Paramètres!$A$1:$I$89,3,0)*0.475*44/12</f>
        <v>22.459901866241314</v>
      </c>
      <c r="EC86" s="23">
        <f>EXP(-LN(2)/2)*EC85+(1-EXP(-LN(2)/2))/(LN(2)/2)*DW86*DZ86*VLOOKUP('Données projet'!$B$14,Paramètres!$A$1:$I$89,3,0)*0.475*44/12</f>
        <v>5.1024087036296338E-3</v>
      </c>
      <c r="ED86" s="24">
        <f t="shared" si="72"/>
        <v>175.80329540067228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-2.8421709430404007E-14</v>
      </c>
      <c r="EK86" s="18">
        <f>EJ86*VLOOKUP('Données projet'!$B$15,Paramètres!$A$1:$I$89,3,0)*VLOOKUP('Données projet'!$B$15,Paramètres!$A$1:$I$89,5,0)</f>
        <v>-2.2168933355715127E-14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144.92790055195192</v>
      </c>
      <c r="EP86" s="62">
        <f t="shared" si="100"/>
        <v>151.00642748754026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38.589448418229175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38.589448418229175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-1.7053025658242404E-13</v>
      </c>
      <c r="O87" s="14">
        <f>N87*VLOOKUP('Données projet'!$B$9,Paramètres!$A$1:$I$89,3,0)*VLOOKUP('Données projet'!$B$9,Paramètres!$A$1:$I$89,5,0)</f>
        <v>-1.383341441396624E-13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259.10606516000064</v>
      </c>
      <c r="T87" s="62">
        <f t="shared" si="88"/>
        <v>316.57989180609252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63.510642190704573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63.510642190704573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186.83226999296298</v>
      </c>
      <c r="AO87" s="62">
        <f t="shared" si="90"/>
        <v>232.70925470547317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76.008744901842661</v>
      </c>
      <c r="AV87" s="23">
        <f>EXP(-LN(2)/25)*AV86+(1-EXP(-LN(2)/25))/(LN(2)/25)*Calculateur!AQ87*Calculateur!AS87*VLOOKUP('Données projet'!$B$10,Paramètres!$A$1:$I$89,3,0)*0.475*44/12</f>
        <v>6.8844810830597183</v>
      </c>
      <c r="AW87" s="23">
        <f>EXP(-LN(2)/2)*AW86+(1-EXP(-LN(2)/2))/(LN(2)/2)*AQ87*AT87*VLOOKUP('Données projet'!$B$10,Paramètres!$A$1:$I$89,3,0)*0.475*44/12</f>
        <v>1.8333121323949055E-3</v>
      </c>
      <c r="AX87" s="23">
        <f t="shared" si="60"/>
        <v>82.895059297034777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6.8</v>
      </c>
      <c r="BD87" s="13">
        <f>IF('Données projet'!$A$88&gt;35,BD86+BC87-BL86,IF(A87&lt;'Données projet'!$A$88,$BA$205^A87,IF(A87='Données projet'!$A$88,'Données projet'!$B$88,BD86+BC87-BL86)))</f>
        <v>319.20000000000005</v>
      </c>
      <c r="BE87" s="14">
        <f>BD87*VLOOKUP('Données projet'!$B$11,Paramètres!$A$1:$I$89,3,0)*VLOOKUP('Données projet'!$B$11,Paramètres!$A$1:$I$89,5,0)</f>
        <v>288.81216000000006</v>
      </c>
      <c r="BF87" s="14">
        <f t="shared" si="91"/>
        <v>68.825899854238159</v>
      </c>
      <c r="BG87" s="22">
        <f t="shared" si="61"/>
        <v>622.88628757946492</v>
      </c>
      <c r="BH87" s="62">
        <f t="shared" si="62"/>
        <v>895.14311810401523</v>
      </c>
      <c r="BI87" s="62">
        <f ca="1">AVERAGE(OFFSET($BH$3,0,0,'Données projet'!$E$11+1,1))-AVERAGE(OFFSET($H$3,0,0,'Données projet'!$E$11+1,1))</f>
        <v>435.70500547084868</v>
      </c>
      <c r="BJ87" s="62">
        <f t="shared" si="92"/>
        <v>297.32483725004136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36.579138426146123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36.579138426146123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6.8</v>
      </c>
      <c r="BY87" s="13">
        <f>IF('Données projet'!$A$114&gt;35,BY86+BX87-CG86,IF(A87&lt;'Données projet'!$A$114,$BV$205^A87,IF(A87='Données projet'!$A$114,'Données projet'!$B$114,BY86+BX87-CG86)))</f>
        <v>319.20000000000005</v>
      </c>
      <c r="BZ87" s="14">
        <f>BY87*VLOOKUP('Données projet'!$B$12,Paramètres!$A$1:$I$89,3,0)*VLOOKUP('Données projet'!$B$12,Paramètres!$A$1:$I$89,5,0)</f>
        <v>363.50496000000004</v>
      </c>
      <c r="CA87" s="14">
        <f t="shared" si="93"/>
        <v>84.337165821360585</v>
      </c>
      <c r="CB87" s="22">
        <f t="shared" si="64"/>
        <v>779.99170247220309</v>
      </c>
      <c r="CC87" s="62">
        <f t="shared" si="65"/>
        <v>1052.2485329967535</v>
      </c>
      <c r="CD87" s="62">
        <f ca="1">AVERAGE(OFFSET($CC$3,0,0,'Données projet'!$E$12+1,1))-AVERAGE(OFFSET($H$3,0,0,'Données projet'!$E$12+1,1))</f>
        <v>530.15080507516973</v>
      </c>
      <c r="CE87" s="62">
        <f t="shared" si="94"/>
        <v>358.10331902702217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46.039260432908065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46.039260432908065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-5.6843418860808015E-14</v>
      </c>
      <c r="CU87" s="18">
        <f>CT87*VLOOKUP('Données projet'!$B$13,Paramètres!$A$1:$I$89,3,0)*VLOOKUP('Données projet'!$B$13,Paramètres!$A$1:$I$89,5,0)</f>
        <v>-4.8771653382573282E-14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182.98212193167009</v>
      </c>
      <c r="CZ87" s="62">
        <f t="shared" si="96"/>
        <v>195.9200038944301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68.328484780594195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68.328484780594195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2.2737367544323206E-13</v>
      </c>
      <c r="DP87" s="18">
        <f>DO87*VLOOKUP('Données projet'!$B$14,Paramètres!$A$1:$I$89,3,0)*VLOOKUP('Données projet'!$B$14,Paramètres!$A$1:$I$89,5,0)</f>
        <v>1.0049916454590858E-13</v>
      </c>
      <c r="DQ87" s="14">
        <f t="shared" si="97"/>
        <v>1.5089081593838289E-12</v>
      </c>
      <c r="DR87" s="22">
        <f t="shared" si="70"/>
        <v>2.8030510891776262E-12</v>
      </c>
      <c r="DS87" s="62">
        <f t="shared" si="71"/>
        <v>272.2568305245531</v>
      </c>
      <c r="DT87" s="62">
        <f ca="1">AVERAGE(OFFSET($DS$3,0,0,'Données projet'!$E$14+1,1))-AVERAGE(OFFSET($H$3,0,0,'Données projet'!$E$14+1,1))</f>
        <v>338.33525241236157</v>
      </c>
      <c r="DU87" s="62">
        <f t="shared" si="98"/>
        <v>373.47257029791717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150.33142076387435</v>
      </c>
      <c r="EB87" s="23">
        <f>EXP(-LN(2)/25)*EB86+(1-EXP(-LN(2)/25))/(LN(2)/25)*Calculateur!DW87*Calculateur!DY87*VLOOKUP('Données projet'!$B$14,Paramètres!$A$1:$I$89,3,0)*0.475*44/12</f>
        <v>21.845734668594037</v>
      </c>
      <c r="EC87" s="23">
        <f>EXP(-LN(2)/2)*EC86+(1-EXP(-LN(2)/2))/(LN(2)/2)*DW87*DZ87*VLOOKUP('Données projet'!$B$14,Paramètres!$A$1:$I$89,3,0)*0.475*44/12</f>
        <v>3.6079477947217752E-3</v>
      </c>
      <c r="ED87" s="24">
        <f t="shared" si="72"/>
        <v>172.18076338026313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-2.8421709430404007E-14</v>
      </c>
      <c r="EK87" s="18">
        <f>EJ87*VLOOKUP('Données projet'!$B$15,Paramètres!$A$1:$I$89,3,0)*VLOOKUP('Données projet'!$B$15,Paramètres!$A$1:$I$89,5,0)</f>
        <v>-2.2168933355715127E-14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144.92790055195192</v>
      </c>
      <c r="EP87" s="62">
        <f t="shared" si="100"/>
        <v>151.00642748754026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37.832732871987126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37.832732871987126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-1.7053025658242404E-13</v>
      </c>
      <c r="O88" s="14">
        <f>N88*VLOOKUP('Données projet'!$B$9,Paramètres!$A$1:$I$89,3,0)*VLOOKUP('Données projet'!$B$9,Paramètres!$A$1:$I$89,5,0)</f>
        <v>-1.383341441396624E-13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259.10606516000064</v>
      </c>
      <c r="T88" s="62">
        <f t="shared" si="88"/>
        <v>316.57989180609252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62.265237235011568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62.265237235011568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186.83226999296298</v>
      </c>
      <c r="AO88" s="62">
        <f t="shared" si="90"/>
        <v>232.70925470547317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74.518259775074171</v>
      </c>
      <c r="AV88" s="23">
        <f>EXP(-LN(2)/25)*AV87+(1-EXP(-LN(2)/25))/(LN(2)/25)*Calculateur!AQ88*Calculateur!AS88*VLOOKUP('Données projet'!$B$10,Paramètres!$A$1:$I$89,3,0)*0.475*44/12</f>
        <v>6.696224585804325</v>
      </c>
      <c r="AW88" s="23">
        <f>EXP(-LN(2)/2)*AW87+(1-EXP(-LN(2)/2))/(LN(2)/2)*AQ88*AT88*VLOOKUP('Données projet'!$B$10,Paramètres!$A$1:$I$89,3,0)*0.475*44/12</f>
        <v>1.2963474408480074E-3</v>
      </c>
      <c r="AX88" s="23">
        <f t="shared" si="60"/>
        <v>81.215780708319343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326</v>
      </c>
      <c r="BB88" s="13">
        <f>VLOOKUP(A88,'Données projet'!$A$87:$I$107,9,0)</f>
        <v>6.8</v>
      </c>
      <c r="BC88" s="13">
        <f t="array" ref="BC88">INDEX(BB:BB,MIN(IF(ISNUMBER(BB88:BB284),ROW(BB88:BB284),"")))</f>
        <v>6.8</v>
      </c>
      <c r="BD88" s="13">
        <f>IF('Données projet'!$A$88&gt;35,BD87+BC88-BL87,IF(A88&lt;'Données projet'!$A$88,$BA$205^A88,IF(A88='Données projet'!$A$88,'Données projet'!$B$88,BD87+BC88-BL87)))</f>
        <v>326.00000000000006</v>
      </c>
      <c r="BE88" s="14">
        <f>BD88*VLOOKUP('Données projet'!$B$11,Paramètres!$A$1:$I$89,3,0)*VLOOKUP('Données projet'!$B$11,Paramètres!$A$1:$I$89,5,0)</f>
        <v>294.96480000000003</v>
      </c>
      <c r="BF88" s="14">
        <f t="shared" si="91"/>
        <v>70.119854541045001</v>
      </c>
      <c r="BG88" s="22">
        <f t="shared" si="61"/>
        <v>635.85577332565333</v>
      </c>
      <c r="BH88" s="62">
        <f t="shared" si="62"/>
        <v>908.47823405393478</v>
      </c>
      <c r="BI88" s="62">
        <f ca="1">AVERAGE(OFFSET($BH$3,0,0,'Données projet'!$E$11+1,1))-AVERAGE(OFFSET($H$3,0,0,'Données projet'!$E$11+1,1))</f>
        <v>435.70500547084868</v>
      </c>
      <c r="BJ88" s="62">
        <f t="shared" si="92"/>
        <v>297.32483725004136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28</v>
      </c>
      <c r="BM88" s="17">
        <f>IF(ISNA(VLOOKUP(A88,'Données projet'!$A$87:$I$107,5,0)),0%,VLOOKUP(A88,'Données projet'!$A$87:$I$107,5,0)*VLOOKUP('Données projet'!$B$11,Paramètres!$A$1:$I$89,7,0))</f>
        <v>0.34400000000000003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45.496055334115219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45.496055334115219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326</v>
      </c>
      <c r="BW88" s="13">
        <f>VLOOKUP(A88,'Données projet'!$A$113:$I$133,9,0)</f>
        <v>6.8</v>
      </c>
      <c r="BX88" s="13">
        <f t="array" ref="BX88">INDEX(BW:BW,MIN(IF(ISNUMBER(BW88:BW284),ROW(BW88:BW284),"")))</f>
        <v>6.8</v>
      </c>
      <c r="BY88" s="13">
        <f>IF('Données projet'!$A$114&gt;35,BY87+BX88-CG87,IF(A88&lt;'Données projet'!$A$114,$BV$205^A88,IF(A88='Données projet'!$A$114,'Données projet'!$B$114,BY87+BX88-CG87)))</f>
        <v>326.00000000000006</v>
      </c>
      <c r="BZ88" s="14">
        <f>BY88*VLOOKUP('Données projet'!$B$12,Paramètres!$A$1:$I$89,3,0)*VLOOKUP('Données projet'!$B$12,Paramètres!$A$1:$I$89,5,0)</f>
        <v>371.24880000000007</v>
      </c>
      <c r="CA88" s="14">
        <f t="shared" si="93"/>
        <v>85.922738566761311</v>
      </c>
      <c r="CB88" s="22">
        <f t="shared" si="64"/>
        <v>796.24042967044272</v>
      </c>
      <c r="CC88" s="62">
        <f t="shared" si="65"/>
        <v>1068.8628903987242</v>
      </c>
      <c r="CD88" s="62">
        <f ca="1">AVERAGE(OFFSET($CC$3,0,0,'Données projet'!$E$12+1,1))-AVERAGE(OFFSET($H$3,0,0,'Données projet'!$E$12+1,1))</f>
        <v>530.15080507516973</v>
      </c>
      <c r="CE88" s="62">
        <f t="shared" si="94"/>
        <v>358.10331902702217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28</v>
      </c>
      <c r="CH88" s="17">
        <f>IF(ISNA(VLOOKUP(A88,'Données projet'!$A$113:$I$133,5,0)),0%,VLOOKUP(A88,'Données projet'!$A$113:$I$133,5,0)*VLOOKUP('Données projet'!$B$12,Paramètres!$A$1:$I$89,7,0))</f>
        <v>0.34400000000000003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57.262276541213993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57.262276541213993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-5.6843418860808015E-14</v>
      </c>
      <c r="CU88" s="18">
        <f>CT88*VLOOKUP('Données projet'!$B$13,Paramètres!$A$1:$I$89,3,0)*VLOOKUP('Données projet'!$B$13,Paramètres!$A$1:$I$89,5,0)</f>
        <v>-4.8771653382573282E-14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182.98212193167009</v>
      </c>
      <c r="CZ88" s="62">
        <f t="shared" si="96"/>
        <v>195.9200038944301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66.98860487030727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66.98860487030727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2.2737367544323206E-13</v>
      </c>
      <c r="DP88" s="18">
        <f>DO88*VLOOKUP('Données projet'!$B$14,Paramètres!$A$1:$I$89,3,0)*VLOOKUP('Données projet'!$B$14,Paramètres!$A$1:$I$89,5,0)</f>
        <v>1.0049916454590858E-13</v>
      </c>
      <c r="DQ88" s="14">
        <f t="shared" si="97"/>
        <v>1.5089081593838289E-12</v>
      </c>
      <c r="DR88" s="22">
        <f t="shared" si="70"/>
        <v>2.8030510891776262E-12</v>
      </c>
      <c r="DS88" s="62">
        <f t="shared" si="71"/>
        <v>272.6224607282843</v>
      </c>
      <c r="DT88" s="62">
        <f ca="1">AVERAGE(OFFSET($DS$3,0,0,'Données projet'!$E$14+1,1))-AVERAGE(OFFSET($H$3,0,0,'Données projet'!$E$14+1,1))</f>
        <v>338.33525241236157</v>
      </c>
      <c r="DU88" s="62">
        <f t="shared" si="98"/>
        <v>373.47257029791717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147.38351329580749</v>
      </c>
      <c r="EB88" s="23">
        <f>EXP(-LN(2)/25)*EB87+(1-EXP(-LN(2)/25))/(LN(2)/25)*Calculateur!DW88*Calculateur!DY88*VLOOKUP('Données projet'!$B$14,Paramètres!$A$1:$I$89,3,0)*0.475*44/12</f>
        <v>21.248361905264076</v>
      </c>
      <c r="EC88" s="23">
        <f>EXP(-LN(2)/2)*EC87+(1-EXP(-LN(2)/2))/(LN(2)/2)*DW88*DZ88*VLOOKUP('Données projet'!$B$14,Paramètres!$A$1:$I$89,3,0)*0.475*44/12</f>
        <v>2.5512043518148169E-3</v>
      </c>
      <c r="ED88" s="24">
        <f t="shared" si="72"/>
        <v>168.6344264054234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-2.8421709430404007E-14</v>
      </c>
      <c r="EK88" s="18">
        <f>EJ88*VLOOKUP('Données projet'!$B$15,Paramètres!$A$1:$I$89,3,0)*VLOOKUP('Données projet'!$B$15,Paramètres!$A$1:$I$89,5,0)</f>
        <v>-2.2168933355715127E-14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144.92790055195192</v>
      </c>
      <c r="EP88" s="62">
        <f t="shared" si="100"/>
        <v>151.00642748754026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37.090856056055976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37.090856056055976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-1.7053025658242404E-13</v>
      </c>
      <c r="O89" s="14">
        <f>N89*VLOOKUP('Données projet'!$B$9,Paramètres!$A$1:$I$89,3,0)*VLOOKUP('Données projet'!$B$9,Paramètres!$A$1:$I$89,5,0)</f>
        <v>-1.383341441396624E-13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259.10606516000064</v>
      </c>
      <c r="T89" s="62">
        <f t="shared" si="88"/>
        <v>316.57989180609252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61.044253910877686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61.044253910877686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186.83226999296298</v>
      </c>
      <c r="AO89" s="62">
        <f t="shared" si="90"/>
        <v>232.70925470547317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73.057002152535446</v>
      </c>
      <c r="AV89" s="23">
        <f>EXP(-LN(2)/25)*AV88+(1-EXP(-LN(2)/25))/(LN(2)/25)*Calculateur!AQ89*Calculateur!AS89*VLOOKUP('Données projet'!$B$10,Paramètres!$A$1:$I$89,3,0)*0.475*44/12</f>
        <v>6.513115972366359</v>
      </c>
      <c r="AW89" s="23">
        <f>EXP(-LN(2)/2)*AW88+(1-EXP(-LN(2)/2))/(LN(2)/2)*AQ89*AT89*VLOOKUP('Données projet'!$B$10,Paramètres!$A$1:$I$89,3,0)*0.475*44/12</f>
        <v>9.1665606619745286E-4</v>
      </c>
      <c r="AX89" s="23">
        <f t="shared" si="60"/>
        <v>79.571034780968006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6.4</v>
      </c>
      <c r="BD89" s="13">
        <f>IF('Données projet'!$A$88&gt;35,BD88+BC89-BL88,IF(A89&lt;'Données projet'!$A$88,$BA$205^A89,IF(A89='Données projet'!$A$88,'Données projet'!$B$88,BD88+BC89-BL88)))</f>
        <v>304.40000000000003</v>
      </c>
      <c r="BE89" s="14">
        <f>BD89*VLOOKUP('Données projet'!$B$11,Paramètres!$A$1:$I$89,3,0)*VLOOKUP('Données projet'!$B$11,Paramètres!$A$1:$I$89,5,0)</f>
        <v>275.42112000000003</v>
      </c>
      <c r="BF89" s="14">
        <f t="shared" si="91"/>
        <v>65.998433293601067</v>
      </c>
      <c r="BG89" s="22">
        <f t="shared" si="61"/>
        <v>594.63905531968851</v>
      </c>
      <c r="BH89" s="62">
        <f t="shared" si="62"/>
        <v>867.62080338509327</v>
      </c>
      <c r="BI89" s="62">
        <f ca="1">AVERAGE(OFFSET($BH$3,0,0,'Données projet'!$E$11+1,1))-AVERAGE(OFFSET($H$3,0,0,'Données projet'!$E$11+1,1))</f>
        <v>435.70500547084868</v>
      </c>
      <c r="BJ89" s="62">
        <f t="shared" si="92"/>
        <v>297.32483725004136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44.603905438866903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44.603905438866903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6.4</v>
      </c>
      <c r="BY89" s="13">
        <f>IF('Données projet'!$A$114&gt;35,BY88+BX89-CG88,IF(A89&lt;'Données projet'!$A$114,$BV$205^A89,IF(A89='Données projet'!$A$114,'Données projet'!$B$114,BY88+BX89-CG88)))</f>
        <v>304.40000000000003</v>
      </c>
      <c r="BZ89" s="14">
        <f>BY89*VLOOKUP('Données projet'!$B$12,Paramètres!$A$1:$I$89,3,0)*VLOOKUP('Données projet'!$B$12,Paramètres!$A$1:$I$89,5,0)</f>
        <v>346.65072000000004</v>
      </c>
      <c r="CA89" s="14">
        <f t="shared" si="93"/>
        <v>80.872474234562333</v>
      </c>
      <c r="CB89" s="22">
        <f t="shared" si="64"/>
        <v>744.60289662519608</v>
      </c>
      <c r="CC89" s="62">
        <f t="shared" si="65"/>
        <v>1017.5846446906007</v>
      </c>
      <c r="CD89" s="62">
        <f ca="1">AVERAGE(OFFSET($CC$3,0,0,'Données projet'!$E$12+1,1))-AVERAGE(OFFSET($H$3,0,0,'Données projet'!$E$12+1,1))</f>
        <v>530.15080507516973</v>
      </c>
      <c r="CE89" s="62">
        <f t="shared" si="94"/>
        <v>358.10331902702217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56.13939822478077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56.13939822478077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-5.6843418860808015E-14</v>
      </c>
      <c r="CU89" s="18">
        <f>CT89*VLOOKUP('Données projet'!$B$13,Paramètres!$A$1:$I$89,3,0)*VLOOKUP('Données projet'!$B$13,Paramètres!$A$1:$I$89,5,0)</f>
        <v>-4.8771653382573282E-14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182.98212193167009</v>
      </c>
      <c r="CZ89" s="62">
        <f t="shared" si="96"/>
        <v>195.9200038944301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65.674999187815018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65.674999187815018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2.2737367544323206E-13</v>
      </c>
      <c r="DP89" s="18">
        <f>DO89*VLOOKUP('Données projet'!$B$14,Paramètres!$A$1:$I$89,3,0)*VLOOKUP('Données projet'!$B$14,Paramètres!$A$1:$I$89,5,0)</f>
        <v>1.0049916454590858E-13</v>
      </c>
      <c r="DQ89" s="14">
        <f t="shared" si="97"/>
        <v>1.5089081593838289E-12</v>
      </c>
      <c r="DR89" s="22">
        <f t="shared" si="70"/>
        <v>2.8030510891776262E-12</v>
      </c>
      <c r="DS89" s="62">
        <f t="shared" si="71"/>
        <v>272.98174806540749</v>
      </c>
      <c r="DT89" s="62">
        <f ca="1">AVERAGE(OFFSET($DS$3,0,0,'Données projet'!$E$14+1,1))-AVERAGE(OFFSET($H$3,0,0,'Données projet'!$E$14+1,1))</f>
        <v>338.33525241236157</v>
      </c>
      <c r="DU89" s="62">
        <f t="shared" si="98"/>
        <v>373.47257029791717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144.49341249514342</v>
      </c>
      <c r="EB89" s="23">
        <f>EXP(-LN(2)/25)*EB88+(1-EXP(-LN(2)/25))/(LN(2)/25)*Calculateur!DW89*Calculateur!DY89*VLOOKUP('Données projet'!$B$14,Paramètres!$A$1:$I$89,3,0)*0.475*44/12</f>
        <v>20.66732433156184</v>
      </c>
      <c r="EC89" s="23">
        <f>EXP(-LN(2)/2)*EC88+(1-EXP(-LN(2)/2))/(LN(2)/2)*DW89*DZ89*VLOOKUP('Données projet'!$B$14,Paramètres!$A$1:$I$89,3,0)*0.475*44/12</f>
        <v>1.8039738973608876E-3</v>
      </c>
      <c r="ED89" s="24">
        <f t="shared" si="72"/>
        <v>165.16254080060261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-2.8421709430404007E-14</v>
      </c>
      <c r="EK89" s="18">
        <f>EJ89*VLOOKUP('Données projet'!$B$15,Paramètres!$A$1:$I$89,3,0)*VLOOKUP('Données projet'!$B$15,Paramètres!$A$1:$I$89,5,0)</f>
        <v>-2.2168933355715127E-14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144.92790055195192</v>
      </c>
      <c r="EP89" s="62">
        <f t="shared" si="100"/>
        <v>151.00642748754026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36.363526991985061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36.363526991985061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-1.7053025658242404E-13</v>
      </c>
      <c r="O90" s="14">
        <f>N90*VLOOKUP('Données projet'!$B$9,Paramètres!$A$1:$I$89,3,0)*VLOOKUP('Données projet'!$B$9,Paramètres!$A$1:$I$89,5,0)</f>
        <v>-1.383341441396624E-13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259.10606516000064</v>
      </c>
      <c r="T90" s="62">
        <f t="shared" si="88"/>
        <v>316.57989180609252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59.847213325003771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59.847213325003771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186.83226999296298</v>
      </c>
      <c r="AO90" s="62">
        <f t="shared" si="90"/>
        <v>232.70925470547317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71.624398900695567</v>
      </c>
      <c r="AV90" s="23">
        <f>EXP(-LN(2)/25)*AV89+(1-EXP(-LN(2)/25))/(LN(2)/25)*Calculateur!AQ90*Calculateur!AS90*VLOOKUP('Données projet'!$B$10,Paramètres!$A$1:$I$89,3,0)*0.475*44/12</f>
        <v>6.3350144735921177</v>
      </c>
      <c r="AW90" s="23">
        <f>EXP(-LN(2)/2)*AW89+(1-EXP(-LN(2)/2))/(LN(2)/2)*AQ90*AT90*VLOOKUP('Données projet'!$B$10,Paramètres!$A$1:$I$89,3,0)*0.475*44/12</f>
        <v>6.4817372042400381E-4</v>
      </c>
      <c r="AX90" s="23">
        <f t="shared" si="60"/>
        <v>77.960061548008113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6.4</v>
      </c>
      <c r="BD90" s="13">
        <f>IF('Données projet'!$A$88&gt;35,BD89+BC90-BL89,IF(A90&lt;'Données projet'!$A$88,$BA$205^A90,IF(A90='Données projet'!$A$88,'Données projet'!$B$88,BD89+BC90-BL89)))</f>
        <v>310.8</v>
      </c>
      <c r="BE90" s="14">
        <f>BD90*VLOOKUP('Données projet'!$B$11,Paramètres!$A$1:$I$89,3,0)*VLOOKUP('Données projet'!$B$11,Paramètres!$A$1:$I$89,5,0)</f>
        <v>281.21184</v>
      </c>
      <c r="BF90" s="14">
        <f t="shared" si="91"/>
        <v>67.22304110496664</v>
      </c>
      <c r="BG90" s="22">
        <f t="shared" si="61"/>
        <v>606.85741792448357</v>
      </c>
      <c r="BH90" s="62">
        <f t="shared" si="62"/>
        <v>880.19222049495841</v>
      </c>
      <c r="BI90" s="62">
        <f ca="1">AVERAGE(OFFSET($BH$3,0,0,'Données projet'!$E$11+1,1))-AVERAGE(OFFSET($H$3,0,0,'Données projet'!$E$11+1,1))</f>
        <v>435.70500547084868</v>
      </c>
      <c r="BJ90" s="62">
        <f t="shared" si="92"/>
        <v>297.32483725004136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43.7292500589067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43.7292500589067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6.4</v>
      </c>
      <c r="BY90" s="13">
        <f>IF('Données projet'!$A$114&gt;35,BY89+BX90-CG89,IF(A90&lt;'Données projet'!$A$114,$BV$205^A90,IF(A90='Données projet'!$A$114,'Données projet'!$B$114,BY89+BX90-CG89)))</f>
        <v>310.8</v>
      </c>
      <c r="BZ90" s="14">
        <f>BY90*VLOOKUP('Données projet'!$B$12,Paramètres!$A$1:$I$89,3,0)*VLOOKUP('Données projet'!$B$12,Paramètres!$A$1:$I$89,5,0)</f>
        <v>353.93904000000003</v>
      </c>
      <c r="CA90" s="14">
        <f t="shared" si="93"/>
        <v>82.373071426491478</v>
      </c>
      <c r="CB90" s="22">
        <f t="shared" si="64"/>
        <v>759.91026073447267</v>
      </c>
      <c r="CC90" s="62">
        <f t="shared" si="65"/>
        <v>1033.2450633049475</v>
      </c>
      <c r="CD90" s="62">
        <f ca="1">AVERAGE(OFFSET($CC$3,0,0,'Données projet'!$E$12+1,1))-AVERAGE(OFFSET($H$3,0,0,'Données projet'!$E$12+1,1))</f>
        <v>530.15080507516973</v>
      </c>
      <c r="CE90" s="62">
        <f t="shared" si="94"/>
        <v>358.10331902702217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55.038538867244654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55.038538867244654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-5.6843418860808015E-14</v>
      </c>
      <c r="CU90" s="18">
        <f>CT90*VLOOKUP('Données projet'!$B$13,Paramètres!$A$1:$I$89,3,0)*VLOOKUP('Données projet'!$B$13,Paramètres!$A$1:$I$89,5,0)</f>
        <v>-4.8771653382573282E-14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182.98212193167009</v>
      </c>
      <c r="CZ90" s="62">
        <f t="shared" si="96"/>
        <v>195.9200038944301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64.387152511536087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64.387152511536087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2.2737367544323206E-13</v>
      </c>
      <c r="DP90" s="18">
        <f>DO90*VLOOKUP('Données projet'!$B$14,Paramètres!$A$1:$I$89,3,0)*VLOOKUP('Données projet'!$B$14,Paramètres!$A$1:$I$89,5,0)</f>
        <v>1.0049916454590858E-13</v>
      </c>
      <c r="DQ90" s="14">
        <f t="shared" si="97"/>
        <v>1.5089081593838289E-12</v>
      </c>
      <c r="DR90" s="22">
        <f t="shared" si="70"/>
        <v>2.8030510891776262E-12</v>
      </c>
      <c r="DS90" s="62">
        <f t="shared" si="71"/>
        <v>273.33480257047762</v>
      </c>
      <c r="DT90" s="62">
        <f ca="1">AVERAGE(OFFSET($DS$3,0,0,'Données projet'!$E$14+1,1))-AVERAGE(OFFSET($H$3,0,0,'Données projet'!$E$14+1,1))</f>
        <v>338.33525241236157</v>
      </c>
      <c r="DU90" s="62">
        <f t="shared" si="98"/>
        <v>373.47257029791717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141.65998480839295</v>
      </c>
      <c r="EB90" s="23">
        <f>EXP(-LN(2)/25)*EB89+(1-EXP(-LN(2)/25))/(LN(2)/25)*Calculateur!DW90*Calculateur!DY90*VLOOKUP('Données projet'!$B$14,Paramètres!$A$1:$I$89,3,0)*0.475*44/12</f>
        <v>20.102175260867931</v>
      </c>
      <c r="EC90" s="23">
        <f>EXP(-LN(2)/2)*EC89+(1-EXP(-LN(2)/2))/(LN(2)/2)*DW90*DZ90*VLOOKUP('Données projet'!$B$14,Paramètres!$A$1:$I$89,3,0)*0.475*44/12</f>
        <v>1.2756021759074085E-3</v>
      </c>
      <c r="ED90" s="24">
        <f t="shared" si="72"/>
        <v>161.76343567143678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-2.8421709430404007E-14</v>
      </c>
      <c r="EK90" s="18">
        <f>EJ90*VLOOKUP('Données projet'!$B$15,Paramètres!$A$1:$I$89,3,0)*VLOOKUP('Données projet'!$B$15,Paramètres!$A$1:$I$89,5,0)</f>
        <v>-2.2168933355715127E-14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144.92790055195192</v>
      </c>
      <c r="EP90" s="62">
        <f t="shared" si="100"/>
        <v>151.00642748754026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35.650460407233652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35.650460407233652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-1.7053025658242404E-13</v>
      </c>
      <c r="O91" s="14">
        <f>N91*VLOOKUP('Données projet'!$B$9,Paramètres!$A$1:$I$89,3,0)*VLOOKUP('Données projet'!$B$9,Paramètres!$A$1:$I$89,5,0)</f>
        <v>-1.383341441396624E-13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259.10606516000064</v>
      </c>
      <c r="T91" s="62">
        <f t="shared" si="88"/>
        <v>316.57989180609252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58.673645974896182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58.673645974896182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186.83226999296298</v>
      </c>
      <c r="AO91" s="62">
        <f t="shared" si="90"/>
        <v>232.70925470547317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70.21988812482256</v>
      </c>
      <c r="AV91" s="23">
        <f>EXP(-LN(2)/25)*AV90+(1-EXP(-LN(2)/25))/(LN(2)/25)*Calculateur!AQ91*Calculateur!AS91*VLOOKUP('Données projet'!$B$10,Paramètres!$A$1:$I$89,3,0)*0.475*44/12</f>
        <v>6.1617831696678085</v>
      </c>
      <c r="AW91" s="23">
        <f>EXP(-LN(2)/2)*AW90+(1-EXP(-LN(2)/2))/(LN(2)/2)*AQ91*AT91*VLOOKUP('Données projet'!$B$10,Paramètres!$A$1:$I$89,3,0)*0.475*44/12</f>
        <v>4.5832803309872654E-4</v>
      </c>
      <c r="AX91" s="23">
        <f t="shared" si="60"/>
        <v>76.382129622523479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6.4</v>
      </c>
      <c r="BD91" s="13">
        <f>IF('Données projet'!$A$88&gt;35,BD90+BC91-BL90,IF(A91&lt;'Données projet'!$A$88,$BA$205^A91,IF(A91='Données projet'!$A$88,'Données projet'!$B$88,BD90+BC91-BL90)))</f>
        <v>317.2</v>
      </c>
      <c r="BE91" s="14">
        <f>BD91*VLOOKUP('Données projet'!$B$11,Paramètres!$A$1:$I$89,3,0)*VLOOKUP('Données projet'!$B$11,Paramètres!$A$1:$I$89,5,0)</f>
        <v>287.00255999999996</v>
      </c>
      <c r="BF91" s="14">
        <f t="shared" si="91"/>
        <v>68.444716936118553</v>
      </c>
      <c r="BG91" s="22">
        <f t="shared" si="61"/>
        <v>619.07067399707296</v>
      </c>
      <c r="BH91" s="62">
        <f t="shared" si="62"/>
        <v>892.75240636626665</v>
      </c>
      <c r="BI91" s="62">
        <f ca="1">AVERAGE(OFFSET($BH$3,0,0,'Données projet'!$E$11+1,1))-AVERAGE(OFFSET($H$3,0,0,'Données projet'!$E$11+1,1))</f>
        <v>435.70500547084868</v>
      </c>
      <c r="BJ91" s="62">
        <f t="shared" si="92"/>
        <v>297.32483725004136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42.871746137460413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42.871746137460413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6.4</v>
      </c>
      <c r="BY91" s="13">
        <f>IF('Données projet'!$A$114&gt;35,BY90+BX91-CG90,IF(A91&lt;'Données projet'!$A$114,$BV$205^A91,IF(A91='Données projet'!$A$114,'Données projet'!$B$114,BY90+BX91-CG90)))</f>
        <v>317.2</v>
      </c>
      <c r="BZ91" s="14">
        <f>BY91*VLOOKUP('Données projet'!$B$12,Paramètres!$A$1:$I$89,3,0)*VLOOKUP('Données projet'!$B$12,Paramètres!$A$1:$I$89,5,0)</f>
        <v>361.22735999999998</v>
      </c>
      <c r="CA91" s="14">
        <f t="shared" si="93"/>
        <v>83.870075858980044</v>
      </c>
      <c r="CB91" s="22">
        <f t="shared" si="64"/>
        <v>775.21136745439014</v>
      </c>
      <c r="CC91" s="62">
        <f t="shared" si="65"/>
        <v>1048.8930998235837</v>
      </c>
      <c r="CD91" s="62">
        <f ca="1">AVERAGE(OFFSET($CC$3,0,0,'Données projet'!$E$12+1,1))-AVERAGE(OFFSET($H$3,0,0,'Données projet'!$E$12+1,1))</f>
        <v>530.15080507516973</v>
      </c>
      <c r="CE91" s="62">
        <f t="shared" si="94"/>
        <v>358.10331902702217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53.959266690251916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53.959266690251916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-5.6843418860808015E-14</v>
      </c>
      <c r="CU91" s="18">
        <f>CT91*VLOOKUP('Données projet'!$B$13,Paramètres!$A$1:$I$89,3,0)*VLOOKUP('Données projet'!$B$13,Paramètres!$A$1:$I$89,5,0)</f>
        <v>-4.8771653382573282E-14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182.98212193167009</v>
      </c>
      <c r="CZ91" s="62">
        <f t="shared" si="96"/>
        <v>195.9200038944301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63.124559723070078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63.124559723070078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2.2737367544323206E-13</v>
      </c>
      <c r="DP91" s="18">
        <f>DO91*VLOOKUP('Données projet'!$B$14,Paramètres!$A$1:$I$89,3,0)*VLOOKUP('Données projet'!$B$14,Paramètres!$A$1:$I$89,5,0)</f>
        <v>1.0049916454590858E-13</v>
      </c>
      <c r="DQ91" s="14">
        <f t="shared" si="97"/>
        <v>1.5089081593838289E-12</v>
      </c>
      <c r="DR91" s="22">
        <f t="shared" si="70"/>
        <v>2.8030510891776262E-12</v>
      </c>
      <c r="DS91" s="62">
        <f t="shared" si="71"/>
        <v>273.68173236919648</v>
      </c>
      <c r="DT91" s="62">
        <f ca="1">AVERAGE(OFFSET($DS$3,0,0,'Données projet'!$E$14+1,1))-AVERAGE(OFFSET($H$3,0,0,'Données projet'!$E$14+1,1))</f>
        <v>338.33525241236157</v>
      </c>
      <c r="DU91" s="62">
        <f t="shared" si="98"/>
        <v>373.47257029791717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138.8821189103594</v>
      </c>
      <c r="EB91" s="23">
        <f>EXP(-LN(2)/25)*EB90+(1-EXP(-LN(2)/25))/(LN(2)/25)*Calculateur!DW91*Calculateur!DY91*VLOOKUP('Données projet'!$B$14,Paramètres!$A$1:$I$89,3,0)*0.475*44/12</f>
        <v>19.552480221232045</v>
      </c>
      <c r="EC91" s="23">
        <f>EXP(-LN(2)/2)*EC90+(1-EXP(-LN(2)/2))/(LN(2)/2)*DW91*DZ91*VLOOKUP('Données projet'!$B$14,Paramètres!$A$1:$I$89,3,0)*0.475*44/12</f>
        <v>9.0198694868044379E-4</v>
      </c>
      <c r="ED91" s="24">
        <f t="shared" si="72"/>
        <v>158.43550111854012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-2.8421709430404007E-14</v>
      </c>
      <c r="EK91" s="18">
        <f>EJ91*VLOOKUP('Données projet'!$B$15,Paramètres!$A$1:$I$89,3,0)*VLOOKUP('Données projet'!$B$15,Paramètres!$A$1:$I$89,5,0)</f>
        <v>-2.2168933355715127E-14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144.92790055195192</v>
      </c>
      <c r="EP91" s="62">
        <f t="shared" si="100"/>
        <v>151.00642748754026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34.951376623281547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34.951376623281547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-1.7053025658242404E-13</v>
      </c>
      <c r="O92" s="14">
        <f>N92*VLOOKUP('Données projet'!$B$9,Paramètres!$A$1:$I$89,3,0)*VLOOKUP('Données projet'!$B$9,Paramètres!$A$1:$I$89,5,0)</f>
        <v>-1.383341441396624E-13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259.10606516000064</v>
      </c>
      <c r="T92" s="62">
        <f t="shared" si="88"/>
        <v>316.57989180609252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57.523091564718804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57.523091564718804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186.83226999296298</v>
      </c>
      <c r="AO92" s="62">
        <f t="shared" si="90"/>
        <v>232.70925470547317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68.842918948597443</v>
      </c>
      <c r="AV92" s="23">
        <f>EXP(-LN(2)/25)*AV91+(1-EXP(-LN(2)/25))/(LN(2)/25)*Calculateur!AQ92*Calculateur!AS92*VLOOKUP('Données projet'!$B$10,Paramètres!$A$1:$I$89,3,0)*0.475*44/12</f>
        <v>5.9932888848591483</v>
      </c>
      <c r="AW92" s="23">
        <f>EXP(-LN(2)/2)*AW91+(1-EXP(-LN(2)/2))/(LN(2)/2)*AQ92*AT92*VLOOKUP('Données projet'!$B$10,Paramètres!$A$1:$I$89,3,0)*0.475*44/12</f>
        <v>3.2408686021200196E-4</v>
      </c>
      <c r="AX92" s="23">
        <f t="shared" si="60"/>
        <v>74.836531920316816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6.4</v>
      </c>
      <c r="BD92" s="13">
        <f>IF('Données projet'!$A$88&gt;35,BD91+BC92-BL91,IF(A92&lt;'Données projet'!$A$88,$BA$205^A92,IF(A92='Données projet'!$A$88,'Données projet'!$B$88,BD91+BC92-BL91)))</f>
        <v>323.59999999999997</v>
      </c>
      <c r="BE92" s="14">
        <f>BD92*VLOOKUP('Données projet'!$B$11,Paramètres!$A$1:$I$89,3,0)*VLOOKUP('Données projet'!$B$11,Paramètres!$A$1:$I$89,5,0)</f>
        <v>292.79327999999992</v>
      </c>
      <c r="BF92" s="14">
        <f t="shared" si="91"/>
        <v>69.663526761731433</v>
      </c>
      <c r="BG92" s="22">
        <f t="shared" si="61"/>
        <v>631.27893844334869</v>
      </c>
      <c r="BH92" s="62">
        <f t="shared" si="62"/>
        <v>905.30158215487222</v>
      </c>
      <c r="BI92" s="62">
        <f ca="1">AVERAGE(OFFSET($BH$3,0,0,'Données projet'!$E$11+1,1))-AVERAGE(OFFSET($H$3,0,0,'Données projet'!$E$11+1,1))</f>
        <v>435.70500547084868</v>
      </c>
      <c r="BJ92" s="62">
        <f t="shared" si="92"/>
        <v>297.32483725004136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42.031057344887941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42.031057344887941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6.4</v>
      </c>
      <c r="BY92" s="13">
        <f>IF('Données projet'!$A$114&gt;35,BY91+BX92-CG91,IF(A92&lt;'Données projet'!$A$114,$BV$205^A92,IF(A92='Données projet'!$A$114,'Données projet'!$B$114,BY91+BX92-CG91)))</f>
        <v>323.59999999999997</v>
      </c>
      <c r="BZ92" s="14">
        <f>BY92*VLOOKUP('Données projet'!$B$12,Paramètres!$A$1:$I$89,3,0)*VLOOKUP('Données projet'!$B$12,Paramètres!$A$1:$I$89,5,0)</f>
        <v>368.51567999999997</v>
      </c>
      <c r="CA92" s="14">
        <f t="shared" si="93"/>
        <v>85.363568375389079</v>
      </c>
      <c r="CB92" s="22">
        <f t="shared" si="64"/>
        <v>790.50635758713588</v>
      </c>
      <c r="CC92" s="62">
        <f t="shared" si="65"/>
        <v>1064.5290012986595</v>
      </c>
      <c r="CD92" s="62">
        <f ca="1">AVERAGE(OFFSET($CC$3,0,0,'Données projet'!$E$12+1,1))-AVERAGE(OFFSET($H$3,0,0,'Données projet'!$E$12+1,1))</f>
        <v>530.15080507516973</v>
      </c>
      <c r="CE92" s="62">
        <f t="shared" si="94"/>
        <v>358.10331902702217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52.901158382358979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52.901158382358979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-5.6843418860808015E-14</v>
      </c>
      <c r="CU92" s="18">
        <f>CT92*VLOOKUP('Données projet'!$B$13,Paramètres!$A$1:$I$89,3,0)*VLOOKUP('Données projet'!$B$13,Paramètres!$A$1:$I$89,5,0)</f>
        <v>-4.8771653382573282E-14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182.98212193167009</v>
      </c>
      <c r="CZ92" s="62">
        <f t="shared" si="96"/>
        <v>195.9200038944301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61.886725609080329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61.886725609080329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2.2737367544323206E-13</v>
      </c>
      <c r="DP92" s="18">
        <f>DO92*VLOOKUP('Données projet'!$B$14,Paramètres!$A$1:$I$89,3,0)*VLOOKUP('Données projet'!$B$14,Paramètres!$A$1:$I$89,5,0)</f>
        <v>1.0049916454590858E-13</v>
      </c>
      <c r="DQ92" s="14">
        <f t="shared" si="97"/>
        <v>1.5089081593838289E-12</v>
      </c>
      <c r="DR92" s="22">
        <f t="shared" si="70"/>
        <v>2.8030510891776262E-12</v>
      </c>
      <c r="DS92" s="62">
        <f t="shared" si="71"/>
        <v>274.02264371152637</v>
      </c>
      <c r="DT92" s="62">
        <f ca="1">AVERAGE(OFFSET($DS$3,0,0,'Données projet'!$E$14+1,1))-AVERAGE(OFFSET($H$3,0,0,'Données projet'!$E$14+1,1))</f>
        <v>338.33525241236157</v>
      </c>
      <c r="DU92" s="62">
        <f t="shared" si="98"/>
        <v>373.47257029791717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136.15872526825538</v>
      </c>
      <c r="EB92" s="23">
        <f>EXP(-LN(2)/25)*EB91+(1-EXP(-LN(2)/25))/(LN(2)/25)*Calculateur!DW92*Calculateur!DY92*VLOOKUP('Données projet'!$B$14,Paramètres!$A$1:$I$89,3,0)*0.475*44/12</f>
        <v>19.017816621362208</v>
      </c>
      <c r="EC92" s="23">
        <f>EXP(-LN(2)/2)*EC91+(1-EXP(-LN(2)/2))/(LN(2)/2)*DW92*DZ92*VLOOKUP('Données projet'!$B$14,Paramètres!$A$1:$I$89,3,0)*0.475*44/12</f>
        <v>6.3780108795370423E-4</v>
      </c>
      <c r="ED92" s="24">
        <f t="shared" si="72"/>
        <v>155.17717969070554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-2.8421709430404007E-14</v>
      </c>
      <c r="EK92" s="18">
        <f>EJ92*VLOOKUP('Données projet'!$B$15,Paramètres!$A$1:$I$89,3,0)*VLOOKUP('Données projet'!$B$15,Paramètres!$A$1:$I$89,5,0)</f>
        <v>-2.2168933355715127E-14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144.92790055195192</v>
      </c>
      <c r="EP92" s="62">
        <f t="shared" si="100"/>
        <v>151.00642748754026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34.266001445933732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34.266001445933732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-1.7053025658242404E-13</v>
      </c>
      <c r="O93" s="14">
        <f>N93*VLOOKUP('Données projet'!$B$9,Paramètres!$A$1:$I$89,3,0)*VLOOKUP('Données projet'!$B$9,Paramètres!$A$1:$I$89,5,0)</f>
        <v>-1.383341441396624E-13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259.10606516000064</v>
      </c>
      <c r="T93" s="62">
        <f t="shared" si="88"/>
        <v>316.57989180609252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56.395098824756104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56.395098824756104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186.83226999296298</v>
      </c>
      <c r="AO93" s="62">
        <f t="shared" si="90"/>
        <v>232.70925470547317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67.492951298049832</v>
      </c>
      <c r="AV93" s="23">
        <f>EXP(-LN(2)/25)*AV92+(1-EXP(-LN(2)/25))/(LN(2)/25)*Calculateur!AQ93*Calculateur!AS93*VLOOKUP('Données projet'!$B$10,Paramètres!$A$1:$I$89,3,0)*0.475*44/12</f>
        <v>5.8294020851293107</v>
      </c>
      <c r="AW93" s="23">
        <f>EXP(-LN(2)/2)*AW92+(1-EXP(-LN(2)/2))/(LN(2)/2)*AQ93*AT93*VLOOKUP('Données projet'!$B$10,Paramètres!$A$1:$I$89,3,0)*0.475*44/12</f>
        <v>2.291640165493633E-4</v>
      </c>
      <c r="AX93" s="23">
        <f t="shared" si="60"/>
        <v>73.322582547195694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330</v>
      </c>
      <c r="BB93" s="13">
        <f>VLOOKUP(A93,'Données projet'!$A$87:$I$107,9,0)</f>
        <v>6.4</v>
      </c>
      <c r="BC93" s="13">
        <f t="array" ref="BC93">INDEX(BB:BB,MIN(IF(ISNUMBER(BB93:BB289),ROW(BB93:BB289),"")))</f>
        <v>6.4</v>
      </c>
      <c r="BD93" s="13">
        <f>IF('Données projet'!$A$88&gt;35,BD92+BC93-BL92,IF(A93&lt;'Données projet'!$A$88,$BA$205^A93,IF(A93='Données projet'!$A$88,'Données projet'!$B$88,BD92+BC93-BL92)))</f>
        <v>329.99999999999994</v>
      </c>
      <c r="BE93" s="14">
        <f>BD93*VLOOKUP('Données projet'!$B$11,Paramètres!$A$1:$I$89,3,0)*VLOOKUP('Données projet'!$B$11,Paramètres!$A$1:$I$89,5,0)</f>
        <v>298.58399999999995</v>
      </c>
      <c r="BF93" s="14">
        <f t="shared" si="91"/>
        <v>70.879533797607607</v>
      </c>
      <c r="BG93" s="22">
        <f t="shared" si="61"/>
        <v>643.48232136416652</v>
      </c>
      <c r="BH93" s="62">
        <f t="shared" si="62"/>
        <v>917.83996236839425</v>
      </c>
      <c r="BI93" s="62">
        <f ca="1">AVERAGE(OFFSET($BH$3,0,0,'Données projet'!$E$11+1,1))-AVERAGE(OFFSET($H$3,0,0,'Données projet'!$E$11+1,1))</f>
        <v>435.70500547084868</v>
      </c>
      <c r="BJ93" s="62">
        <f t="shared" si="92"/>
        <v>297.32483725004136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28</v>
      </c>
      <c r="BM93" s="17">
        <f>IF(ISNA(VLOOKUP(A93,'Données projet'!$A$87:$I$107,5,0)),0%,VLOOKUP(A93,'Données projet'!$A$87:$I$107,5,0)*VLOOKUP('Données projet'!$B$11,Paramètres!$A$1:$I$89,7,0))</f>
        <v>0.34400000000000003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50.841065448202698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50.841065448202698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330</v>
      </c>
      <c r="BW93" s="13">
        <f>VLOOKUP(A93,'Données projet'!$A$113:$I$133,9,0)</f>
        <v>6.4</v>
      </c>
      <c r="BX93" s="13">
        <f t="array" ref="BX93">INDEX(BW:BW,MIN(IF(ISNUMBER(BW93:BW289),ROW(BW93:BW289),"")))</f>
        <v>6.4</v>
      </c>
      <c r="BY93" s="13">
        <f>IF('Données projet'!$A$114&gt;35,BY92+BX93-CG92,IF(A93&lt;'Données projet'!$A$114,$BV$205^A93,IF(A93='Données projet'!$A$114,'Données projet'!$B$114,BY92+BX93-CG92)))</f>
        <v>329.99999999999994</v>
      </c>
      <c r="BZ93" s="14">
        <f>BY93*VLOOKUP('Données projet'!$B$12,Paramètres!$A$1:$I$89,3,0)*VLOOKUP('Données projet'!$B$12,Paramètres!$A$1:$I$89,5,0)</f>
        <v>375.80399999999992</v>
      </c>
      <c r="CA93" s="14">
        <f t="shared" si="93"/>
        <v>86.853626438441253</v>
      </c>
      <c r="CB93" s="22">
        <f t="shared" si="64"/>
        <v>805.7953660469517</v>
      </c>
      <c r="CC93" s="62">
        <f t="shared" si="65"/>
        <v>1080.1530070511794</v>
      </c>
      <c r="CD93" s="62">
        <f ca="1">AVERAGE(OFFSET($CC$3,0,0,'Données projet'!$E$12+1,1))-AVERAGE(OFFSET($H$3,0,0,'Données projet'!$E$12+1,1))</f>
        <v>530.15080507516973</v>
      </c>
      <c r="CE93" s="62">
        <f t="shared" si="94"/>
        <v>358.10331902702217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28</v>
      </c>
      <c r="CH93" s="17">
        <f>IF(ISNA(VLOOKUP(A93,'Données projet'!$A$113:$I$133,5,0)),0%,VLOOKUP(A93,'Données projet'!$A$113:$I$133,5,0)*VLOOKUP('Données projet'!$B$12,Paramètres!$A$1:$I$89,7,0))</f>
        <v>0.34400000000000003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63.989616857220653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63.989616857220653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-5.6843418860808015E-14</v>
      </c>
      <c r="CU93" s="18">
        <f>CT93*VLOOKUP('Données projet'!$B$13,Paramètres!$A$1:$I$89,3,0)*VLOOKUP('Données projet'!$B$13,Paramètres!$A$1:$I$89,5,0)</f>
        <v>-4.8771653382573282E-14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182.98212193167009</v>
      </c>
      <c r="CZ93" s="62">
        <f t="shared" si="96"/>
        <v>195.9200038944301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60.673164667061663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60.673164667061663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2.2737367544323206E-13</v>
      </c>
      <c r="DP93" s="18">
        <f>DO93*VLOOKUP('Données projet'!$B$14,Paramètres!$A$1:$I$89,3,0)*VLOOKUP('Données projet'!$B$14,Paramètres!$A$1:$I$89,5,0)</f>
        <v>1.0049916454590858E-13</v>
      </c>
      <c r="DQ93" s="14">
        <f t="shared" si="97"/>
        <v>1.5089081593838289E-12</v>
      </c>
      <c r="DR93" s="22">
        <f t="shared" si="70"/>
        <v>2.8030510891776262E-12</v>
      </c>
      <c r="DS93" s="62">
        <f t="shared" si="71"/>
        <v>274.35764100423046</v>
      </c>
      <c r="DT93" s="62">
        <f ca="1">AVERAGE(OFFSET($DS$3,0,0,'Données projet'!$E$14+1,1))-AVERAGE(OFFSET($H$3,0,0,'Données projet'!$E$14+1,1))</f>
        <v>338.33525241236157</v>
      </c>
      <c r="DU93" s="62">
        <f t="shared" si="98"/>
        <v>373.47257029791717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133.48873571436692</v>
      </c>
      <c r="EB93" s="23">
        <f>EXP(-LN(2)/25)*EB92+(1-EXP(-LN(2)/25))/(LN(2)/25)*Calculateur!DW93*Calculateur!DY93*VLOOKUP('Données projet'!$B$14,Paramètres!$A$1:$I$89,3,0)*0.475*44/12</f>
        <v>18.497773425747546</v>
      </c>
      <c r="EC93" s="23">
        <f>EXP(-LN(2)/2)*EC92+(1-EXP(-LN(2)/2))/(LN(2)/2)*DW93*DZ93*VLOOKUP('Données projet'!$B$14,Paramètres!$A$1:$I$89,3,0)*0.475*44/12</f>
        <v>4.509934743402219E-4</v>
      </c>
      <c r="ED93" s="24">
        <f t="shared" si="72"/>
        <v>151.98696013358881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-2.8421709430404007E-14</v>
      </c>
      <c r="EK93" s="18">
        <f>EJ93*VLOOKUP('Données projet'!$B$15,Paramètres!$A$1:$I$89,3,0)*VLOOKUP('Données projet'!$B$15,Paramètres!$A$1:$I$89,5,0)</f>
        <v>-2.2168933355715127E-14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144.92790055195192</v>
      </c>
      <c r="EP93" s="62">
        <f t="shared" si="100"/>
        <v>151.00642748754026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33.594066057776132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33.594066057776132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-1.7053025658242404E-13</v>
      </c>
      <c r="O94" s="14">
        <f>N94*VLOOKUP('Données projet'!$B$9,Paramètres!$A$1:$I$89,3,0)*VLOOKUP('Données projet'!$B$9,Paramètres!$A$1:$I$89,5,0)</f>
        <v>-1.383341441396624E-13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259.10606516000064</v>
      </c>
      <c r="T94" s="62">
        <f t="shared" si="88"/>
        <v>316.57989180609252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55.289225334416436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55.289225334416436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186.83226999296298</v>
      </c>
      <c r="AO94" s="62">
        <f t="shared" si="90"/>
        <v>232.70925470547317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66.169455689730498</v>
      </c>
      <c r="AV94" s="23">
        <f>EXP(-LN(2)/25)*AV93+(1-EXP(-LN(2)/25))/(LN(2)/25)*Calculateur!AQ94*Calculateur!AS94*VLOOKUP('Données projet'!$B$10,Paramètres!$A$1:$I$89,3,0)*0.475*44/12</f>
        <v>5.6699967785565173</v>
      </c>
      <c r="AW94" s="23">
        <f>EXP(-LN(2)/2)*AW93+(1-EXP(-LN(2)/2))/(LN(2)/2)*AQ94*AT94*VLOOKUP('Données projet'!$B$10,Paramètres!$A$1:$I$89,3,0)*0.475*44/12</f>
        <v>1.6204343010600101E-4</v>
      </c>
      <c r="AX94" s="23">
        <f t="shared" si="60"/>
        <v>71.83961451171713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6.2</v>
      </c>
      <c r="BD94" s="13">
        <f>IF('Données projet'!$A$88&gt;35,BD93+BC94-BL93,IF(A94&lt;'Données projet'!$A$88,$BA$205^A94,IF(A94='Données projet'!$A$88,'Données projet'!$B$88,BD93+BC94-BL93)))</f>
        <v>308.19999999999993</v>
      </c>
      <c r="BE94" s="14">
        <f>BD94*VLOOKUP('Données projet'!$B$11,Paramètres!$A$1:$I$89,3,0)*VLOOKUP('Données projet'!$B$11,Paramètres!$A$1:$I$89,5,0)</f>
        <v>278.85935999999992</v>
      </c>
      <c r="BF94" s="14">
        <f t="shared" si="91"/>
        <v>66.725901622172387</v>
      </c>
      <c r="BG94" s="22">
        <f t="shared" si="61"/>
        <v>601.8943306586167</v>
      </c>
      <c r="BH94" s="62">
        <f t="shared" si="62"/>
        <v>876.5811575014618</v>
      </c>
      <c r="BI94" s="62">
        <f ca="1">AVERAGE(OFFSET($BH$3,0,0,'Données projet'!$E$11+1,1))-AVERAGE(OFFSET($H$3,0,0,'Données projet'!$E$11+1,1))</f>
        <v>435.70500547084868</v>
      </c>
      <c r="BJ94" s="62">
        <f t="shared" si="92"/>
        <v>297.32483725004136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49.844103164751388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49.844103164751388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6.2</v>
      </c>
      <c r="BY94" s="13">
        <f>IF('Données projet'!$A$114&gt;35,BY93+BX94-CG93,IF(A94&lt;'Données projet'!$A$114,$BV$205^A94,IF(A94='Données projet'!$A$114,'Données projet'!$B$114,BY93+BX94-CG93)))</f>
        <v>308.19999999999993</v>
      </c>
      <c r="BZ94" s="14">
        <f>BY94*VLOOKUP('Données projet'!$B$12,Paramètres!$A$1:$I$89,3,0)*VLOOKUP('Données projet'!$B$12,Paramètres!$A$1:$I$89,5,0)</f>
        <v>350.97815999999989</v>
      </c>
      <c r="CA94" s="14">
        <f t="shared" si="93"/>
        <v>81.763891814084531</v>
      </c>
      <c r="CB94" s="22">
        <f t="shared" si="64"/>
        <v>753.6924069095304</v>
      </c>
      <c r="CC94" s="62">
        <f t="shared" si="65"/>
        <v>1028.3792337523755</v>
      </c>
      <c r="CD94" s="62">
        <f ca="1">AVERAGE(OFFSET($CC$3,0,0,'Données projet'!$E$12+1,1))-AVERAGE(OFFSET($H$3,0,0,'Données projet'!$E$12+1,1))</f>
        <v>530.15080507516973</v>
      </c>
      <c r="CE94" s="62">
        <f t="shared" si="94"/>
        <v>358.10331902702217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62.734819500462969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62.734819500462969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-5.6843418860808015E-14</v>
      </c>
      <c r="CU94" s="18">
        <f>CT94*VLOOKUP('Données projet'!$B$13,Paramètres!$A$1:$I$89,3,0)*VLOOKUP('Données projet'!$B$13,Paramètres!$A$1:$I$89,5,0)</f>
        <v>-4.8771653382573282E-14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182.98212193167009</v>
      </c>
      <c r="CZ94" s="62">
        <f t="shared" si="96"/>
        <v>195.9200038944301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59.483400914916892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59.483400914916892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2.2737367544323206E-13</v>
      </c>
      <c r="DP94" s="18">
        <f>DO94*VLOOKUP('Données projet'!$B$14,Paramètres!$A$1:$I$89,3,0)*VLOOKUP('Données projet'!$B$14,Paramètres!$A$1:$I$89,5,0)</f>
        <v>1.0049916454590858E-13</v>
      </c>
      <c r="DQ94" s="14">
        <f t="shared" si="97"/>
        <v>1.5089081593838289E-12</v>
      </c>
      <c r="DR94" s="22">
        <f t="shared" si="70"/>
        <v>2.8030510891776262E-12</v>
      </c>
      <c r="DS94" s="62">
        <f t="shared" si="71"/>
        <v>274.68682684284784</v>
      </c>
      <c r="DT94" s="62">
        <f ca="1">AVERAGE(OFFSET($DS$3,0,0,'Données projet'!$E$14+1,1))-AVERAGE(OFFSET($H$3,0,0,'Données projet'!$E$14+1,1))</f>
        <v>338.33525241236157</v>
      </c>
      <c r="DU94" s="62">
        <f t="shared" si="98"/>
        <v>373.47257029791717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130.8711030270974</v>
      </c>
      <c r="EB94" s="23">
        <f>EXP(-LN(2)/25)*EB93+(1-EXP(-LN(2)/25))/(LN(2)/25)*Calculateur!DW94*Calculateur!DY94*VLOOKUP('Données projet'!$B$14,Paramètres!$A$1:$I$89,3,0)*0.475*44/12</f>
        <v>17.991950838664852</v>
      </c>
      <c r="EC94" s="23">
        <f>EXP(-LN(2)/2)*EC93+(1-EXP(-LN(2)/2))/(LN(2)/2)*DW94*DZ94*VLOOKUP('Données projet'!$B$14,Paramètres!$A$1:$I$89,3,0)*0.475*44/12</f>
        <v>3.1890054397685212E-4</v>
      </c>
      <c r="ED94" s="24">
        <f t="shared" si="72"/>
        <v>148.86337276630624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-2.8421709430404007E-14</v>
      </c>
      <c r="EK94" s="18">
        <f>EJ94*VLOOKUP('Données projet'!$B$15,Paramètres!$A$1:$I$89,3,0)*VLOOKUP('Données projet'!$B$15,Paramètres!$A$1:$I$89,5,0)</f>
        <v>-2.2168933355715127E-14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144.92790055195192</v>
      </c>
      <c r="EP94" s="62">
        <f t="shared" si="100"/>
        <v>151.00642748754026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32.935306912740181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32.935306912740181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-1.7053025658242404E-13</v>
      </c>
      <c r="O95" s="14">
        <f>N95*VLOOKUP('Données projet'!$B$9,Paramètres!$A$1:$I$89,3,0)*VLOOKUP('Données projet'!$B$9,Paramètres!$A$1:$I$89,5,0)</f>
        <v>-1.383341441396624E-13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259.10606516000064</v>
      </c>
      <c r="T95" s="62">
        <f t="shared" si="88"/>
        <v>316.57989180609252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54.205037348706107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54.205037348706107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186.83226999296298</v>
      </c>
      <c r="AO95" s="62">
        <f t="shared" si="90"/>
        <v>232.70925470547317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64.871913023037692</v>
      </c>
      <c r="AV95" s="23">
        <f>EXP(-LN(2)/25)*AV94+(1-EXP(-LN(2)/25))/(LN(2)/25)*Calculateur!AQ95*Calculateur!AS95*VLOOKUP('Données projet'!$B$10,Paramètres!$A$1:$I$89,3,0)*0.475*44/12</f>
        <v>5.5149504184747178</v>
      </c>
      <c r="AW95" s="23">
        <f>EXP(-LN(2)/2)*AW94+(1-EXP(-LN(2)/2))/(LN(2)/2)*AQ95*AT95*VLOOKUP('Données projet'!$B$10,Paramètres!$A$1:$I$89,3,0)*0.475*44/12</f>
        <v>1.1458200827468168E-4</v>
      </c>
      <c r="AX95" s="23">
        <f t="shared" si="60"/>
        <v>70.386978023520683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6.2</v>
      </c>
      <c r="BD95" s="13">
        <f>IF('Données projet'!$A$88&gt;35,BD94+BC95-BL94,IF(A95&lt;'Données projet'!$A$88,$BA$205^A95,IF(A95='Données projet'!$A$88,'Données projet'!$B$88,BD94+BC95-BL94)))</f>
        <v>314.39999999999992</v>
      </c>
      <c r="BE95" s="14">
        <f>BD95*VLOOKUP('Données projet'!$B$11,Paramètres!$A$1:$I$89,3,0)*VLOOKUP('Données projet'!$B$11,Paramètres!$A$1:$I$89,5,0)</f>
        <v>284.46911999999992</v>
      </c>
      <c r="BF95" s="14">
        <f t="shared" si="91"/>
        <v>67.91059023737904</v>
      </c>
      <c r="BG95" s="22">
        <f t="shared" si="61"/>
        <v>613.72799533010163</v>
      </c>
      <c r="BH95" s="62">
        <f t="shared" si="62"/>
        <v>888.7382973732133</v>
      </c>
      <c r="BI95" s="62">
        <f ca="1">AVERAGE(OFFSET($BH$3,0,0,'Données projet'!$E$11+1,1))-AVERAGE(OFFSET($H$3,0,0,'Données projet'!$E$11+1,1))</f>
        <v>435.70500547084868</v>
      </c>
      <c r="BJ95" s="62">
        <f t="shared" si="92"/>
        <v>297.32483725004136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48.866690703591608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48.866690703591608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6.2</v>
      </c>
      <c r="BY95" s="13">
        <f>IF('Données projet'!$A$114&gt;35,BY94+BX95-CG94,IF(A95&lt;'Données projet'!$A$114,$BV$205^A95,IF(A95='Données projet'!$A$114,'Données projet'!$B$114,BY94+BX95-CG94)))</f>
        <v>314.39999999999992</v>
      </c>
      <c r="BZ95" s="14">
        <f>BY95*VLOOKUP('Données projet'!$B$12,Paramètres!$A$1:$I$89,3,0)*VLOOKUP('Données projet'!$B$12,Paramètres!$A$1:$I$89,5,0)</f>
        <v>358.0387199999999</v>
      </c>
      <c r="CA95" s="14">
        <f t="shared" si="93"/>
        <v>83.21557323632473</v>
      </c>
      <c r="CB95" s="22">
        <f t="shared" si="64"/>
        <v>768.51789405326542</v>
      </c>
      <c r="CC95" s="62">
        <f t="shared" si="65"/>
        <v>1043.5281960963771</v>
      </c>
      <c r="CD95" s="62">
        <f ca="1">AVERAGE(OFFSET($CC$3,0,0,'Données projet'!$E$12+1,1))-AVERAGE(OFFSET($H$3,0,0,'Données projet'!$E$12+1,1))</f>
        <v>530.15080507516973</v>
      </c>
      <c r="CE95" s="62">
        <f t="shared" si="94"/>
        <v>358.10331902702217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61.504627954520487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61.504627954520487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-5.6843418860808015E-14</v>
      </c>
      <c r="CU95" s="18">
        <f>CT95*VLOOKUP('Données projet'!$B$13,Paramètres!$A$1:$I$89,3,0)*VLOOKUP('Données projet'!$B$13,Paramètres!$A$1:$I$89,5,0)</f>
        <v>-4.8771653382573282E-14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182.98212193167009</v>
      </c>
      <c r="CZ95" s="62">
        <f t="shared" si="96"/>
        <v>195.9200038944301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58.316967704267448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58.316967704267448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2.2737367544323206E-13</v>
      </c>
      <c r="DP95" s="18">
        <f>DO95*VLOOKUP('Données projet'!$B$14,Paramètres!$A$1:$I$89,3,0)*VLOOKUP('Données projet'!$B$14,Paramètres!$A$1:$I$89,5,0)</f>
        <v>1.0049916454590858E-13</v>
      </c>
      <c r="DQ95" s="14">
        <f t="shared" si="97"/>
        <v>1.5089081593838289E-12</v>
      </c>
      <c r="DR95" s="22">
        <f t="shared" si="70"/>
        <v>2.8030510891776262E-12</v>
      </c>
      <c r="DS95" s="62">
        <f t="shared" si="71"/>
        <v>275.01030204311451</v>
      </c>
      <c r="DT95" s="62">
        <f ca="1">AVERAGE(OFFSET($DS$3,0,0,'Données projet'!$E$14+1,1))-AVERAGE(OFFSET($H$3,0,0,'Données projet'!$E$14+1,1))</f>
        <v>338.33525241236157</v>
      </c>
      <c r="DU95" s="62">
        <f t="shared" si="98"/>
        <v>373.47257029791717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128.30480052022696</v>
      </c>
      <c r="EB95" s="23">
        <f>EXP(-LN(2)/25)*EB94+(1-EXP(-LN(2)/25))/(LN(2)/25)*Calculateur!DW95*Calculateur!DY95*VLOOKUP('Données projet'!$B$14,Paramètres!$A$1:$I$89,3,0)*0.475*44/12</f>
        <v>17.499959996825989</v>
      </c>
      <c r="EC95" s="23">
        <f>EXP(-LN(2)/2)*EC94+(1-EXP(-LN(2)/2))/(LN(2)/2)*DW95*DZ95*VLOOKUP('Données projet'!$B$14,Paramètres!$A$1:$I$89,3,0)*0.475*44/12</f>
        <v>2.2549673717011095E-4</v>
      </c>
      <c r="ED95" s="24">
        <f t="shared" si="72"/>
        <v>145.80498601379011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-2.8421709430404007E-14</v>
      </c>
      <c r="EK95" s="18">
        <f>EJ95*VLOOKUP('Données projet'!$B$15,Paramètres!$A$1:$I$89,3,0)*VLOOKUP('Données projet'!$B$15,Paramètres!$A$1:$I$89,5,0)</f>
        <v>-2.2168933355715127E-14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144.92790055195192</v>
      </c>
      <c r="EP95" s="62">
        <f t="shared" si="100"/>
        <v>151.00642748754026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32.289465632734981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32.289465632734981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-1.7053025658242404E-13</v>
      </c>
      <c r="O96" s="14">
        <f>N96*VLOOKUP('Données projet'!$B$9,Paramètres!$A$1:$I$89,3,0)*VLOOKUP('Données projet'!$B$9,Paramètres!$A$1:$I$89,5,0)</f>
        <v>-1.383341441396624E-13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259.10606516000064</v>
      </c>
      <c r="T96" s="62">
        <f t="shared" si="88"/>
        <v>316.57989180609252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53.142109628106184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53.142109628106184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186.83226999296298</v>
      </c>
      <c r="AO96" s="62">
        <f t="shared" si="90"/>
        <v>232.70925470547317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63.599814376615853</v>
      </c>
      <c r="AV96" s="23">
        <f>EXP(-LN(2)/25)*AV95+(1-EXP(-LN(2)/25))/(LN(2)/25)*Calculateur!AQ96*Calculateur!AS96*VLOOKUP('Données projet'!$B$10,Paramètres!$A$1:$I$89,3,0)*0.475*44/12</f>
        <v>5.364143809262889</v>
      </c>
      <c r="AW96" s="23">
        <f>EXP(-LN(2)/2)*AW95+(1-EXP(-LN(2)/2))/(LN(2)/2)*AQ96*AT96*VLOOKUP('Données projet'!$B$10,Paramètres!$A$1:$I$89,3,0)*0.475*44/12</f>
        <v>8.1021715053000517E-5</v>
      </c>
      <c r="AX96" s="23">
        <f t="shared" si="60"/>
        <v>68.964039207593785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6.2</v>
      </c>
      <c r="BD96" s="13">
        <f>IF('Données projet'!$A$88&gt;35,BD95+BC96-BL95,IF(A96&lt;'Données projet'!$A$88,$BA$205^A96,IF(A96='Données projet'!$A$88,'Données projet'!$B$88,BD95+BC96-BL95)))</f>
        <v>320.59999999999991</v>
      </c>
      <c r="BE96" s="14">
        <f>BD96*VLOOKUP('Données projet'!$B$11,Paramètres!$A$1:$I$89,3,0)*VLOOKUP('Données projet'!$B$11,Paramètres!$A$1:$I$89,5,0)</f>
        <v>290.07887999999991</v>
      </c>
      <c r="BF96" s="14">
        <f t="shared" si="91"/>
        <v>69.092562427360406</v>
      </c>
      <c r="BG96" s="22">
        <f t="shared" si="61"/>
        <v>625.55692889431919</v>
      </c>
      <c r="BH96" s="62">
        <f t="shared" si="62"/>
        <v>900.8850945661552</v>
      </c>
      <c r="BI96" s="62">
        <f ca="1">AVERAGE(OFFSET($BH$3,0,0,'Données projet'!$E$11+1,1))-AVERAGE(OFFSET($H$3,0,0,'Données projet'!$E$11+1,1))</f>
        <v>435.70500547084868</v>
      </c>
      <c r="BJ96" s="62">
        <f t="shared" si="92"/>
        <v>297.32483725004136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47.908444704632437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47.908444704632437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6.2</v>
      </c>
      <c r="BY96" s="13">
        <f>IF('Données projet'!$A$114&gt;35,BY95+BX96-CG95,IF(A96&lt;'Données projet'!$A$114,$BV$205^A96,IF(A96='Données projet'!$A$114,'Données projet'!$B$114,BY95+BX96-CG95)))</f>
        <v>320.59999999999991</v>
      </c>
      <c r="BZ96" s="14">
        <f>BY96*VLOOKUP('Données projet'!$B$12,Paramètres!$A$1:$I$89,3,0)*VLOOKUP('Données projet'!$B$12,Paramètres!$A$1:$I$89,5,0)</f>
        <v>365.09927999999991</v>
      </c>
      <c r="CA96" s="14">
        <f t="shared" si="93"/>
        <v>84.663926033655528</v>
      </c>
      <c r="CB96" s="22">
        <f t="shared" si="64"/>
        <v>783.33758384194982</v>
      </c>
      <c r="CC96" s="62">
        <f t="shared" si="65"/>
        <v>1058.6657495137858</v>
      </c>
      <c r="CD96" s="62">
        <f ca="1">AVERAGE(OFFSET($CC$3,0,0,'Données projet'!$E$12+1,1))-AVERAGE(OFFSET($H$3,0,0,'Données projet'!$E$12+1,1))</f>
        <v>530.15080507516973</v>
      </c>
      <c r="CE96" s="62">
        <f t="shared" si="94"/>
        <v>358.10331902702217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60.29855971445118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60.29855971445118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-5.6843418860808015E-14</v>
      </c>
      <c r="CU96" s="18">
        <f>CT96*VLOOKUP('Données projet'!$B$13,Paramètres!$A$1:$I$89,3,0)*VLOOKUP('Données projet'!$B$13,Paramètres!$A$1:$I$89,5,0)</f>
        <v>-4.8771653382573282E-14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182.98212193167009</v>
      </c>
      <c r="CZ96" s="62">
        <f t="shared" si="96"/>
        <v>195.9200038944301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57.173407537424836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57.173407537424836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2.2737367544323206E-13</v>
      </c>
      <c r="DP96" s="18">
        <f>DO96*VLOOKUP('Données projet'!$B$14,Paramètres!$A$1:$I$89,3,0)*VLOOKUP('Données projet'!$B$14,Paramètres!$A$1:$I$89,5,0)</f>
        <v>1.0049916454590858E-13</v>
      </c>
      <c r="DQ96" s="14">
        <f t="shared" si="97"/>
        <v>1.5089081593838289E-12</v>
      </c>
      <c r="DR96" s="22">
        <f t="shared" si="70"/>
        <v>2.8030510891776262E-12</v>
      </c>
      <c r="DS96" s="62">
        <f t="shared" si="71"/>
        <v>275.32816567183875</v>
      </c>
      <c r="DT96" s="62">
        <f ca="1">AVERAGE(OFFSET($DS$3,0,0,'Données projet'!$E$14+1,1))-AVERAGE(OFFSET($H$3,0,0,'Données projet'!$E$14+1,1))</f>
        <v>338.33525241236157</v>
      </c>
      <c r="DU96" s="62">
        <f t="shared" si="98"/>
        <v>373.47257029791717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125.78882164022627</v>
      </c>
      <c r="EB96" s="23">
        <f>EXP(-LN(2)/25)*EB95+(1-EXP(-LN(2)/25))/(LN(2)/25)*Calculateur!DW96*Calculateur!DY96*VLOOKUP('Données projet'!$B$14,Paramètres!$A$1:$I$89,3,0)*0.475*44/12</f>
        <v>17.021422670429882</v>
      </c>
      <c r="EC96" s="23">
        <f>EXP(-LN(2)/2)*EC95+(1-EXP(-LN(2)/2))/(LN(2)/2)*DW96*DZ96*VLOOKUP('Données projet'!$B$14,Paramètres!$A$1:$I$89,3,0)*0.475*44/12</f>
        <v>1.5945027198842606E-4</v>
      </c>
      <c r="ED96" s="24">
        <f t="shared" si="72"/>
        <v>142.81040376092812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-2.8421709430404007E-14</v>
      </c>
      <c r="EK96" s="18">
        <f>EJ96*VLOOKUP('Données projet'!$B$15,Paramètres!$A$1:$I$89,3,0)*VLOOKUP('Données projet'!$B$15,Paramètres!$A$1:$I$89,5,0)</f>
        <v>-2.2168933355715127E-14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144.92790055195192</v>
      </c>
      <c r="EP96" s="62">
        <f t="shared" si="100"/>
        <v>151.00642748754026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31.656288906306401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31.656288906306401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-1.7053025658242404E-13</v>
      </c>
      <c r="O97" s="14">
        <f>N97*VLOOKUP('Données projet'!$B$9,Paramètres!$A$1:$I$89,3,0)*VLOOKUP('Données projet'!$B$9,Paramètres!$A$1:$I$89,5,0)</f>
        <v>-1.383341441396624E-13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259.10606516000064</v>
      </c>
      <c r="T97" s="62">
        <f t="shared" si="88"/>
        <v>316.57989180609252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52.100025271785327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52.100025271785327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186.83226999296298</v>
      </c>
      <c r="AO97" s="62">
        <f t="shared" si="90"/>
        <v>232.70925470547317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62.352660808746791</v>
      </c>
      <c r="AV97" s="23">
        <f>EXP(-LN(2)/25)*AV96+(1-EXP(-LN(2)/25))/(LN(2)/25)*Calculateur!AQ97*Calculateur!AS97*VLOOKUP('Données projet'!$B$10,Paramètres!$A$1:$I$89,3,0)*0.475*44/12</f>
        <v>5.2174610147105325</v>
      </c>
      <c r="AW97" s="23">
        <f>EXP(-LN(2)/2)*AW96+(1-EXP(-LN(2)/2))/(LN(2)/2)*AQ97*AT97*VLOOKUP('Données projet'!$B$10,Paramètres!$A$1:$I$89,3,0)*0.475*44/12</f>
        <v>5.7291004137340844E-5</v>
      </c>
      <c r="AX97" s="23">
        <f t="shared" si="60"/>
        <v>67.570179114461467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6.2</v>
      </c>
      <c r="BD97" s="13">
        <f>IF('Données projet'!$A$88&gt;35,BD96+BC97-BL96,IF(A97&lt;'Données projet'!$A$88,$BA$205^A97,IF(A97='Données projet'!$A$88,'Données projet'!$B$88,BD96+BC97-BL96)))</f>
        <v>326.7999999999999</v>
      </c>
      <c r="BE97" s="14">
        <f>BD97*VLOOKUP('Données projet'!$B$11,Paramètres!$A$1:$I$89,3,0)*VLOOKUP('Données projet'!$B$11,Paramètres!$A$1:$I$89,5,0)</f>
        <v>295.68863999999991</v>
      </c>
      <c r="BF97" s="14">
        <f t="shared" si="91"/>
        <v>70.271876780519747</v>
      </c>
      <c r="BG97" s="22">
        <f t="shared" si="61"/>
        <v>637.3812333927383</v>
      </c>
      <c r="BH97" s="62">
        <f t="shared" si="62"/>
        <v>913.02174846997673</v>
      </c>
      <c r="BI97" s="62">
        <f ca="1">AVERAGE(OFFSET($BH$3,0,0,'Données projet'!$E$11+1,1))-AVERAGE(OFFSET($H$3,0,0,'Données projet'!$E$11+1,1))</f>
        <v>435.70500547084868</v>
      </c>
      <c r="BJ97" s="62">
        <f t="shared" si="92"/>
        <v>297.32483725004136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46.968989325240507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46.968989325240507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6.2</v>
      </c>
      <c r="BY97" s="13">
        <f>IF('Données projet'!$A$114&gt;35,BY96+BX97-CG96,IF(A97&lt;'Données projet'!$A$114,$BV$205^A97,IF(A97='Données projet'!$A$114,'Données projet'!$B$114,BY96+BX97-CG96)))</f>
        <v>326.7999999999999</v>
      </c>
      <c r="BZ97" s="14">
        <f>BY97*VLOOKUP('Données projet'!$B$12,Paramètres!$A$1:$I$89,3,0)*VLOOKUP('Données projet'!$B$12,Paramètres!$A$1:$I$89,5,0)</f>
        <v>372.15983999999986</v>
      </c>
      <c r="CA97" s="14">
        <f t="shared" si="93"/>
        <v>86.109021998525577</v>
      </c>
      <c r="CB97" s="22">
        <f t="shared" si="64"/>
        <v>798.15160131409846</v>
      </c>
      <c r="CC97" s="62">
        <f t="shared" si="65"/>
        <v>1073.792116391337</v>
      </c>
      <c r="CD97" s="62">
        <f ca="1">AVERAGE(OFFSET($CC$3,0,0,'Données projet'!$E$12+1,1))-AVERAGE(OFFSET($H$3,0,0,'Données projet'!$E$12+1,1))</f>
        <v>530.15080507516973</v>
      </c>
      <c r="CE97" s="62">
        <f t="shared" si="94"/>
        <v>358.10331902702217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59.116141736940641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59.116141736940641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-5.6843418860808015E-14</v>
      </c>
      <c r="CU97" s="18">
        <f>CT97*VLOOKUP('Données projet'!$B$13,Paramètres!$A$1:$I$89,3,0)*VLOOKUP('Données projet'!$B$13,Paramètres!$A$1:$I$89,5,0)</f>
        <v>-4.8771653382573282E-14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182.98212193167009</v>
      </c>
      <c r="CZ97" s="62">
        <f t="shared" si="96"/>
        <v>195.9200038944301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56.052271887951179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56.052271887951179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2.2737367544323206E-13</v>
      </c>
      <c r="DP97" s="18">
        <f>DO97*VLOOKUP('Données projet'!$B$14,Paramètres!$A$1:$I$89,3,0)*VLOOKUP('Données projet'!$B$14,Paramètres!$A$1:$I$89,5,0)</f>
        <v>1.0049916454590858E-13</v>
      </c>
      <c r="DQ97" s="14">
        <f t="shared" si="97"/>
        <v>1.5089081593838289E-12</v>
      </c>
      <c r="DR97" s="22">
        <f t="shared" si="70"/>
        <v>2.8030510891776262E-12</v>
      </c>
      <c r="DS97" s="62">
        <f t="shared" si="71"/>
        <v>275.64051507724128</v>
      </c>
      <c r="DT97" s="62">
        <f ca="1">AVERAGE(OFFSET($DS$3,0,0,'Données projet'!$E$14+1,1))-AVERAGE(OFFSET($H$3,0,0,'Données projet'!$E$14+1,1))</f>
        <v>338.33525241236157</v>
      </c>
      <c r="DU97" s="62">
        <f t="shared" si="98"/>
        <v>373.47257029791717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123.3221795714668</v>
      </c>
      <c r="EB97" s="23">
        <f>EXP(-LN(2)/25)*EB96+(1-EXP(-LN(2)/25))/(LN(2)/25)*Calculateur!DW97*Calculateur!DY97*VLOOKUP('Données projet'!$B$14,Paramètres!$A$1:$I$89,3,0)*0.475*44/12</f>
        <v>16.555970972389261</v>
      </c>
      <c r="EC97" s="23">
        <f>EXP(-LN(2)/2)*EC96+(1-EXP(-LN(2)/2))/(LN(2)/2)*DW97*DZ97*VLOOKUP('Données projet'!$B$14,Paramètres!$A$1:$I$89,3,0)*0.475*44/12</f>
        <v>1.1274836858505547E-4</v>
      </c>
      <c r="ED97" s="24">
        <f t="shared" si="72"/>
        <v>139.87826329222466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-2.8421709430404007E-14</v>
      </c>
      <c r="EK97" s="18">
        <f>EJ97*VLOOKUP('Données projet'!$B$15,Paramètres!$A$1:$I$89,3,0)*VLOOKUP('Données projet'!$B$15,Paramètres!$A$1:$I$89,5,0)</f>
        <v>-2.2168933355715127E-14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144.92790055195192</v>
      </c>
      <c r="EP97" s="62">
        <f t="shared" si="100"/>
        <v>151.00642748754026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31.035528389283417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31.035528389283417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-1.7053025658242404E-13</v>
      </c>
      <c r="O98" s="14">
        <f>N98*VLOOKUP('Données projet'!$B$9,Paramètres!$A$1:$I$89,3,0)*VLOOKUP('Données projet'!$B$9,Paramètres!$A$1:$I$89,5,0)</f>
        <v>-1.383341441396624E-13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259.10606516000064</v>
      </c>
      <c r="T98" s="62">
        <f t="shared" si="88"/>
        <v>316.57989180609252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51.07837555408323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51.07837555408323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186.83226999296298</v>
      </c>
      <c r="AO98" s="62">
        <f t="shared" si="90"/>
        <v>232.70925470547317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61.129963161655077</v>
      </c>
      <c r="AV98" s="23">
        <f>EXP(-LN(2)/25)*AV97+(1-EXP(-LN(2)/25))/(LN(2)/25)*Calculateur!AQ98*Calculateur!AS98*VLOOKUP('Données projet'!$B$10,Paramètres!$A$1:$I$89,3,0)*0.475*44/12</f>
        <v>5.0747892688889227</v>
      </c>
      <c r="AW98" s="23">
        <f>EXP(-LN(2)/2)*AW97+(1-EXP(-LN(2)/2))/(LN(2)/2)*AQ98*AT98*VLOOKUP('Données projet'!$B$10,Paramètres!$A$1:$I$89,3,0)*0.475*44/12</f>
        <v>4.0510857526500265E-5</v>
      </c>
      <c r="AX98" s="23">
        <f t="shared" si="60"/>
        <v>66.204792941401536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333</v>
      </c>
      <c r="BB98" s="13">
        <f>VLOOKUP(A98,'Données projet'!$A$87:$I$107,9,0)</f>
        <v>6.2</v>
      </c>
      <c r="BC98" s="13">
        <f t="array" ref="BC98">INDEX(BB:BB,MIN(IF(ISNUMBER(BB98:BB294),ROW(BB98:BB294),"")))</f>
        <v>6.2</v>
      </c>
      <c r="BD98" s="13">
        <f>IF('Données projet'!$A$88&gt;35,BD97+BC98-BL97,IF(A98&lt;'Données projet'!$A$88,$BA$205^A98,IF(A98='Données projet'!$A$88,'Données projet'!$B$88,BD97+BC98-BL97)))</f>
        <v>332.99999999999989</v>
      </c>
      <c r="BE98" s="14">
        <f>BD98*VLOOKUP('Données projet'!$B$11,Paramètres!$A$1:$I$89,3,0)*VLOOKUP('Données projet'!$B$11,Paramètres!$A$1:$I$89,5,0)</f>
        <v>301.2983999999999</v>
      </c>
      <c r="BF98" s="14">
        <f t="shared" si="91"/>
        <v>71.448589534990518</v>
      </c>
      <c r="BG98" s="22">
        <f t="shared" si="61"/>
        <v>649.20100677344158</v>
      </c>
      <c r="BH98" s="62">
        <f t="shared" si="62"/>
        <v>925.14845269220746</v>
      </c>
      <c r="BI98" s="62">
        <f ca="1">AVERAGE(OFFSET($BH$3,0,0,'Données projet'!$E$11+1,1))-AVERAGE(OFFSET($H$3,0,0,'Données projet'!$E$11+1,1))</f>
        <v>435.70500547084868</v>
      </c>
      <c r="BJ98" s="62">
        <f t="shared" si="92"/>
        <v>297.32483725004136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27</v>
      </c>
      <c r="BM98" s="17">
        <f>IF(ISNA(VLOOKUP(A98,'Données projet'!$A$87:$I$107,5,0)),0%,VLOOKUP(A98,'Données projet'!$A$87:$I$107,5,0)*VLOOKUP('Données projet'!$B$11,Paramètres!$A$1:$I$89,7,0))</f>
        <v>0.38700000000000001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56.499355176972614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56.499355176972614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333</v>
      </c>
      <c r="BW98" s="13">
        <f>VLOOKUP(A98,'Données projet'!$A$113:$I$133,9,0)</f>
        <v>6.2</v>
      </c>
      <c r="BX98" s="13">
        <f t="array" ref="BX98">INDEX(BW:BW,MIN(IF(ISNUMBER(BW98:BW294),ROW(BW98:BW294),"")))</f>
        <v>6.2</v>
      </c>
      <c r="BY98" s="13">
        <f>IF('Données projet'!$A$114&gt;35,BY97+BX98-CG97,IF(A98&lt;'Données projet'!$A$114,$BV$205^A98,IF(A98='Données projet'!$A$114,'Données projet'!$B$114,BY97+BX98-CG97)))</f>
        <v>332.99999999999989</v>
      </c>
      <c r="BZ98" s="14">
        <f>BY98*VLOOKUP('Données projet'!$B$12,Paramètres!$A$1:$I$89,3,0)*VLOOKUP('Données projet'!$B$12,Paramètres!$A$1:$I$89,5,0)</f>
        <v>379.22039999999987</v>
      </c>
      <c r="CA98" s="14">
        <f t="shared" si="93"/>
        <v>87.550930043434363</v>
      </c>
      <c r="CB98" s="22">
        <f t="shared" si="64"/>
        <v>812.96006649231458</v>
      </c>
      <c r="CC98" s="62">
        <f t="shared" si="65"/>
        <v>1088.9075124110805</v>
      </c>
      <c r="CD98" s="62">
        <f ca="1">AVERAGE(OFFSET($CC$3,0,0,'Données projet'!$E$12+1,1))-AVERAGE(OFFSET($H$3,0,0,'Données projet'!$E$12+1,1))</f>
        <v>530.15080507516973</v>
      </c>
      <c r="CE98" s="62">
        <f t="shared" si="94"/>
        <v>358.10331902702217</v>
      </c>
      <c r="CF98" s="16">
        <f>IF(ISNA(VLOOKUP(A98,'Données projet'!$A$113:$I$133,3,0)),0,VLOOKUP(A98,'Données projet'!$A$113:$I$133,3,0))</f>
        <v>16</v>
      </c>
      <c r="CG98" s="16">
        <f>IF(ISNA(VLOOKUP(A98,'Données projet'!$A$113:$I$133,4,0)),0,VLOOKUP(A98,'Données projet'!$A$113:$I$133,4,0))</f>
        <v>27</v>
      </c>
      <c r="CH98" s="17">
        <f>IF(ISNA(VLOOKUP(A98,'Données projet'!$A$113:$I$133,5,0)),0%,VLOOKUP(A98,'Données projet'!$A$113:$I$133,5,0)*VLOOKUP('Données projet'!$B$12,Paramètres!$A$1:$I$89,7,0))</f>
        <v>0.38700000000000001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71.111257377913816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71.111257377913816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-5.6843418860808015E-14</v>
      </c>
      <c r="CU98" s="18">
        <f>CT98*VLOOKUP('Données projet'!$B$13,Paramètres!$A$1:$I$89,3,0)*VLOOKUP('Données projet'!$B$13,Paramètres!$A$1:$I$89,5,0)</f>
        <v>-4.8771653382573282E-14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182.98212193167009</v>
      </c>
      <c r="CZ98" s="62">
        <f t="shared" si="96"/>
        <v>195.9200038944301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54.953121024738472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54.953121024738472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2.2737367544323206E-13</v>
      </c>
      <c r="DP98" s="18">
        <f>DO98*VLOOKUP('Données projet'!$B$14,Paramètres!$A$1:$I$89,3,0)*VLOOKUP('Données projet'!$B$14,Paramètres!$A$1:$I$89,5,0)</f>
        <v>1.0049916454590858E-13</v>
      </c>
      <c r="DQ98" s="14">
        <f t="shared" si="97"/>
        <v>1.5089081593838289E-12</v>
      </c>
      <c r="DR98" s="22">
        <f t="shared" si="70"/>
        <v>2.8030510891776262E-12</v>
      </c>
      <c r="DS98" s="62">
        <f t="shared" si="71"/>
        <v>275.94744591876872</v>
      </c>
      <c r="DT98" s="62">
        <f ca="1">AVERAGE(OFFSET($DS$3,0,0,'Données projet'!$E$14+1,1))-AVERAGE(OFFSET($H$3,0,0,'Données projet'!$E$14+1,1))</f>
        <v>338.33525241236157</v>
      </c>
      <c r="DU98" s="62">
        <f t="shared" si="98"/>
        <v>373.47257029791717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120.90390684917261</v>
      </c>
      <c r="EB98" s="23">
        <f>EXP(-LN(2)/25)*EB97+(1-EXP(-LN(2)/25))/(LN(2)/25)*Calculateur!DW98*Calculateur!DY98*VLOOKUP('Données projet'!$B$14,Paramètres!$A$1:$I$89,3,0)*0.475*44/12</f>
        <v>16.103247075508602</v>
      </c>
      <c r="EC98" s="23">
        <f>EXP(-LN(2)/2)*EC97+(1-EXP(-LN(2)/2))/(LN(2)/2)*DW98*DZ98*VLOOKUP('Données projet'!$B$14,Paramètres!$A$1:$I$89,3,0)*0.475*44/12</f>
        <v>7.9725135994213029E-5</v>
      </c>
      <c r="ED98" s="24">
        <f t="shared" si="72"/>
        <v>137.00723364981721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-2.8421709430404007E-14</v>
      </c>
      <c r="EK98" s="18">
        <f>EJ98*VLOOKUP('Données projet'!$B$15,Paramètres!$A$1:$I$89,3,0)*VLOOKUP('Données projet'!$B$15,Paramètres!$A$1:$I$89,5,0)</f>
        <v>-2.2168933355715127E-14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144.92790055195192</v>
      </c>
      <c r="EP98" s="62">
        <f t="shared" si="100"/>
        <v>151.00642748754026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30.426940607372725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30.426940607372725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-1.7053025658242404E-13</v>
      </c>
      <c r="O99" s="14">
        <f>N99*VLOOKUP('Données projet'!$B$9,Paramètres!$A$1:$I$89,3,0)*VLOOKUP('Données projet'!$B$9,Paramètres!$A$1:$I$89,5,0)</f>
        <v>-1.383341441396624E-13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259.10606516000064</v>
      </c>
      <c r="T99" s="62">
        <f t="shared" si="88"/>
        <v>316.57989180609252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50.076759764200474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50.076759764200474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186.83226999296298</v>
      </c>
      <c r="AO99" s="62">
        <f t="shared" si="90"/>
        <v>232.70925470547317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59.931241869650904</v>
      </c>
      <c r="AV99" s="23">
        <f>EXP(-LN(2)/25)*AV98+(1-EXP(-LN(2)/25))/(LN(2)/25)*Calculateur!AQ99*Calculateur!AS99*VLOOKUP('Données projet'!$B$10,Paramètres!$A$1:$I$89,3,0)*0.475*44/12</f>
        <v>4.9360188894595858</v>
      </c>
      <c r="AW99" s="23">
        <f>EXP(-LN(2)/2)*AW98+(1-EXP(-LN(2)/2))/(LN(2)/2)*AQ99*AT99*VLOOKUP('Données projet'!$B$10,Paramètres!$A$1:$I$89,3,0)*0.475*44/12</f>
        <v>2.8645502068670426E-5</v>
      </c>
      <c r="AX99" s="23">
        <f t="shared" si="60"/>
        <v>64.867289404612563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5.4</v>
      </c>
      <c r="BD99" s="13">
        <f>IF('Données projet'!$A$88&gt;35,BD98+BC99-BL98,IF(A99&lt;'Données projet'!$A$88,$BA$205^A99,IF(A99='Données projet'!$A$88,'Données projet'!$B$88,BD98+BC99-BL98)))</f>
        <v>311.39999999999986</v>
      </c>
      <c r="BE99" s="14">
        <f>BD99*VLOOKUP('Données projet'!$B$11,Paramètres!$A$1:$I$89,3,0)*VLOOKUP('Données projet'!$B$11,Paramètres!$A$1:$I$89,5,0)</f>
        <v>281.75471999999985</v>
      </c>
      <c r="BF99" s="14">
        <f t="shared" si="91"/>
        <v>67.337696723120317</v>
      </c>
      <c r="BG99" s="22">
        <f t="shared" si="61"/>
        <v>608.0026257927675</v>
      </c>
      <c r="BH99" s="62">
        <f t="shared" si="62"/>
        <v>884.25167798915493</v>
      </c>
      <c r="BI99" s="62">
        <f ca="1">AVERAGE(OFFSET($BH$3,0,0,'Données projet'!$E$11+1,1))-AVERAGE(OFFSET($H$3,0,0,'Données projet'!$E$11+1,1))</f>
        <v>435.70500547084868</v>
      </c>
      <c r="BJ99" s="62">
        <f t="shared" si="92"/>
        <v>297.32483725004136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55.39143728315608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55.39143728315608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5.4</v>
      </c>
      <c r="BY99" s="13">
        <f>IF('Données projet'!$A$114&gt;35,BY98+BX99-CG98,IF(A99&lt;'Données projet'!$A$114,$BV$205^A99,IF(A99='Données projet'!$A$114,'Données projet'!$B$114,BY98+BX99-CG98)))</f>
        <v>311.39999999999986</v>
      </c>
      <c r="BZ99" s="14">
        <f>BY99*VLOOKUP('Données projet'!$B$12,Paramètres!$A$1:$I$89,3,0)*VLOOKUP('Données projet'!$B$12,Paramètres!$A$1:$I$89,5,0)</f>
        <v>354.62231999999983</v>
      </c>
      <c r="CA99" s="14">
        <f t="shared" si="93"/>
        <v>82.513566936191424</v>
      </c>
      <c r="CB99" s="22">
        <f t="shared" si="64"/>
        <v>761.34500308053305</v>
      </c>
      <c r="CC99" s="62">
        <f t="shared" si="65"/>
        <v>1037.5940552769205</v>
      </c>
      <c r="CD99" s="62">
        <f ca="1">AVERAGE(OFFSET($CC$3,0,0,'Données projet'!$E$12+1,1))-AVERAGE(OFFSET($H$3,0,0,'Données projet'!$E$12+1,1))</f>
        <v>530.15080507516973</v>
      </c>
      <c r="CE99" s="62">
        <f t="shared" si="94"/>
        <v>358.10331902702217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69.716808994317134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69.716808994317134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-5.6843418860808015E-14</v>
      </c>
      <c r="CU99" s="18">
        <f>CT99*VLOOKUP('Données projet'!$B$13,Paramètres!$A$1:$I$89,3,0)*VLOOKUP('Données projet'!$B$13,Paramètres!$A$1:$I$89,5,0)</f>
        <v>-4.8771653382573282E-14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182.98212193167009</v>
      </c>
      <c r="CZ99" s="62">
        <f t="shared" si="96"/>
        <v>195.9200038944301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53.875523839537536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53.875523839537536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2.2737367544323206E-13</v>
      </c>
      <c r="DP99" s="18">
        <f>DO99*VLOOKUP('Données projet'!$B$14,Paramètres!$A$1:$I$89,3,0)*VLOOKUP('Données projet'!$B$14,Paramètres!$A$1:$I$89,5,0)</f>
        <v>1.0049916454590858E-13</v>
      </c>
      <c r="DQ99" s="14">
        <f t="shared" si="97"/>
        <v>1.5089081593838289E-12</v>
      </c>
      <c r="DR99" s="22">
        <f t="shared" si="70"/>
        <v>2.8030510891776262E-12</v>
      </c>
      <c r="DS99" s="62">
        <f t="shared" si="71"/>
        <v>276.24905219639021</v>
      </c>
      <c r="DT99" s="62">
        <f ca="1">AVERAGE(OFFSET($DS$3,0,0,'Données projet'!$E$14+1,1))-AVERAGE(OFFSET($H$3,0,0,'Données projet'!$E$14+1,1))</f>
        <v>338.33525241236157</v>
      </c>
      <c r="DU99" s="62">
        <f t="shared" si="98"/>
        <v>373.47257029791717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118.53305497996189</v>
      </c>
      <c r="EB99" s="23">
        <f>EXP(-LN(2)/25)*EB98+(1-EXP(-LN(2)/25))/(LN(2)/25)*Calculateur!DW99*Calculateur!DY99*VLOOKUP('Données projet'!$B$14,Paramètres!$A$1:$I$89,3,0)*0.475*44/12</f>
        <v>15.662902937395859</v>
      </c>
      <c r="EC99" s="23">
        <f>EXP(-LN(2)/2)*EC98+(1-EXP(-LN(2)/2))/(LN(2)/2)*DW99*DZ99*VLOOKUP('Données projet'!$B$14,Paramètres!$A$1:$I$89,3,0)*0.475*44/12</f>
        <v>5.6374184292527737E-5</v>
      </c>
      <c r="ED99" s="24">
        <f t="shared" si="72"/>
        <v>134.19601429154204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-2.8421709430404007E-14</v>
      </c>
      <c r="EK99" s="18">
        <f>EJ99*VLOOKUP('Données projet'!$B$15,Paramètres!$A$1:$I$89,3,0)*VLOOKUP('Données projet'!$B$15,Paramètres!$A$1:$I$89,5,0)</f>
        <v>-2.2168933355715127E-14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144.92790055195192</v>
      </c>
      <c r="EP99" s="62">
        <f t="shared" si="100"/>
        <v>151.00642748754026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29.830286860663406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29.830286860663406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-1.7053025658242404E-13</v>
      </c>
      <c r="O100" s="14">
        <f>N100*VLOOKUP('Données projet'!$B$9,Paramètres!$A$1:$I$89,3,0)*VLOOKUP('Données projet'!$B$9,Paramètres!$A$1:$I$89,5,0)</f>
        <v>-1.383341441396624E-13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259.10606516000064</v>
      </c>
      <c r="T100" s="62">
        <f t="shared" si="88"/>
        <v>316.57989180609252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49.094785049032012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49.094785049032012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186.83226999296298</v>
      </c>
      <c r="AO100" s="62">
        <f t="shared" si="90"/>
        <v>232.70925470547317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58.756026771035138</v>
      </c>
      <c r="AV100" s="23">
        <f>EXP(-LN(2)/25)*AV99+(1-EXP(-LN(2)/25))/(LN(2)/25)*Calculateur!AQ100*Calculateur!AS100*VLOOKUP('Données projet'!$B$10,Paramètres!$A$1:$I$89,3,0)*0.475*44/12</f>
        <v>4.8010431933533617</v>
      </c>
      <c r="AW100" s="23">
        <f>EXP(-LN(2)/2)*AW99+(1-EXP(-LN(2)/2))/(LN(2)/2)*AQ100*AT100*VLOOKUP('Données projet'!$B$10,Paramètres!$A$1:$I$89,3,0)*0.475*44/12</f>
        <v>2.0255428763250136E-5</v>
      </c>
      <c r="AX100" s="23">
        <f t="shared" si="60"/>
        <v>63.557090219817269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5.4</v>
      </c>
      <c r="BD100" s="13">
        <f>IF('Données projet'!$A$88&gt;35,BD99+BC100-BL99,IF(A100&lt;'Données projet'!$A$88,$BA$205^A100,IF(A100='Données projet'!$A$88,'Données projet'!$B$88,BD99+BC100-BL99)))</f>
        <v>316.79999999999984</v>
      </c>
      <c r="BE100" s="14">
        <f>BD100*VLOOKUP('Données projet'!$B$11,Paramètres!$A$1:$I$89,3,0)*VLOOKUP('Données projet'!$B$11,Paramètres!$A$1:$I$89,5,0)</f>
        <v>286.64063999999985</v>
      </c>
      <c r="BF100" s="14">
        <f t="shared" si="91"/>
        <v>68.368446832003599</v>
      </c>
      <c r="BG100" s="22">
        <f t="shared" si="61"/>
        <v>618.3074928990726</v>
      </c>
      <c r="BH100" s="62">
        <f t="shared" si="62"/>
        <v>894.85291917845541</v>
      </c>
      <c r="BI100" s="62">
        <f ca="1">AVERAGE(OFFSET($BH$3,0,0,'Données projet'!$E$11+1,1))-AVERAGE(OFFSET($H$3,0,0,'Données projet'!$E$11+1,1))</f>
        <v>435.70500547084868</v>
      </c>
      <c r="BJ100" s="62">
        <f t="shared" si="92"/>
        <v>297.32483725004136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54.305244983474097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54.305244983474097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5.4</v>
      </c>
      <c r="BY100" s="13">
        <f>IF('Données projet'!$A$114&gt;35,BY99+BX100-CG99,IF(A100&lt;'Données projet'!$A$114,$BV$205^A100,IF(A100='Données projet'!$A$114,'Données projet'!$B$114,BY99+BX100-CG99)))</f>
        <v>316.79999999999984</v>
      </c>
      <c r="BZ100" s="14">
        <f>BY100*VLOOKUP('Données projet'!$B$12,Paramètres!$A$1:$I$89,3,0)*VLOOKUP('Données projet'!$B$12,Paramètres!$A$1:$I$89,5,0)</f>
        <v>360.77183999999983</v>
      </c>
      <c r="CA100" s="14">
        <f t="shared" si="93"/>
        <v>83.77661679151295</v>
      </c>
      <c r="CB100" s="22">
        <f t="shared" si="64"/>
        <v>774.25522891188473</v>
      </c>
      <c r="CC100" s="62">
        <f t="shared" si="65"/>
        <v>1050.8006551912677</v>
      </c>
      <c r="CD100" s="62">
        <f ca="1">AVERAGE(OFFSET($CC$3,0,0,'Données projet'!$E$12+1,1))-AVERAGE(OFFSET($H$3,0,0,'Données projet'!$E$12+1,1))</f>
        <v>530.15080507516973</v>
      </c>
      <c r="CE100" s="62">
        <f t="shared" si="94"/>
        <v>358.10331902702217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68.349704892993259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68.349704892993259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-5.6843418860808015E-14</v>
      </c>
      <c r="CU100" s="18">
        <f>CT100*VLOOKUP('Données projet'!$B$13,Paramètres!$A$1:$I$89,3,0)*VLOOKUP('Données projet'!$B$13,Paramètres!$A$1:$I$89,5,0)</f>
        <v>-4.8771653382573282E-14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182.98212193167009</v>
      </c>
      <c r="CZ100" s="62">
        <f t="shared" si="96"/>
        <v>195.9200038944301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52.819057677869012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52.819057677869012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2.2737367544323206E-13</v>
      </c>
      <c r="DP100" s="18">
        <f>DO100*VLOOKUP('Données projet'!$B$14,Paramètres!$A$1:$I$89,3,0)*VLOOKUP('Données projet'!$B$14,Paramètres!$A$1:$I$89,5,0)</f>
        <v>1.0049916454590858E-13</v>
      </c>
      <c r="DQ100" s="14">
        <f t="shared" si="97"/>
        <v>1.5089081593838289E-12</v>
      </c>
      <c r="DR100" s="22">
        <f t="shared" si="70"/>
        <v>2.8030510891776262E-12</v>
      </c>
      <c r="DS100" s="62">
        <f t="shared" si="71"/>
        <v>276.54542627938559</v>
      </c>
      <c r="DT100" s="62">
        <f ca="1">AVERAGE(OFFSET($DS$3,0,0,'Données projet'!$E$14+1,1))-AVERAGE(OFFSET($H$3,0,0,'Données projet'!$E$14+1,1))</f>
        <v>338.33525241236157</v>
      </c>
      <c r="DU100" s="62">
        <f t="shared" si="98"/>
        <v>373.47257029791717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116.20869406982953</v>
      </c>
      <c r="EB100" s="23">
        <f>EXP(-LN(2)/25)*EB99+(1-EXP(-LN(2)/25))/(LN(2)/25)*Calculateur!DW100*Calculateur!DY100*VLOOKUP('Données projet'!$B$14,Paramètres!$A$1:$I$89,3,0)*0.475*44/12</f>
        <v>15.234600032896502</v>
      </c>
      <c r="EC100" s="23">
        <f>EXP(-LN(2)/2)*EC99+(1-EXP(-LN(2)/2))/(LN(2)/2)*DW100*DZ100*VLOOKUP('Données projet'!$B$14,Paramètres!$A$1:$I$89,3,0)*0.475*44/12</f>
        <v>3.9862567997106514E-5</v>
      </c>
      <c r="ED100" s="24">
        <f t="shared" si="72"/>
        <v>131.44333396529404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-2.8421709430404007E-14</v>
      </c>
      <c r="EK100" s="18">
        <f>EJ100*VLOOKUP('Données projet'!$B$15,Paramètres!$A$1:$I$89,3,0)*VLOOKUP('Données projet'!$B$15,Paramètres!$A$1:$I$89,5,0)</f>
        <v>-2.2168933355715127E-14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144.92790055195192</v>
      </c>
      <c r="EP100" s="62">
        <f t="shared" si="100"/>
        <v>151.00642748754026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29.245333130004205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29.245333130004205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-1.7053025658242404E-13</v>
      </c>
      <c r="O101" s="14">
        <f>N101*VLOOKUP('Données projet'!$B$9,Paramètres!$A$1:$I$89,3,0)*VLOOKUP('Données projet'!$B$9,Paramètres!$A$1:$I$89,5,0)</f>
        <v>-1.383341441396624E-13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259.10606516000064</v>
      </c>
      <c r="T101" s="62">
        <f t="shared" si="88"/>
        <v>316.57989180609252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48.132066259082563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48.132066259082563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186.83226999296298</v>
      </c>
      <c r="AO101" s="62">
        <f t="shared" si="90"/>
        <v>232.70925470547317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57.603856923692796</v>
      </c>
      <c r="AV101" s="23">
        <f>EXP(-LN(2)/25)*AV100+(1-EXP(-LN(2)/25))/(LN(2)/25)*Calculateur!AQ101*Calculateur!AS101*VLOOKUP('Données projet'!$B$10,Paramètres!$A$1:$I$89,3,0)*0.475*44/12</f>
        <v>4.6697584147552256</v>
      </c>
      <c r="AW101" s="23">
        <f>EXP(-LN(2)/2)*AW100+(1-EXP(-LN(2)/2))/(LN(2)/2)*AQ101*AT101*VLOOKUP('Données projet'!$B$10,Paramètres!$A$1:$I$89,3,0)*0.475*44/12</f>
        <v>1.4322751034335216E-5</v>
      </c>
      <c r="AX101" s="23">
        <f t="shared" si="60"/>
        <v>62.27362966119906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5.4</v>
      </c>
      <c r="BD101" s="13">
        <f>IF('Données projet'!$A$88&gt;35,BD100+BC101-BL100,IF(A101&lt;'Données projet'!$A$88,$BA$205^A101,IF(A101='Données projet'!$A$88,'Données projet'!$B$88,BD100+BC101-BL100)))</f>
        <v>322.19999999999982</v>
      </c>
      <c r="BE101" s="14">
        <f>BD101*VLOOKUP('Données projet'!$B$11,Paramètres!$A$1:$I$89,3,0)*VLOOKUP('Données projet'!$B$11,Paramètres!$A$1:$I$89,5,0)</f>
        <v>291.52655999999985</v>
      </c>
      <c r="BF101" s="14">
        <f t="shared" si="91"/>
        <v>69.397153761857183</v>
      </c>
      <c r="BG101" s="22">
        <f t="shared" si="61"/>
        <v>628.60880146856755</v>
      </c>
      <c r="BH101" s="62">
        <f t="shared" si="62"/>
        <v>905.44546040319892</v>
      </c>
      <c r="BI101" s="62">
        <f ca="1">AVERAGE(OFFSET($BH$3,0,0,'Données projet'!$E$11+1,1))-AVERAGE(OFFSET($H$3,0,0,'Données projet'!$E$11+1,1))</f>
        <v>435.70500547084868</v>
      </c>
      <c r="BJ101" s="62">
        <f t="shared" si="92"/>
        <v>297.32483725004136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53.240352252276992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53.240352252276992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5.4</v>
      </c>
      <c r="BY101" s="13">
        <f>IF('Données projet'!$A$114&gt;35,BY100+BX101-CG100,IF(A101&lt;'Données projet'!$A$114,$BV$205^A101,IF(A101='Données projet'!$A$114,'Données projet'!$B$114,BY100+BX101-CG100)))</f>
        <v>322.19999999999982</v>
      </c>
      <c r="BZ101" s="14">
        <f>BY101*VLOOKUP('Données projet'!$B$12,Paramètres!$A$1:$I$89,3,0)*VLOOKUP('Données projet'!$B$12,Paramètres!$A$1:$I$89,5,0)</f>
        <v>366.92135999999982</v>
      </c>
      <c r="CA101" s="14">
        <f t="shared" si="93"/>
        <v>85.037162997351075</v>
      </c>
      <c r="CB101" s="22">
        <f t="shared" si="64"/>
        <v>787.16109422038608</v>
      </c>
      <c r="CC101" s="62">
        <f t="shared" si="65"/>
        <v>1063.9977531550176</v>
      </c>
      <c r="CD101" s="62">
        <f ca="1">AVERAGE(OFFSET($CC$3,0,0,'Données projet'!$E$12+1,1))-AVERAGE(OFFSET($H$3,0,0,'Données projet'!$E$12+1,1))</f>
        <v>530.15080507516973</v>
      </c>
      <c r="CE101" s="62">
        <f t="shared" si="94"/>
        <v>358.10331902702217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67.009408869245178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67.009408869245178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-5.6843418860808015E-14</v>
      </c>
      <c r="CU101" s="18">
        <f>CT101*VLOOKUP('Données projet'!$B$13,Paramètres!$A$1:$I$89,3,0)*VLOOKUP('Données projet'!$B$13,Paramètres!$A$1:$I$89,5,0)</f>
        <v>-4.8771653382573282E-14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182.98212193167009</v>
      </c>
      <c r="CZ101" s="62">
        <f t="shared" si="96"/>
        <v>195.9200038944301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51.783308173250077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51.783308173250077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2.2737367544323206E-13</v>
      </c>
      <c r="DP101" s="18">
        <f>DO101*VLOOKUP('Données projet'!$B$14,Paramètres!$A$1:$I$89,3,0)*VLOOKUP('Données projet'!$B$14,Paramètres!$A$1:$I$89,5,0)</f>
        <v>1.0049916454590858E-13</v>
      </c>
      <c r="DQ101" s="14">
        <f t="shared" si="97"/>
        <v>1.5089081593838289E-12</v>
      </c>
      <c r="DR101" s="22">
        <f t="shared" si="70"/>
        <v>2.8030510891776262E-12</v>
      </c>
      <c r="DS101" s="62">
        <f t="shared" si="71"/>
        <v>276.83665893463416</v>
      </c>
      <c r="DT101" s="62">
        <f ca="1">AVERAGE(OFFSET($DS$3,0,0,'Données projet'!$E$14+1,1))-AVERAGE(OFFSET($H$3,0,0,'Données projet'!$E$14+1,1))</f>
        <v>338.33525241236157</v>
      </c>
      <c r="DU101" s="62">
        <f t="shared" si="98"/>
        <v>373.47257029791717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113.92991245942471</v>
      </c>
      <c r="EB101" s="23">
        <f>EXP(-LN(2)/25)*EB100+(1-EXP(-LN(2)/25))/(LN(2)/25)*Calculateur!DW101*Calculateur!DY101*VLOOKUP('Données projet'!$B$14,Paramètres!$A$1:$I$89,3,0)*0.475*44/12</f>
        <v>14.81800909384415</v>
      </c>
      <c r="EC101" s="23">
        <f>EXP(-LN(2)/2)*EC100+(1-EXP(-LN(2)/2))/(LN(2)/2)*DW101*DZ101*VLOOKUP('Données projet'!$B$14,Paramètres!$A$1:$I$89,3,0)*0.475*44/12</f>
        <v>2.8187092146263869E-5</v>
      </c>
      <c r="ED101" s="24">
        <f t="shared" si="72"/>
        <v>128.74794974036101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-2.8421709430404007E-14</v>
      </c>
      <c r="EK101" s="18">
        <f>EJ101*VLOOKUP('Données projet'!$B$15,Paramètres!$A$1:$I$89,3,0)*VLOOKUP('Données projet'!$B$15,Paramètres!$A$1:$I$89,5,0)</f>
        <v>-2.2168933355715127E-14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144.92790055195192</v>
      </c>
      <c r="EP101" s="62">
        <f t="shared" si="100"/>
        <v>151.00642748754026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28.671849985216685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28.671849985216685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-1.7053025658242404E-13</v>
      </c>
      <c r="O102" s="14">
        <f>N102*VLOOKUP('Données projet'!$B$9,Paramètres!$A$1:$I$89,3,0)*VLOOKUP('Données projet'!$B$9,Paramètres!$A$1:$I$89,5,0)</f>
        <v>-1.383341441396624E-13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259.10606516000064</v>
      </c>
      <c r="T102" s="62">
        <f t="shared" si="88"/>
        <v>316.57989180609252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47.188225797403547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47.188225797403547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186.83226999296298</v>
      </c>
      <c r="AO102" s="62">
        <f t="shared" si="90"/>
        <v>232.70925470547317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56.47428042430262</v>
      </c>
      <c r="AV102" s="23">
        <f>EXP(-LN(2)/25)*AV101+(1-EXP(-LN(2)/25))/(LN(2)/25)*Calculateur!AQ102*Calculateur!AS102*VLOOKUP('Données projet'!$B$10,Paramètres!$A$1:$I$89,3,0)*0.475*44/12</f>
        <v>4.5420636253318216</v>
      </c>
      <c r="AW102" s="23">
        <f>EXP(-LN(2)/2)*AW101+(1-EXP(-LN(2)/2))/(LN(2)/2)*AQ102*AT102*VLOOKUP('Données projet'!$B$10,Paramètres!$A$1:$I$89,3,0)*0.475*44/12</f>
        <v>1.012771438162507E-5</v>
      </c>
      <c r="AX102" s="23">
        <f t="shared" si="60"/>
        <v>61.016354177348823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5.4</v>
      </c>
      <c r="BD102" s="13">
        <f>IF('Données projet'!$A$88&gt;35,BD101+BC102-BL101,IF(A102&lt;'Données projet'!$A$88,$BA$205^A102,IF(A102='Données projet'!$A$88,'Données projet'!$B$88,BD101+BC102-BL101)))</f>
        <v>327.5999999999998</v>
      </c>
      <c r="BE102" s="14">
        <f>BD102*VLOOKUP('Données projet'!$B$11,Paramètres!$A$1:$I$89,3,0)*VLOOKUP('Données projet'!$B$11,Paramètres!$A$1:$I$89,5,0)</f>
        <v>296.41247999999979</v>
      </c>
      <c r="BF102" s="14">
        <f t="shared" si="91"/>
        <v>70.423855708154704</v>
      </c>
      <c r="BG102" s="22">
        <f t="shared" si="61"/>
        <v>638.90661802503575</v>
      </c>
      <c r="BH102" s="62">
        <f t="shared" si="62"/>
        <v>916.02945737944583</v>
      </c>
      <c r="BI102" s="62">
        <f ca="1">AVERAGE(OFFSET($BH$3,0,0,'Données projet'!$E$11+1,1))-AVERAGE(OFFSET($H$3,0,0,'Données projet'!$E$11+1,1))</f>
        <v>435.70500547084868</v>
      </c>
      <c r="BJ102" s="62">
        <f t="shared" si="92"/>
        <v>297.32483725004136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52.196341418018228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52.196341418018228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5.4</v>
      </c>
      <c r="BY102" s="13">
        <f>IF('Données projet'!$A$114&gt;35,BY101+BX102-CG101,IF(A102&lt;'Données projet'!$A$114,$BV$205^A102,IF(A102='Données projet'!$A$114,'Données projet'!$B$114,BY101+BX102-CG101)))</f>
        <v>327.5999999999998</v>
      </c>
      <c r="BZ102" s="14">
        <f>BY102*VLOOKUP('Données projet'!$B$12,Paramètres!$A$1:$I$89,3,0)*VLOOKUP('Données projet'!$B$12,Paramètres!$A$1:$I$89,5,0)</f>
        <v>373.07087999999976</v>
      </c>
      <c r="CA102" s="14">
        <f t="shared" si="93"/>
        <v>86.295252357277917</v>
      </c>
      <c r="CB102" s="22">
        <f t="shared" si="64"/>
        <v>800.06268052225869</v>
      </c>
      <c r="CC102" s="62">
        <f t="shared" si="65"/>
        <v>1077.1855198766689</v>
      </c>
      <c r="CD102" s="62">
        <f ca="1">AVERAGE(OFFSET($CC$3,0,0,'Données projet'!$E$12+1,1))-AVERAGE(OFFSET($H$3,0,0,'Données projet'!$E$12+1,1))</f>
        <v>530.15080507516973</v>
      </c>
      <c r="CE102" s="62">
        <f t="shared" si="94"/>
        <v>358.10331902702217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65.69539523302295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65.69539523302295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-5.6843418860808015E-14</v>
      </c>
      <c r="CU102" s="18">
        <f>CT102*VLOOKUP('Données projet'!$B$13,Paramètres!$A$1:$I$89,3,0)*VLOOKUP('Données projet'!$B$13,Paramètres!$A$1:$I$89,5,0)</f>
        <v>-4.8771653382573282E-14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182.98212193167009</v>
      </c>
      <c r="CZ102" s="62">
        <f t="shared" si="96"/>
        <v>195.9200038944301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50.767869084671901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50.767869084671901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2.2737367544323206E-13</v>
      </c>
      <c r="DP102" s="18">
        <f>DO102*VLOOKUP('Données projet'!$B$14,Paramètres!$A$1:$I$89,3,0)*VLOOKUP('Données projet'!$B$14,Paramètres!$A$1:$I$89,5,0)</f>
        <v>1.0049916454590858E-13</v>
      </c>
      <c r="DQ102" s="14">
        <f t="shared" si="97"/>
        <v>1.5089081593838289E-12</v>
      </c>
      <c r="DR102" s="22">
        <f t="shared" si="70"/>
        <v>2.8030510891776262E-12</v>
      </c>
      <c r="DS102" s="62">
        <f t="shared" si="71"/>
        <v>277.12283935441292</v>
      </c>
      <c r="DT102" s="62">
        <f ca="1">AVERAGE(OFFSET($DS$3,0,0,'Données projet'!$E$14+1,1))-AVERAGE(OFFSET($H$3,0,0,'Données projet'!$E$14+1,1))</f>
        <v>338.33525241236157</v>
      </c>
      <c r="DU102" s="62">
        <f t="shared" si="98"/>
        <v>373.47257029791717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111.69581636648039</v>
      </c>
      <c r="EB102" s="23">
        <f>EXP(-LN(2)/25)*EB101+(1-EXP(-LN(2)/25))/(LN(2)/25)*Calculateur!DW102*Calculateur!DY102*VLOOKUP('Données projet'!$B$14,Paramètres!$A$1:$I$89,3,0)*0.475*44/12</f>
        <v>14.412809855927751</v>
      </c>
      <c r="EC102" s="23">
        <f>EXP(-LN(2)/2)*EC101+(1-EXP(-LN(2)/2))/(LN(2)/2)*DW102*DZ102*VLOOKUP('Données projet'!$B$14,Paramètres!$A$1:$I$89,3,0)*0.475*44/12</f>
        <v>1.9931283998553257E-5</v>
      </c>
      <c r="ED102" s="24">
        <f t="shared" si="72"/>
        <v>126.10864615369213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-2.8421709430404007E-14</v>
      </c>
      <c r="EK102" s="18">
        <f>EJ102*VLOOKUP('Données projet'!$B$15,Paramètres!$A$1:$I$89,3,0)*VLOOKUP('Données projet'!$B$15,Paramètres!$A$1:$I$89,5,0)</f>
        <v>-2.2168933355715127E-14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144.92790055195192</v>
      </c>
      <c r="EP102" s="62">
        <f t="shared" si="100"/>
        <v>151.00642748754026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28.109612495108269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28.109612495108269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-1.7053025658242404E-13</v>
      </c>
      <c r="O103" s="14">
        <f>N103*VLOOKUP('Données projet'!$B$9,Paramètres!$A$1:$I$89,3,0)*VLOOKUP('Données projet'!$B$9,Paramètres!$A$1:$I$89,5,0)</f>
        <v>-1.383341441396624E-13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259.10606516000064</v>
      </c>
      <c r="T103" s="62">
        <f t="shared" si="88"/>
        <v>316.57989180609252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46.262893471492212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46.262893471492212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186.83226999296298</v>
      </c>
      <c r="AO103" s="62">
        <f t="shared" si="90"/>
        <v>232.70925470547317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55.366854231091857</v>
      </c>
      <c r="AV103" s="23">
        <f>EXP(-LN(2)/25)*AV102+(1-EXP(-LN(2)/25))/(LN(2)/25)*Calculateur!AQ103*Calculateur!AS103*VLOOKUP('Données projet'!$B$10,Paramètres!$A$1:$I$89,3,0)*0.475*44/12</f>
        <v>4.4178606566403777</v>
      </c>
      <c r="AW103" s="23">
        <f>EXP(-LN(2)/2)*AW102+(1-EXP(-LN(2)/2))/(LN(2)/2)*AQ103*AT103*VLOOKUP('Données projet'!$B$10,Paramètres!$A$1:$I$89,3,0)*0.475*44/12</f>
        <v>7.1613755171676089E-6</v>
      </c>
      <c r="AX103" s="23">
        <f t="shared" si="60"/>
        <v>59.784722049107749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333</v>
      </c>
      <c r="BB103" s="13">
        <f>VLOOKUP(A103,'Données projet'!$A$87:$I$107,9,0)</f>
        <v>5.4</v>
      </c>
      <c r="BC103" s="13">
        <f t="array" ref="BC103">INDEX(BB:BB,MIN(IF(ISNUMBER(BB103:BB299),ROW(BB103:BB299),"")))</f>
        <v>5.4</v>
      </c>
      <c r="BD103" s="13">
        <f>IF('Données projet'!$A$88&gt;35,BD102+BC103-BL102,IF(A103&lt;'Données projet'!$A$88,$BA$205^A103,IF(A103='Données projet'!$A$88,'Données projet'!$B$88,BD102+BC103-BL102)))</f>
        <v>332.99999999999977</v>
      </c>
      <c r="BE103" s="14">
        <f>BD103*VLOOKUP('Données projet'!$B$11,Paramètres!$A$1:$I$89,3,0)*VLOOKUP('Données projet'!$B$11,Paramètres!$A$1:$I$89,5,0)</f>
        <v>301.29839999999979</v>
      </c>
      <c r="BF103" s="14">
        <f t="shared" si="91"/>
        <v>71.448589534990461</v>
      </c>
      <c r="BG103" s="22">
        <f t="shared" si="61"/>
        <v>649.20100677344124</v>
      </c>
      <c r="BH103" s="62">
        <f t="shared" si="62"/>
        <v>926.60506195715038</v>
      </c>
      <c r="BI103" s="62">
        <f ca="1">AVERAGE(OFFSET($BH$3,0,0,'Données projet'!$E$11+1,1))-AVERAGE(OFFSET($H$3,0,0,'Données projet'!$E$11+1,1))</f>
        <v>435.70500547084868</v>
      </c>
      <c r="BJ103" s="62">
        <f t="shared" si="92"/>
        <v>297.32483725004136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333</v>
      </c>
      <c r="BM103" s="17">
        <f>IF(ISNA(VLOOKUP(A103,'Données projet'!$A$87:$I$107,5,0)),0%,VLOOKUP(A103,'Données projet'!$A$87:$I$107,5,0)*VLOOKUP('Données projet'!$B$11,Paramètres!$A$1:$I$89,7,0))</f>
        <v>0.38700000000000001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180.07339170389508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180.07339170389508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333</v>
      </c>
      <c r="BW103" s="13">
        <f>VLOOKUP(A103,'Données projet'!$A$113:$I$133,9,0)</f>
        <v>5.4</v>
      </c>
      <c r="BX103" s="13">
        <f t="array" ref="BX103">INDEX(BW:BW,MIN(IF(ISNUMBER(BW103:BW299),ROW(BW103:BW299),"")))</f>
        <v>5.4</v>
      </c>
      <c r="BY103" s="13">
        <f>IF('Données projet'!$A$114&gt;35,BY102+BX103-CG102,IF(A103&lt;'Données projet'!$A$114,$BV$205^A103,IF(A103='Données projet'!$A$114,'Données projet'!$B$114,BY102+BX103-CG102)))</f>
        <v>332.99999999999977</v>
      </c>
      <c r="BZ103" s="14">
        <f>BY103*VLOOKUP('Données projet'!$B$12,Paramètres!$A$1:$I$89,3,0)*VLOOKUP('Données projet'!$B$12,Paramètres!$A$1:$I$89,5,0)</f>
        <v>379.22039999999976</v>
      </c>
      <c r="CA103" s="14">
        <f t="shared" si="93"/>
        <v>87.550930043434363</v>
      </c>
      <c r="CB103" s="22">
        <f t="shared" si="64"/>
        <v>812.96006649231424</v>
      </c>
      <c r="CC103" s="62">
        <f t="shared" si="65"/>
        <v>1090.3641216760234</v>
      </c>
      <c r="CD103" s="62">
        <f ca="1">AVERAGE(OFFSET($CC$3,0,0,'Données projet'!$E$12+1,1))-AVERAGE(OFFSET($H$3,0,0,'Données projet'!$E$12+1,1))</f>
        <v>530.15080507516973</v>
      </c>
      <c r="CE103" s="62">
        <f t="shared" si="94"/>
        <v>358.10331902702217</v>
      </c>
      <c r="CF103" s="16">
        <f>IF(ISNA(VLOOKUP(A103,'Données projet'!$A$113:$I$133,3,0)),0,VLOOKUP(A103,'Données projet'!$A$113:$I$133,3,0))</f>
        <v>17</v>
      </c>
      <c r="CG103" s="16">
        <f>IF(ISNA(VLOOKUP(A103,'Données projet'!$A$113:$I$133,4,0)),0,VLOOKUP(A103,'Données projet'!$A$113:$I$133,4,0))</f>
        <v>333</v>
      </c>
      <c r="CH103" s="17">
        <f>IF(ISNA(VLOOKUP(A103,'Données projet'!$A$113:$I$133,5,0)),0%,VLOOKUP(A103,'Données projet'!$A$113:$I$133,5,0)*VLOOKUP('Données projet'!$B$12,Paramètres!$A$1:$I$89,7,0))</f>
        <v>0.38700000000000001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226.64409645490241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226.64409645490241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-5.6843418860808015E-14</v>
      </c>
      <c r="CU103" s="18">
        <f>CT103*VLOOKUP('Données projet'!$B$13,Paramètres!$A$1:$I$89,3,0)*VLOOKUP('Données projet'!$B$13,Paramètres!$A$1:$I$89,5,0)</f>
        <v>-4.8771653382573282E-14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182.98212193167009</v>
      </c>
      <c r="CZ103" s="62">
        <f t="shared" si="96"/>
        <v>195.9200038944301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49.772342137264054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49.772342137264054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2.2737367544323206E-13</v>
      </c>
      <c r="DP103" s="18">
        <f>DO103*VLOOKUP('Données projet'!$B$14,Paramètres!$A$1:$I$89,3,0)*VLOOKUP('Données projet'!$B$14,Paramètres!$A$1:$I$89,5,0)</f>
        <v>1.0049916454590858E-13</v>
      </c>
      <c r="DQ103" s="14">
        <f t="shared" si="97"/>
        <v>1.5089081593838289E-12</v>
      </c>
      <c r="DR103" s="22">
        <f t="shared" si="70"/>
        <v>2.8030510891776262E-12</v>
      </c>
      <c r="DS103" s="62">
        <f t="shared" si="71"/>
        <v>277.40405518371199</v>
      </c>
      <c r="DT103" s="62">
        <f ca="1">AVERAGE(OFFSET($DS$3,0,0,'Données projet'!$E$14+1,1))-AVERAGE(OFFSET($H$3,0,0,'Données projet'!$E$14+1,1))</f>
        <v>338.33525241236157</v>
      </c>
      <c r="DU103" s="62">
        <f t="shared" si="98"/>
        <v>373.47257029791717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109.50552953525464</v>
      </c>
      <c r="EB103" s="23">
        <f>EXP(-LN(2)/25)*EB102+(1-EXP(-LN(2)/25))/(LN(2)/25)*Calculateur!DW103*Calculateur!DY103*VLOOKUP('Données projet'!$B$14,Paramètres!$A$1:$I$89,3,0)*0.475*44/12</f>
        <v>14.018690812480678</v>
      </c>
      <c r="EC103" s="23">
        <f>EXP(-LN(2)/2)*EC102+(1-EXP(-LN(2)/2))/(LN(2)/2)*DW103*DZ103*VLOOKUP('Données projet'!$B$14,Paramètres!$A$1:$I$89,3,0)*0.475*44/12</f>
        <v>1.4093546073131934E-5</v>
      </c>
      <c r="ED103" s="24">
        <f t="shared" si="72"/>
        <v>123.52423444128138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-2.8421709430404007E-14</v>
      </c>
      <c r="EK103" s="18">
        <f>EJ103*VLOOKUP('Données projet'!$B$15,Paramètres!$A$1:$I$89,3,0)*VLOOKUP('Données projet'!$B$15,Paramètres!$A$1:$I$89,5,0)</f>
        <v>-2.2168933355715127E-14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144.92790055195192</v>
      </c>
      <c r="EP103" s="62">
        <f t="shared" si="100"/>
        <v>151.00642748754026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27.558400139249873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27.558400139249873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-1.7053025658242404E-13</v>
      </c>
      <c r="O104" s="14">
        <f>N104*VLOOKUP('Données projet'!$B$9,Paramètres!$A$1:$I$89,3,0)*VLOOKUP('Données projet'!$B$9,Paramètres!$A$1:$I$89,5,0)</f>
        <v>-1.383341441396624E-13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259.10606516000064</v>
      </c>
      <c r="T104" s="62">
        <f t="shared" si="88"/>
        <v>316.57989180609252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45.355706348095012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45.355706348095012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186.83226999296298</v>
      </c>
      <c r="AO104" s="62">
        <f t="shared" si="90"/>
        <v>232.70925470547317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54.281143990066674</v>
      </c>
      <c r="AV104" s="23">
        <f>EXP(-LN(2)/25)*AV103+(1-EXP(-LN(2)/25))/(LN(2)/25)*Calculateur!AQ104*Calculateur!AS104*VLOOKUP('Données projet'!$B$10,Paramètres!$A$1:$I$89,3,0)*0.475*44/12</f>
        <v>4.297054024659352</v>
      </c>
      <c r="AW104" s="23">
        <f>EXP(-LN(2)/2)*AW103+(1-EXP(-LN(2)/2))/(LN(2)/2)*AQ104*AT104*VLOOKUP('Données projet'!$B$10,Paramètres!$A$1:$I$89,3,0)*0.475*44/12</f>
        <v>5.0638571908125357E-6</v>
      </c>
      <c r="AX104" s="23">
        <f t="shared" si="60"/>
        <v>58.578203078583215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-2.2737367544323206E-13</v>
      </c>
      <c r="BE104" s="14">
        <f>BD104*VLOOKUP('Données projet'!$B$11,Paramètres!$A$1:$I$89,3,0)*VLOOKUP('Données projet'!$B$11,Paramètres!$A$1:$I$89,5,0)</f>
        <v>-2.0572770154103635E-13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435.70500547084868</v>
      </c>
      <c r="BJ104" s="62">
        <f t="shared" si="92"/>
        <v>297.32483725004136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176.54226232650544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176.54226232650544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-2.2737367544323206E-13</v>
      </c>
      <c r="BZ104" s="14">
        <f>BY104*VLOOKUP('Données projet'!$B$12,Paramètres!$A$1:$I$89,3,0)*VLOOKUP('Données projet'!$B$12,Paramètres!$A$1:$I$89,5,0)</f>
        <v>-2.5893314159475268E-13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530.15080507516973</v>
      </c>
      <c r="CE104" s="62">
        <f t="shared" si="94"/>
        <v>358.10331902702217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222.19974396267062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222.19974396267062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-5.6843418860808015E-14</v>
      </c>
      <c r="CU104" s="18">
        <f>CT104*VLOOKUP('Données projet'!$B$13,Paramètres!$A$1:$I$89,3,0)*VLOOKUP('Données projet'!$B$13,Paramètres!$A$1:$I$89,5,0)</f>
        <v>-4.8771653382573282E-14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182.98212193167009</v>
      </c>
      <c r="CZ104" s="62">
        <f t="shared" si="96"/>
        <v>195.9200038944301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48.796336866083394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48.796336866083394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2.2737367544323206E-13</v>
      </c>
      <c r="DP104" s="18">
        <f>DO104*VLOOKUP('Données projet'!$B$14,Paramètres!$A$1:$I$89,3,0)*VLOOKUP('Données projet'!$B$14,Paramètres!$A$1:$I$89,5,0)</f>
        <v>1.0049916454590858E-13</v>
      </c>
      <c r="DQ104" s="14">
        <f t="shared" si="97"/>
        <v>1.5089081593838289E-12</v>
      </c>
      <c r="DR104" s="22">
        <f t="shared" si="70"/>
        <v>2.8030510891776262E-12</v>
      </c>
      <c r="DS104" s="62">
        <f t="shared" si="71"/>
        <v>277.68039254707719</v>
      </c>
      <c r="DT104" s="62">
        <f ca="1">AVERAGE(OFFSET($DS$3,0,0,'Données projet'!$E$14+1,1))-AVERAGE(OFFSET($H$3,0,0,'Données projet'!$E$14+1,1))</f>
        <v>338.33525241236157</v>
      </c>
      <c r="DU104" s="62">
        <f t="shared" si="98"/>
        <v>373.47257029791717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107.35819289284618</v>
      </c>
      <c r="EB104" s="23">
        <f>EXP(-LN(2)/25)*EB103+(1-EXP(-LN(2)/25))/(LN(2)/25)*Calculateur!DW104*Calculateur!DY104*VLOOKUP('Données projet'!$B$14,Paramètres!$A$1:$I$89,3,0)*0.475*44/12</f>
        <v>13.635348975002485</v>
      </c>
      <c r="EC104" s="23">
        <f>EXP(-LN(2)/2)*EC103+(1-EXP(-LN(2)/2))/(LN(2)/2)*DW104*DZ104*VLOOKUP('Données projet'!$B$14,Paramètres!$A$1:$I$89,3,0)*0.475*44/12</f>
        <v>9.9656419992766286E-6</v>
      </c>
      <c r="ED104" s="24">
        <f t="shared" si="72"/>
        <v>120.99355183349066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-2.8421709430404007E-14</v>
      </c>
      <c r="EK104" s="18">
        <f>EJ104*VLOOKUP('Données projet'!$B$15,Paramètres!$A$1:$I$89,3,0)*VLOOKUP('Données projet'!$B$15,Paramètres!$A$1:$I$89,5,0)</f>
        <v>-2.2168933355715127E-14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144.92790055195192</v>
      </c>
      <c r="EP104" s="62">
        <f t="shared" si="100"/>
        <v>151.00642748754026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27.01799672148352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27.01799672148352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-1.7053025658242404E-13</v>
      </c>
      <c r="O105" s="14">
        <f>N105*VLOOKUP('Données projet'!$B$9,Paramètres!$A$1:$I$89,3,0)*VLOOKUP('Données projet'!$B$9,Paramètres!$A$1:$I$89,5,0)</f>
        <v>-1.383341441396624E-13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259.10606516000064</v>
      </c>
      <c r="T105" s="62">
        <f t="shared" si="88"/>
        <v>316.57989180609252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44.466308610858121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44.466308610858121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186.83226999296298</v>
      </c>
      <c r="AO105" s="62">
        <f t="shared" si="90"/>
        <v>232.70925470547317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53.216723864650135</v>
      </c>
      <c r="AV105" s="23">
        <f>EXP(-LN(2)/25)*AV104+(1-EXP(-LN(2)/25))/(LN(2)/25)*Calculateur!AQ105*Calculateur!AS105*VLOOKUP('Données projet'!$B$10,Paramètres!$A$1:$I$89,3,0)*0.475*44/12</f>
        <v>4.1795508563827921</v>
      </c>
      <c r="AW105" s="23">
        <f>EXP(-LN(2)/2)*AW104+(1-EXP(-LN(2)/2))/(LN(2)/2)*AQ105*AT105*VLOOKUP('Données projet'!$B$10,Paramètres!$A$1:$I$89,3,0)*0.475*44/12</f>
        <v>3.5806877585838053E-6</v>
      </c>
      <c r="AX105" s="23">
        <f t="shared" si="60"/>
        <v>57.396278301720685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-2.2737367544323206E-13</v>
      </c>
      <c r="BE105" s="14">
        <f>BD105*VLOOKUP('Données projet'!$B$11,Paramètres!$A$1:$I$89,3,0)*VLOOKUP('Données projet'!$B$11,Paramètres!$A$1:$I$89,5,0)</f>
        <v>-2.0572770154103635E-13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435.70500547084868</v>
      </c>
      <c r="BJ105" s="62">
        <f t="shared" si="92"/>
        <v>297.32483725004136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173.08037624243016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173.08037624243016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-2.2737367544323206E-13</v>
      </c>
      <c r="BZ105" s="14">
        <f>BY105*VLOOKUP('Données projet'!$B$12,Paramètres!$A$1:$I$89,3,0)*VLOOKUP('Données projet'!$B$12,Paramètres!$A$1:$I$89,5,0)</f>
        <v>-2.5893314159475268E-13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530.15080507516973</v>
      </c>
      <c r="CE105" s="62">
        <f t="shared" si="94"/>
        <v>358.10331902702217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217.84254251202415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217.84254251202415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-5.6843418860808015E-14</v>
      </c>
      <c r="CU105" s="18">
        <f>CT105*VLOOKUP('Données projet'!$B$13,Paramètres!$A$1:$I$89,3,0)*VLOOKUP('Données projet'!$B$13,Paramètres!$A$1:$I$89,5,0)</f>
        <v>-4.8771653382573282E-14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182.98212193167009</v>
      </c>
      <c r="CZ105" s="62">
        <f t="shared" si="96"/>
        <v>195.9200038944301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47.839470462966155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47.839470462966155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2.2737367544323206E-13</v>
      </c>
      <c r="DP105" s="18">
        <f>DO105*VLOOKUP('Données projet'!$B$14,Paramètres!$A$1:$I$89,3,0)*VLOOKUP('Données projet'!$B$14,Paramètres!$A$1:$I$89,5,0)</f>
        <v>1.0049916454590858E-13</v>
      </c>
      <c r="DQ105" s="14">
        <f t="shared" si="97"/>
        <v>1.5089081593838289E-12</v>
      </c>
      <c r="DR105" s="22">
        <f t="shared" si="70"/>
        <v>2.8030510891776262E-12</v>
      </c>
      <c r="DS105" s="62">
        <f t="shared" si="71"/>
        <v>277.95193607498572</v>
      </c>
      <c r="DT105" s="62">
        <f ca="1">AVERAGE(OFFSET($DS$3,0,0,'Données projet'!$E$14+1,1))-AVERAGE(OFFSET($H$3,0,0,'Données projet'!$E$14+1,1))</f>
        <v>338.33525241236157</v>
      </c>
      <c r="DU105" s="62">
        <f t="shared" si="98"/>
        <v>373.47257029791717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105.25296421224931</v>
      </c>
      <c r="EB105" s="23">
        <f>EXP(-LN(2)/25)*EB104+(1-EXP(-LN(2)/25))/(LN(2)/25)*Calculateur!DW105*Calculateur!DY105*VLOOKUP('Données projet'!$B$14,Paramètres!$A$1:$I$89,3,0)*0.475*44/12</f>
        <v>13.262489640229203</v>
      </c>
      <c r="EC105" s="23">
        <f>EXP(-LN(2)/2)*EC104+(1-EXP(-LN(2)/2))/(LN(2)/2)*DW105*DZ105*VLOOKUP('Données projet'!$B$14,Paramètres!$A$1:$I$89,3,0)*0.475*44/12</f>
        <v>7.0467730365659671E-6</v>
      </c>
      <c r="ED105" s="24">
        <f t="shared" si="72"/>
        <v>118.51546089925155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-2.8421709430404007E-14</v>
      </c>
      <c r="EK105" s="18">
        <f>EJ105*VLOOKUP('Données projet'!$B$15,Paramètres!$A$1:$I$89,3,0)*VLOOKUP('Données projet'!$B$15,Paramètres!$A$1:$I$89,5,0)</f>
        <v>-2.2168933355715127E-14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144.92790055195192</v>
      </c>
      <c r="EP105" s="62">
        <f t="shared" si="100"/>
        <v>151.00642748754026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26.488190285126027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26.488190285126027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-1.7053025658242404E-13</v>
      </c>
      <c r="O106" s="14">
        <f>N106*VLOOKUP('Données projet'!$B$9,Paramètres!$A$1:$I$89,3,0)*VLOOKUP('Données projet'!$B$9,Paramètres!$A$1:$I$89,5,0)</f>
        <v>-1.383341441396624E-13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259.10606516000064</v>
      </c>
      <c r="T106" s="62">
        <f t="shared" si="88"/>
        <v>316.57989180609252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43.594351420769392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43.594351420769392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186.83226999296298</v>
      </c>
      <c r="AO106" s="62">
        <f t="shared" si="90"/>
        <v>232.70925470547317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52.17317636866084</v>
      </c>
      <c r="AV106" s="23">
        <f>EXP(-LN(2)/25)*AV105+(1-EXP(-LN(2)/25))/(LN(2)/25)*Calculateur!AQ106*Calculateur!AS106*VLOOKUP('Données projet'!$B$10,Paramètres!$A$1:$I$89,3,0)*0.475*44/12</f>
        <v>4.0652608184219776</v>
      </c>
      <c r="AW106" s="23">
        <f>EXP(-LN(2)/2)*AW105+(1-EXP(-LN(2)/2))/(LN(2)/2)*AQ106*AT106*VLOOKUP('Données projet'!$B$10,Paramètres!$A$1:$I$89,3,0)*0.475*44/12</f>
        <v>2.5319285954062683E-6</v>
      </c>
      <c r="AX106" s="23">
        <f t="shared" si="60"/>
        <v>56.23843971901141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-2.2737367544323206E-13</v>
      </c>
      <c r="BE106" s="14">
        <f>BD106*VLOOKUP('Données projet'!$B$11,Paramètres!$A$1:$I$89,3,0)*VLOOKUP('Données projet'!$B$11,Paramètres!$A$1:$I$89,5,0)</f>
        <v>-2.0572770154103635E-13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435.70500547084868</v>
      </c>
      <c r="BJ106" s="62">
        <f t="shared" si="92"/>
        <v>297.32483725004136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169.68637563292157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169.68637563292157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-2.2737367544323206E-13</v>
      </c>
      <c r="BZ106" s="14">
        <f>BY106*VLOOKUP('Données projet'!$B$12,Paramètres!$A$1:$I$89,3,0)*VLOOKUP('Données projet'!$B$12,Paramètres!$A$1:$I$89,5,0)</f>
        <v>-2.5893314159475268E-13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530.15080507516973</v>
      </c>
      <c r="CE106" s="62">
        <f t="shared" si="94"/>
        <v>358.10331902702217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213.57078312419438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213.57078312419438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-5.6843418860808015E-14</v>
      </c>
      <c r="CU106" s="18">
        <f>CT106*VLOOKUP('Données projet'!$B$13,Paramètres!$A$1:$I$89,3,0)*VLOOKUP('Données projet'!$B$13,Paramètres!$A$1:$I$89,5,0)</f>
        <v>-4.8771653382573282E-14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182.98212193167009</v>
      </c>
      <c r="CZ106" s="62">
        <f t="shared" si="96"/>
        <v>195.9200038944301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46.901367626383163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46.901367626383163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2.2737367544323206E-13</v>
      </c>
      <c r="DP106" s="18">
        <f>DO106*VLOOKUP('Données projet'!$B$14,Paramètres!$A$1:$I$89,3,0)*VLOOKUP('Données projet'!$B$14,Paramètres!$A$1:$I$89,5,0)</f>
        <v>1.0049916454590858E-13</v>
      </c>
      <c r="DQ106" s="14">
        <f t="shared" si="97"/>
        <v>1.5089081593838289E-12</v>
      </c>
      <c r="DR106" s="22">
        <f t="shared" si="70"/>
        <v>2.8030510891776262E-12</v>
      </c>
      <c r="DS106" s="62">
        <f t="shared" si="71"/>
        <v>278.21876892976547</v>
      </c>
      <c r="DT106" s="62">
        <f ca="1">AVERAGE(OFFSET($DS$3,0,0,'Données projet'!$E$14+1,1))-AVERAGE(OFFSET($H$3,0,0,'Données projet'!$E$14+1,1))</f>
        <v>338.33525241236157</v>
      </c>
      <c r="DU106" s="62">
        <f t="shared" si="98"/>
        <v>373.47257029791717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103.18901778201625</v>
      </c>
      <c r="EB106" s="23">
        <f>EXP(-LN(2)/25)*EB105+(1-EXP(-LN(2)/25))/(LN(2)/25)*Calculateur!DW106*Calculateur!DY106*VLOOKUP('Données projet'!$B$14,Paramètres!$A$1:$I$89,3,0)*0.475*44/12</f>
        <v>12.899826163573117</v>
      </c>
      <c r="EC106" s="23">
        <f>EXP(-LN(2)/2)*EC105+(1-EXP(-LN(2)/2))/(LN(2)/2)*DW106*DZ106*VLOOKUP('Données projet'!$B$14,Paramètres!$A$1:$I$89,3,0)*0.475*44/12</f>
        <v>4.9828209996383143E-6</v>
      </c>
      <c r="ED106" s="24">
        <f t="shared" si="72"/>
        <v>116.08884892841036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-2.8421709430404007E-14</v>
      </c>
      <c r="EK106" s="18">
        <f>EJ106*VLOOKUP('Données projet'!$B$15,Paramètres!$A$1:$I$89,3,0)*VLOOKUP('Données projet'!$B$15,Paramètres!$A$1:$I$89,5,0)</f>
        <v>-2.2168933355715127E-14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144.92790055195192</v>
      </c>
      <c r="EP106" s="62">
        <f t="shared" si="100"/>
        <v>151.00642748754026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25.968773029835486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25.968773029835486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-1.7053025658242404E-13</v>
      </c>
      <c r="O107" s="14">
        <f>N107*VLOOKUP('Données projet'!$B$9,Paramètres!$A$1:$I$89,3,0)*VLOOKUP('Données projet'!$B$9,Paramètres!$A$1:$I$89,5,0)</f>
        <v>-1.383341441396624E-13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259.10606516000064</v>
      </c>
      <c r="T107" s="62">
        <f t="shared" si="88"/>
        <v>316.57989180609252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42.739492779336935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42.739492779336935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186.83226999296298</v>
      </c>
      <c r="AO107" s="62">
        <f t="shared" si="90"/>
        <v>232.70925470547317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51.150092202566775</v>
      </c>
      <c r="AV107" s="23">
        <f>EXP(-LN(2)/25)*AV106+(1-EXP(-LN(2)/25))/(LN(2)/25)*Calculateur!AQ107*Calculateur!AS107*VLOOKUP('Données projet'!$B$10,Paramètres!$A$1:$I$89,3,0)*0.475*44/12</f>
        <v>3.9540960475594535</v>
      </c>
      <c r="AW107" s="23">
        <f>EXP(-LN(2)/2)*AW106+(1-EXP(-LN(2)/2))/(LN(2)/2)*AQ107*AT107*VLOOKUP('Données projet'!$B$10,Paramètres!$A$1:$I$89,3,0)*0.475*44/12</f>
        <v>1.7903438792919029E-6</v>
      </c>
      <c r="AX107" s="23">
        <f t="shared" si="60"/>
        <v>55.104190040470108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-2.2737367544323206E-13</v>
      </c>
      <c r="BE107" s="14">
        <f>BD107*VLOOKUP('Données projet'!$B$11,Paramètres!$A$1:$I$89,3,0)*VLOOKUP('Données projet'!$B$11,Paramètres!$A$1:$I$89,5,0)</f>
        <v>-2.0572770154103635E-13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435.70500547084868</v>
      </c>
      <c r="BJ107" s="62">
        <f t="shared" si="92"/>
        <v>297.32483725004136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166.35892930522948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166.35892930522948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-2.2737367544323206E-13</v>
      </c>
      <c r="BZ107" s="14">
        <f>BY107*VLOOKUP('Données projet'!$B$12,Paramètres!$A$1:$I$89,3,0)*VLOOKUP('Données projet'!$B$12,Paramètres!$A$1:$I$89,5,0)</f>
        <v>-2.5893314159475268E-13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530.15080507516973</v>
      </c>
      <c r="CE107" s="62">
        <f t="shared" si="94"/>
        <v>358.10331902702217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209.38279033244399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209.38279033244399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-5.6843418860808015E-14</v>
      </c>
      <c r="CU107" s="18">
        <f>CT107*VLOOKUP('Données projet'!$B$13,Paramètres!$A$1:$I$89,3,0)*VLOOKUP('Données projet'!$B$13,Paramètres!$A$1:$I$89,5,0)</f>
        <v>-4.8771653382573282E-14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182.98212193167009</v>
      </c>
      <c r="CZ107" s="62">
        <f t="shared" si="96"/>
        <v>195.9200038944301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45.981660414239336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45.981660414239336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2.2737367544323206E-13</v>
      </c>
      <c r="DP107" s="18">
        <f>DO107*VLOOKUP('Données projet'!$B$14,Paramètres!$A$1:$I$89,3,0)*VLOOKUP('Données projet'!$B$14,Paramètres!$A$1:$I$89,5,0)</f>
        <v>1.0049916454590858E-13</v>
      </c>
      <c r="DQ107" s="14">
        <f t="shared" si="97"/>
        <v>1.5089081593838289E-12</v>
      </c>
      <c r="DR107" s="22">
        <f t="shared" si="70"/>
        <v>2.8030510891776262E-12</v>
      </c>
      <c r="DS107" s="62">
        <f t="shared" si="71"/>
        <v>278.4809728310637</v>
      </c>
      <c r="DT107" s="62">
        <f ca="1">AVERAGE(OFFSET($DS$3,0,0,'Données projet'!$E$14+1,1))-AVERAGE(OFFSET($H$3,0,0,'Données projet'!$E$14+1,1))</f>
        <v>338.33525241236157</v>
      </c>
      <c r="DU107" s="62">
        <f t="shared" si="98"/>
        <v>373.47257029791717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101.16554408239703</v>
      </c>
      <c r="EB107" s="23">
        <f>EXP(-LN(2)/25)*EB106+(1-EXP(-LN(2)/25))/(LN(2)/25)*Calculateur!DW107*Calculateur!DY107*VLOOKUP('Données projet'!$B$14,Paramètres!$A$1:$I$89,3,0)*0.475*44/12</f>
        <v>12.547079738757835</v>
      </c>
      <c r="EC107" s="23">
        <f>EXP(-LN(2)/2)*EC106+(1-EXP(-LN(2)/2))/(LN(2)/2)*DW107*DZ107*VLOOKUP('Données projet'!$B$14,Paramètres!$A$1:$I$89,3,0)*0.475*44/12</f>
        <v>3.5233865182829836E-6</v>
      </c>
      <c r="ED107" s="24">
        <f t="shared" si="72"/>
        <v>113.71262734454139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-2.8421709430404007E-14</v>
      </c>
      <c r="EK107" s="18">
        <f>EJ107*VLOOKUP('Données projet'!$B$15,Paramètres!$A$1:$I$89,3,0)*VLOOKUP('Données projet'!$B$15,Paramètres!$A$1:$I$89,5,0)</f>
        <v>-2.2168933355715127E-14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144.92790055195192</v>
      </c>
      <c r="EP107" s="62">
        <f t="shared" si="100"/>
        <v>151.00642748754026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25.459541230107952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25.459541230107952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-1.7053025658242404E-13</v>
      </c>
      <c r="O108" s="14">
        <f>N108*VLOOKUP('Données projet'!$B$9,Paramètres!$A$1:$I$89,3,0)*VLOOKUP('Données projet'!$B$9,Paramètres!$A$1:$I$89,5,0)</f>
        <v>-1.383341441396624E-13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259.10606516000064</v>
      </c>
      <c r="T108" s="62">
        <f t="shared" si="88"/>
        <v>316.57989180609252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41.901397394450683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41.901397394450683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186.83226999296298</v>
      </c>
      <c r="AO108" s="62">
        <f t="shared" si="90"/>
        <v>232.70925470547317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50.147070092950088</v>
      </c>
      <c r="AV108" s="23">
        <f>EXP(-LN(2)/25)*AV107+(1-EXP(-LN(2)/25))/(LN(2)/25)*Calculateur!AQ108*Calculateur!AS108*VLOOKUP('Données projet'!$B$10,Paramètres!$A$1:$I$89,3,0)*0.475*44/12</f>
        <v>3.8459710832020662</v>
      </c>
      <c r="AW108" s="23">
        <f>EXP(-LN(2)/2)*AW107+(1-EXP(-LN(2)/2))/(LN(2)/2)*AQ108*AT108*VLOOKUP('Données projet'!$B$10,Paramètres!$A$1:$I$89,3,0)*0.475*44/12</f>
        <v>1.2659642977031343E-6</v>
      </c>
      <c r="AX108" s="23">
        <f t="shared" si="60"/>
        <v>53.993042442116455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-2.2737367544323206E-13</v>
      </c>
      <c r="BE108" s="14">
        <f>BD108*VLOOKUP('Données projet'!$B$11,Paramètres!$A$1:$I$89,3,0)*VLOOKUP('Données projet'!$B$11,Paramètres!$A$1:$I$89,5,0)</f>
        <v>-2.0572770154103635E-13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435.70500547084868</v>
      </c>
      <c r="BJ108" s="62">
        <f t="shared" si="92"/>
        <v>297.32483725004136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163.09673217048157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163.09673217048157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-2.2737367544323206E-13</v>
      </c>
      <c r="BZ108" s="14">
        <f>BY108*VLOOKUP('Données projet'!$B$12,Paramètres!$A$1:$I$89,3,0)*VLOOKUP('Données projet'!$B$12,Paramètres!$A$1:$I$89,5,0)</f>
        <v>-2.5893314159475268E-13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530.15080507516973</v>
      </c>
      <c r="CE108" s="62">
        <f t="shared" si="94"/>
        <v>358.10331902702217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205.27692152491647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205.27692152491647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-5.6843418860808015E-14</v>
      </c>
      <c r="CU108" s="18">
        <f>CT108*VLOOKUP('Données projet'!$B$13,Paramètres!$A$1:$I$89,3,0)*VLOOKUP('Données projet'!$B$13,Paramètres!$A$1:$I$89,5,0)</f>
        <v>-4.8771653382573282E-14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182.98212193167009</v>
      </c>
      <c r="CZ108" s="62">
        <f t="shared" si="96"/>
        <v>195.9200038944301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45.079988099559635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45.079988099559635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2.2737367544323206E-13</v>
      </c>
      <c r="DP108" s="18">
        <f>DO108*VLOOKUP('Données projet'!$B$14,Paramètres!$A$1:$I$89,3,0)*VLOOKUP('Données projet'!$B$14,Paramètres!$A$1:$I$89,5,0)</f>
        <v>1.0049916454590858E-13</v>
      </c>
      <c r="DQ108" s="14">
        <f t="shared" si="97"/>
        <v>1.5089081593838289E-12</v>
      </c>
      <c r="DR108" s="22">
        <f t="shared" si="70"/>
        <v>2.8030510891776262E-12</v>
      </c>
      <c r="DS108" s="62">
        <f t="shared" si="71"/>
        <v>278.73862808087455</v>
      </c>
      <c r="DT108" s="62">
        <f ca="1">AVERAGE(OFFSET($DS$3,0,0,'Données projet'!$E$14+1,1))-AVERAGE(OFFSET($H$3,0,0,'Données projet'!$E$14+1,1))</f>
        <v>338.33525241236157</v>
      </c>
      <c r="DU108" s="62">
        <f t="shared" si="98"/>
        <v>373.47257029791717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99.181749467830272</v>
      </c>
      <c r="EB108" s="23">
        <f>EXP(-LN(2)/25)*EB107+(1-EXP(-LN(2)/25))/(LN(2)/25)*Calculateur!DW108*Calculateur!DY108*VLOOKUP('Données projet'!$B$14,Paramètres!$A$1:$I$89,3,0)*0.475*44/12</f>
        <v>12.203979183479255</v>
      </c>
      <c r="EC108" s="23">
        <f>EXP(-LN(2)/2)*EC107+(1-EXP(-LN(2)/2))/(LN(2)/2)*DW108*DZ108*VLOOKUP('Données projet'!$B$14,Paramètres!$A$1:$I$89,3,0)*0.475*44/12</f>
        <v>2.4914104998191571E-6</v>
      </c>
      <c r="ED108" s="24">
        <f t="shared" si="72"/>
        <v>111.38573114272003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-2.8421709430404007E-14</v>
      </c>
      <c r="EK108" s="18">
        <f>EJ108*VLOOKUP('Données projet'!$B$15,Paramètres!$A$1:$I$89,3,0)*VLOOKUP('Données projet'!$B$15,Paramètres!$A$1:$I$89,5,0)</f>
        <v>-2.2168933355715127E-14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144.92790055195192</v>
      </c>
      <c r="EP108" s="62">
        <f t="shared" si="100"/>
        <v>151.00642748754026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24.960295155372346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24.960295155372346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-1.7053025658242404E-13</v>
      </c>
      <c r="O109" s="14">
        <f>N109*VLOOKUP('Données projet'!$B$9,Paramètres!$A$1:$I$89,3,0)*VLOOKUP('Données projet'!$B$9,Paramètres!$A$1:$I$89,5,0)</f>
        <v>-1.383341441396624E-13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259.10606516000064</v>
      </c>
      <c r="T109" s="62">
        <f t="shared" si="88"/>
        <v>316.57989180609252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41.079736548874337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41.079736548874337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186.83226999296298</v>
      </c>
      <c r="AO109" s="62">
        <f t="shared" si="90"/>
        <v>232.70925470547317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49.163716635119911</v>
      </c>
      <c r="AV109" s="23">
        <f>EXP(-LN(2)/25)*AV108+(1-EXP(-LN(2)/25))/(LN(2)/25)*Calculateur!AQ109*Calculateur!AS109*VLOOKUP('Données projet'!$B$10,Paramètres!$A$1:$I$89,3,0)*0.475*44/12</f>
        <v>3.7408028016810766</v>
      </c>
      <c r="AW109" s="23">
        <f>EXP(-LN(2)/2)*AW108+(1-EXP(-LN(2)/2))/(LN(2)/2)*AQ109*AT109*VLOOKUP('Données projet'!$B$10,Paramètres!$A$1:$I$89,3,0)*0.475*44/12</f>
        <v>8.9517193964595154E-7</v>
      </c>
      <c r="AX109" s="23">
        <f t="shared" si="60"/>
        <v>52.904520331972925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-2.2737367544323206E-13</v>
      </c>
      <c r="BE109" s="14">
        <f>BD109*VLOOKUP('Données projet'!$B$11,Paramètres!$A$1:$I$89,3,0)*VLOOKUP('Données projet'!$B$11,Paramètres!$A$1:$I$89,5,0)</f>
        <v>-2.0572770154103635E-13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435.70500547084868</v>
      </c>
      <c r="BJ109" s="62">
        <f t="shared" si="92"/>
        <v>297.32483725004136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159.89850473180229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159.89850473180229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-2.2737367544323206E-13</v>
      </c>
      <c r="BZ109" s="14">
        <f>BY109*VLOOKUP('Données projet'!$B$12,Paramètres!$A$1:$I$89,3,0)*VLOOKUP('Données projet'!$B$12,Paramètres!$A$1:$I$89,5,0)</f>
        <v>-2.5893314159475268E-13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530.15080507516973</v>
      </c>
      <c r="CE109" s="62">
        <f t="shared" si="94"/>
        <v>358.10331902702217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201.25156630037188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201.25156630037188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-5.6843418860808015E-14</v>
      </c>
      <c r="CU109" s="18">
        <f>CT109*VLOOKUP('Données projet'!$B$13,Paramètres!$A$1:$I$89,3,0)*VLOOKUP('Données projet'!$B$13,Paramètres!$A$1:$I$89,5,0)</f>
        <v>-4.8771653382573282E-14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182.98212193167009</v>
      </c>
      <c r="CZ109" s="62">
        <f t="shared" si="96"/>
        <v>195.9200038944301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44.195997029004999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44.195997029004999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2.2737367544323206E-13</v>
      </c>
      <c r="DP109" s="18">
        <f>DO109*VLOOKUP('Données projet'!$B$14,Paramètres!$A$1:$I$89,3,0)*VLOOKUP('Données projet'!$B$14,Paramètres!$A$1:$I$89,5,0)</f>
        <v>1.0049916454590858E-13</v>
      </c>
      <c r="DQ109" s="14">
        <f t="shared" si="97"/>
        <v>1.5089081593838289E-12</v>
      </c>
      <c r="DR109" s="22">
        <f t="shared" si="70"/>
        <v>2.8030510891776262E-12</v>
      </c>
      <c r="DS109" s="62">
        <f t="shared" si="71"/>
        <v>278.99181358813189</v>
      </c>
      <c r="DT109" s="62">
        <f ca="1">AVERAGE(OFFSET($DS$3,0,0,'Données projet'!$E$14+1,1))-AVERAGE(OFFSET($H$3,0,0,'Données projet'!$E$14+1,1))</f>
        <v>338.33525241236157</v>
      </c>
      <c r="DU109" s="62">
        <f t="shared" si="98"/>
        <v>373.47257029791717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97.236855855659925</v>
      </c>
      <c r="EB109" s="23">
        <f>EXP(-LN(2)/25)*EB108+(1-EXP(-LN(2)/25))/(LN(2)/25)*Calculateur!DW109*Calculateur!DY109*VLOOKUP('Données projet'!$B$14,Paramètres!$A$1:$I$89,3,0)*0.475*44/12</f>
        <v>11.870260730927642</v>
      </c>
      <c r="EC109" s="23">
        <f>EXP(-LN(2)/2)*EC108+(1-EXP(-LN(2)/2))/(LN(2)/2)*DW109*DZ109*VLOOKUP('Données projet'!$B$14,Paramètres!$A$1:$I$89,3,0)*0.475*44/12</f>
        <v>1.7616932591414918E-6</v>
      </c>
      <c r="ED109" s="24">
        <f t="shared" si="72"/>
        <v>109.10711834828082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-2.8421709430404007E-14</v>
      </c>
      <c r="EK109" s="18">
        <f>EJ109*VLOOKUP('Données projet'!$B$15,Paramètres!$A$1:$I$89,3,0)*VLOOKUP('Données projet'!$B$15,Paramètres!$A$1:$I$89,5,0)</f>
        <v>-2.2168933355715127E-14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144.92790055195192</v>
      </c>
      <c r="EP109" s="62">
        <f t="shared" si="100"/>
        <v>151.00642748754026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24.470838991652268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24.470838991652268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-1.7053025658242404E-13</v>
      </c>
      <c r="O110" s="14">
        <f>N110*VLOOKUP('Données projet'!$B$9,Paramètres!$A$1:$I$89,3,0)*VLOOKUP('Données projet'!$B$9,Paramètres!$A$1:$I$89,5,0)</f>
        <v>-1.383341441396624E-13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259.10606516000064</v>
      </c>
      <c r="T110" s="62">
        <f t="shared" si="88"/>
        <v>316.57989180609252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40.274187971316117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40.274187971316117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186.83226999296298</v>
      </c>
      <c r="AO110" s="62">
        <f t="shared" si="90"/>
        <v>232.70925470547317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48.199646138811396</v>
      </c>
      <c r="AV110" s="23">
        <f>EXP(-LN(2)/25)*AV109+(1-EXP(-LN(2)/25))/(LN(2)/25)*Calculateur!AQ110*Calculateur!AS110*VLOOKUP('Données projet'!$B$10,Paramètres!$A$1:$I$89,3,0)*0.475*44/12</f>
        <v>3.6385103523488378</v>
      </c>
      <c r="AW110" s="23">
        <f>EXP(-LN(2)/2)*AW109+(1-EXP(-LN(2)/2))/(LN(2)/2)*AQ110*AT110*VLOOKUP('Données projet'!$B$10,Paramètres!$A$1:$I$89,3,0)*0.475*44/12</f>
        <v>6.3298214885156728E-7</v>
      </c>
      <c r="AX110" s="23">
        <f t="shared" si="60"/>
        <v>51.838157124142384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-2.2737367544323206E-13</v>
      </c>
      <c r="BE110" s="14">
        <f>BD110*VLOOKUP('Données projet'!$B$11,Paramètres!$A$1:$I$89,3,0)*VLOOKUP('Données projet'!$B$11,Paramètres!$A$1:$I$89,5,0)</f>
        <v>-2.0572770154103635E-13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435.70500547084868</v>
      </c>
      <c r="BJ110" s="62">
        <f t="shared" si="92"/>
        <v>297.32483725004136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156.76299258246939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156.76299258246939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-2.2737367544323206E-13</v>
      </c>
      <c r="BZ110" s="14">
        <f>BY110*VLOOKUP('Données projet'!$B$12,Paramètres!$A$1:$I$89,3,0)*VLOOKUP('Données projet'!$B$12,Paramètres!$A$1:$I$89,5,0)</f>
        <v>-2.5893314159475268E-13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530.15080507516973</v>
      </c>
      <c r="CE110" s="62">
        <f t="shared" si="94"/>
        <v>358.10331902702217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197.30514583655633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197.30514583655633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-5.6843418860808015E-14</v>
      </c>
      <c r="CU110" s="18">
        <f>CT110*VLOOKUP('Données projet'!$B$13,Paramètres!$A$1:$I$89,3,0)*VLOOKUP('Données projet'!$B$13,Paramètres!$A$1:$I$89,5,0)</f>
        <v>-4.8771653382573282E-14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182.98212193167009</v>
      </c>
      <c r="CZ110" s="62">
        <f t="shared" si="96"/>
        <v>195.9200038944301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43.329340484162628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43.329340484162628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2.2737367544323206E-13</v>
      </c>
      <c r="DP110" s="18">
        <f>DO110*VLOOKUP('Données projet'!$B$14,Paramètres!$A$1:$I$89,3,0)*VLOOKUP('Données projet'!$B$14,Paramètres!$A$1:$I$89,5,0)</f>
        <v>1.0049916454590858E-13</v>
      </c>
      <c r="DQ110" s="14">
        <f t="shared" si="97"/>
        <v>1.5089081593838289E-12</v>
      </c>
      <c r="DR110" s="22">
        <f t="shared" si="70"/>
        <v>2.8030510891776262E-12</v>
      </c>
      <c r="DS110" s="62">
        <f t="shared" si="71"/>
        <v>279.24060689287643</v>
      </c>
      <c r="DT110" s="62">
        <f ca="1">AVERAGE(OFFSET($DS$3,0,0,'Données projet'!$E$14+1,1))-AVERAGE(OFFSET($H$3,0,0,'Données projet'!$E$14+1,1))</f>
        <v>338.33525241236157</v>
      </c>
      <c r="DU110" s="62">
        <f t="shared" si="98"/>
        <v>373.47257029791717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95.330100420956271</v>
      </c>
      <c r="EB110" s="23">
        <f>EXP(-LN(2)/25)*EB109+(1-EXP(-LN(2)/25))/(LN(2)/25)*Calculateur!DW110*Calculateur!DY110*VLOOKUP('Données projet'!$B$14,Paramètres!$A$1:$I$89,3,0)*0.475*44/12</f>
        <v>11.545667827010544</v>
      </c>
      <c r="EC110" s="23">
        <f>EXP(-LN(2)/2)*EC109+(1-EXP(-LN(2)/2))/(LN(2)/2)*DW110*DZ110*VLOOKUP('Données projet'!$B$14,Paramètres!$A$1:$I$89,3,0)*0.475*44/12</f>
        <v>1.2457052499095786E-6</v>
      </c>
      <c r="ED110" s="24">
        <f t="shared" si="72"/>
        <v>106.87576949367207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-2.8421709430404007E-14</v>
      </c>
      <c r="EK110" s="18">
        <f>EJ110*VLOOKUP('Données projet'!$B$15,Paramètres!$A$1:$I$89,3,0)*VLOOKUP('Données projet'!$B$15,Paramètres!$A$1:$I$89,5,0)</f>
        <v>-2.2168933355715127E-14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144.92790055195192</v>
      </c>
      <c r="EP110" s="62">
        <f t="shared" si="100"/>
        <v>151.00642748754026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23.990980764763957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23.990980764763957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-1.7053025658242404E-13</v>
      </c>
      <c r="O111" s="14">
        <f>N111*VLOOKUP('Données projet'!$B$9,Paramètres!$A$1:$I$89,3,0)*VLOOKUP('Données projet'!$B$9,Paramètres!$A$1:$I$89,5,0)</f>
        <v>-1.383341441396624E-13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259.10606516000064</v>
      </c>
      <c r="T111" s="62">
        <f t="shared" si="88"/>
        <v>316.57989180609252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39.484435710027697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39.484435710027697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186.83226999296298</v>
      </c>
      <c r="AO111" s="62">
        <f t="shared" si="90"/>
        <v>232.70925470547317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47.254480476910551</v>
      </c>
      <c r="AV111" s="23">
        <f>EXP(-LN(2)/25)*AV110+(1-EXP(-LN(2)/25))/(LN(2)/25)*Calculateur!AQ111*Calculateur!AS111*VLOOKUP('Données projet'!$B$10,Paramètres!$A$1:$I$89,3,0)*0.475*44/12</f>
        <v>3.5390150954229154</v>
      </c>
      <c r="AW111" s="23">
        <f>EXP(-LN(2)/2)*AW110+(1-EXP(-LN(2)/2))/(LN(2)/2)*AQ111*AT111*VLOOKUP('Données projet'!$B$10,Paramètres!$A$1:$I$89,3,0)*0.475*44/12</f>
        <v>4.4758596982297588E-7</v>
      </c>
      <c r="AX111" s="23">
        <f t="shared" si="60"/>
        <v>50.793496019919438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-2.2737367544323206E-13</v>
      </c>
      <c r="BE111" s="14">
        <f>BD111*VLOOKUP('Données projet'!$B$11,Paramètres!$A$1:$I$89,3,0)*VLOOKUP('Données projet'!$B$11,Paramètres!$A$1:$I$89,5,0)</f>
        <v>-2.0572770154103635E-13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435.70500547084868</v>
      </c>
      <c r="BJ111" s="62">
        <f t="shared" si="92"/>
        <v>297.32483725004136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153.68896591391135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153.68896591391135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-2.2737367544323206E-13</v>
      </c>
      <c r="BZ111" s="14">
        <f>BY111*VLOOKUP('Données projet'!$B$12,Paramètres!$A$1:$I$89,3,0)*VLOOKUP('Données projet'!$B$12,Paramètres!$A$1:$I$89,5,0)</f>
        <v>-2.5893314159475268E-13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530.15080507516973</v>
      </c>
      <c r="CE111" s="62">
        <f t="shared" si="94"/>
        <v>358.10331902702217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193.43611227095741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193.43611227095741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-5.6843418860808015E-14</v>
      </c>
      <c r="CU111" s="18">
        <f>CT111*VLOOKUP('Données projet'!$B$13,Paramètres!$A$1:$I$89,3,0)*VLOOKUP('Données projet'!$B$13,Paramètres!$A$1:$I$89,5,0)</f>
        <v>-4.8771653382573282E-14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182.98212193167009</v>
      </c>
      <c r="CZ111" s="62">
        <f t="shared" si="96"/>
        <v>195.9200038944301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42.479678545556318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42.479678545556318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2.2737367544323206E-13</v>
      </c>
      <c r="DP111" s="18">
        <f>DO111*VLOOKUP('Données projet'!$B$14,Paramètres!$A$1:$I$89,3,0)*VLOOKUP('Données projet'!$B$14,Paramètres!$A$1:$I$89,5,0)</f>
        <v>1.0049916454590858E-13</v>
      </c>
      <c r="DQ111" s="14">
        <f t="shared" si="97"/>
        <v>1.5089081593838289E-12</v>
      </c>
      <c r="DR111" s="22">
        <f t="shared" si="70"/>
        <v>2.8030510891776262E-12</v>
      </c>
      <c r="DS111" s="62">
        <f t="shared" si="71"/>
        <v>279.48508419000211</v>
      </c>
      <c r="DT111" s="62">
        <f ca="1">AVERAGE(OFFSET($DS$3,0,0,'Données projet'!$E$14+1,1))-AVERAGE(OFFSET($H$3,0,0,'Données projet'!$E$14+1,1))</f>
        <v>338.33525241236157</v>
      </c>
      <c r="DU111" s="62">
        <f t="shared" si="98"/>
        <v>373.47257029791717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93.460735297321179</v>
      </c>
      <c r="EB111" s="23">
        <f>EXP(-LN(2)/25)*EB110+(1-EXP(-LN(2)/25))/(LN(2)/25)*Calculateur!DW111*Calculateur!DY111*VLOOKUP('Données projet'!$B$14,Paramètres!$A$1:$I$89,3,0)*0.475*44/12</f>
        <v>11.229950933120657</v>
      </c>
      <c r="EC111" s="23">
        <f>EXP(-LN(2)/2)*EC110+(1-EXP(-LN(2)/2))/(LN(2)/2)*DW111*DZ111*VLOOKUP('Données projet'!$B$14,Paramètres!$A$1:$I$89,3,0)*0.475*44/12</f>
        <v>8.8084662957074589E-7</v>
      </c>
      <c r="ED111" s="24">
        <f t="shared" si="72"/>
        <v>104.69068711128847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-2.8421709430404007E-14</v>
      </c>
      <c r="EK111" s="18">
        <f>EJ111*VLOOKUP('Données projet'!$B$15,Paramètres!$A$1:$I$89,3,0)*VLOOKUP('Données projet'!$B$15,Paramètres!$A$1:$I$89,5,0)</f>
        <v>-2.2168933355715127E-14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144.92790055195192</v>
      </c>
      <c r="EP111" s="62">
        <f t="shared" si="100"/>
        <v>151.00642748754026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23.520532265020307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23.520532265020307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-1.7053025658242404E-13</v>
      </c>
      <c r="O112" s="14">
        <f>N112*VLOOKUP('Données projet'!$B$9,Paramètres!$A$1:$I$89,3,0)*VLOOKUP('Données projet'!$B$9,Paramètres!$A$1:$I$89,5,0)</f>
        <v>-1.383341441396624E-13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259.10606516000064</v>
      </c>
      <c r="T112" s="62">
        <f t="shared" si="88"/>
        <v>316.57989180609252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38.710170008881825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38.710170008881825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186.83226999296298</v>
      </c>
      <c r="AO112" s="62">
        <f t="shared" si="90"/>
        <v>232.70925470547317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46.327848937145454</v>
      </c>
      <c r="AV112" s="23">
        <f>EXP(-LN(2)/25)*AV111+(1-EXP(-LN(2)/25))/(LN(2)/25)*Calculateur!AQ112*Calculateur!AS112*VLOOKUP('Données projet'!$B$10,Paramètres!$A$1:$I$89,3,0)*0.475*44/12</f>
        <v>3.4422405415298605</v>
      </c>
      <c r="AW112" s="23">
        <f>EXP(-LN(2)/2)*AW111+(1-EXP(-LN(2)/2))/(LN(2)/2)*AQ112*AT112*VLOOKUP('Données projet'!$B$10,Paramètres!$A$1:$I$89,3,0)*0.475*44/12</f>
        <v>3.1649107442578369E-7</v>
      </c>
      <c r="AX112" s="23">
        <f t="shared" si="60"/>
        <v>49.770089795166392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-2.2737367544323206E-13</v>
      </c>
      <c r="BE112" s="14">
        <f>BD112*VLOOKUP('Données projet'!$B$11,Paramètres!$A$1:$I$89,3,0)*VLOOKUP('Données projet'!$B$11,Paramètres!$A$1:$I$89,5,0)</f>
        <v>-2.0572770154103635E-13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435.70500547084868</v>
      </c>
      <c r="BJ112" s="62">
        <f t="shared" si="92"/>
        <v>297.32483725004136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150.67521903335259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150.67521903335259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-2.2737367544323206E-13</v>
      </c>
      <c r="BZ112" s="14">
        <f>BY112*VLOOKUP('Données projet'!$B$12,Paramètres!$A$1:$I$89,3,0)*VLOOKUP('Données projet'!$B$12,Paramètres!$A$1:$I$89,5,0)</f>
        <v>-2.5893314159475268E-13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530.15080507516973</v>
      </c>
      <c r="CE112" s="62">
        <f t="shared" si="94"/>
        <v>358.10331902702217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189.64294809370244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189.64294809370244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-5.6843418860808015E-14</v>
      </c>
      <c r="CU112" s="18">
        <f>CT112*VLOOKUP('Données projet'!$B$13,Paramètres!$A$1:$I$89,3,0)*VLOOKUP('Données projet'!$B$13,Paramètres!$A$1:$I$89,5,0)</f>
        <v>-4.8771653382573282E-14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182.98212193167009</v>
      </c>
      <c r="CZ112" s="62">
        <f t="shared" si="96"/>
        <v>195.9200038944301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41.646677959323469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41.646677959323469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2.2737367544323206E-13</v>
      </c>
      <c r="DP112" s="18">
        <f>DO112*VLOOKUP('Données projet'!$B$14,Paramètres!$A$1:$I$89,3,0)*VLOOKUP('Données projet'!$B$14,Paramètres!$A$1:$I$89,5,0)</f>
        <v>1.0049916454590858E-13</v>
      </c>
      <c r="DQ112" s="14">
        <f t="shared" si="97"/>
        <v>1.5089081593838289E-12</v>
      </c>
      <c r="DR112" s="22">
        <f t="shared" si="70"/>
        <v>2.8030510891776262E-12</v>
      </c>
      <c r="DS112" s="62">
        <f t="shared" si="71"/>
        <v>279.72532035259206</v>
      </c>
      <c r="DT112" s="62">
        <f ca="1">AVERAGE(OFFSET($DS$3,0,0,'Données projet'!$E$14+1,1))-AVERAGE(OFFSET($H$3,0,0,'Données projet'!$E$14+1,1))</f>
        <v>338.33525241236157</v>
      </c>
      <c r="DU112" s="62">
        <f t="shared" si="98"/>
        <v>373.47257029791717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91.628027283560428</v>
      </c>
      <c r="EB112" s="23">
        <f>EXP(-LN(2)/25)*EB111+(1-EXP(-LN(2)/25))/(LN(2)/25)*Calculateur!DW112*Calculateur!DY112*VLOOKUP('Données projet'!$B$14,Paramètres!$A$1:$I$89,3,0)*0.475*44/12</f>
        <v>10.922867334297019</v>
      </c>
      <c r="EC112" s="23">
        <f>EXP(-LN(2)/2)*EC111+(1-EXP(-LN(2)/2))/(LN(2)/2)*DW112*DZ112*VLOOKUP('Données projet'!$B$14,Paramètres!$A$1:$I$89,3,0)*0.475*44/12</f>
        <v>6.2285262495478929E-7</v>
      </c>
      <c r="ED112" s="24">
        <f t="shared" si="72"/>
        <v>102.55089524071008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-2.8421709430404007E-14</v>
      </c>
      <c r="EK112" s="18">
        <f>EJ112*VLOOKUP('Données projet'!$B$15,Paramètres!$A$1:$I$89,3,0)*VLOOKUP('Données projet'!$B$15,Paramètres!$A$1:$I$89,5,0)</f>
        <v>-2.2168933355715127E-14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144.92790055195192</v>
      </c>
      <c r="EP112" s="62">
        <f t="shared" si="100"/>
        <v>151.00642748754026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23.05930897341138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23.05930897341138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-1.7053025658242404E-13</v>
      </c>
      <c r="O113" s="14">
        <f>N113*VLOOKUP('Données projet'!$B$9,Paramètres!$A$1:$I$89,3,0)*VLOOKUP('Données projet'!$B$9,Paramètres!$A$1:$I$89,5,0)</f>
        <v>-1.383341441396624E-13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259.10606516000064</v>
      </c>
      <c r="T113" s="62">
        <f t="shared" si="88"/>
        <v>316.57989180609252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37.951087185879977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37.951087185879977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186.83226999296298</v>
      </c>
      <c r="AO113" s="62">
        <f t="shared" si="90"/>
        <v>232.70925470547317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45.419388076685713</v>
      </c>
      <c r="AV113" s="23">
        <f>EXP(-LN(2)/25)*AV112+(1-EXP(-LN(2)/25))/(LN(2)/25)*Calculateur!AQ113*Calculateur!AS113*VLOOKUP('Données projet'!$B$10,Paramètres!$A$1:$I$89,3,0)*0.475*44/12</f>
        <v>3.3481122929021638</v>
      </c>
      <c r="AW113" s="23">
        <f>EXP(-LN(2)/2)*AW112+(1-EXP(-LN(2)/2))/(LN(2)/2)*AQ113*AT113*VLOOKUP('Données projet'!$B$10,Paramètres!$A$1:$I$89,3,0)*0.475*44/12</f>
        <v>2.2379298491148796E-7</v>
      </c>
      <c r="AX113" s="23">
        <f t="shared" si="60"/>
        <v>48.767500593380866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-2.2737367544323206E-13</v>
      </c>
      <c r="BE113" s="14">
        <f>BD113*VLOOKUP('Données projet'!$B$11,Paramètres!$A$1:$I$89,3,0)*VLOOKUP('Données projet'!$B$11,Paramètres!$A$1:$I$89,5,0)</f>
        <v>-2.0572770154103635E-13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435.70500547084868</v>
      </c>
      <c r="BJ113" s="62">
        <f t="shared" si="92"/>
        <v>297.32483725004136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147.72056989091752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147.72056989091752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-2.2737367544323206E-13</v>
      </c>
      <c r="BZ113" s="14">
        <f>BY113*VLOOKUP('Données projet'!$B$12,Paramètres!$A$1:$I$89,3,0)*VLOOKUP('Données projet'!$B$12,Paramètres!$A$1:$I$89,5,0)</f>
        <v>-2.5893314159475268E-13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530.15080507516973</v>
      </c>
      <c r="CE113" s="62">
        <f t="shared" si="94"/>
        <v>358.10331902702217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185.92416555236173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185.92416555236173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-5.6843418860808015E-14</v>
      </c>
      <c r="CU113" s="18">
        <f>CT113*VLOOKUP('Données projet'!$B$13,Paramètres!$A$1:$I$89,3,0)*VLOOKUP('Données projet'!$B$13,Paramètres!$A$1:$I$89,5,0)</f>
        <v>-4.8771653382573282E-14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182.98212193167009</v>
      </c>
      <c r="CZ113" s="62">
        <f t="shared" si="96"/>
        <v>195.9200038944301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40.830012006506458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40.830012006506458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2.2737367544323206E-13</v>
      </c>
      <c r="DP113" s="18">
        <f>DO113*VLOOKUP('Données projet'!$B$14,Paramètres!$A$1:$I$89,3,0)*VLOOKUP('Données projet'!$B$14,Paramètres!$A$1:$I$89,5,0)</f>
        <v>1.0049916454590858E-13</v>
      </c>
      <c r="DQ113" s="14">
        <f t="shared" si="97"/>
        <v>1.5089081593838289E-12</v>
      </c>
      <c r="DR113" s="22">
        <f t="shared" si="70"/>
        <v>2.8030510891776262E-12</v>
      </c>
      <c r="DS113" s="62">
        <f t="shared" si="71"/>
        <v>279.96138895484864</v>
      </c>
      <c r="DT113" s="62">
        <f ca="1">AVERAGE(OFFSET($DS$3,0,0,'Données projet'!$E$14+1,1))-AVERAGE(OFFSET($H$3,0,0,'Données projet'!$E$14+1,1))</f>
        <v>338.33525241236157</v>
      </c>
      <c r="DU113" s="62">
        <f t="shared" si="98"/>
        <v>373.47257029791717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89.831257556108014</v>
      </c>
      <c r="EB113" s="23">
        <f>EXP(-LN(2)/25)*EB112+(1-EXP(-LN(2)/25))/(LN(2)/25)*Calculateur!DW113*Calculateur!DY113*VLOOKUP('Données projet'!$B$14,Paramètres!$A$1:$I$89,3,0)*0.475*44/12</f>
        <v>10.624180952632038</v>
      </c>
      <c r="EC113" s="23">
        <f>EXP(-LN(2)/2)*EC112+(1-EXP(-LN(2)/2))/(LN(2)/2)*DW113*DZ113*VLOOKUP('Données projet'!$B$14,Paramètres!$A$1:$I$89,3,0)*0.475*44/12</f>
        <v>4.4042331478537295E-7</v>
      </c>
      <c r="ED113" s="24">
        <f t="shared" si="72"/>
        <v>100.45543894916338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-2.8421709430404007E-14</v>
      </c>
      <c r="EK113" s="18">
        <f>EJ113*VLOOKUP('Données projet'!$B$15,Paramètres!$A$1:$I$89,3,0)*VLOOKUP('Données projet'!$B$15,Paramètres!$A$1:$I$89,5,0)</f>
        <v>-2.2168933355715127E-14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144.92790055195192</v>
      </c>
      <c r="EP113" s="62">
        <f t="shared" si="100"/>
        <v>151.00642748754026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22.607129989232472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22.607129989232472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-1.7053025658242404E-13</v>
      </c>
      <c r="O114" s="14">
        <f>N114*VLOOKUP('Données projet'!$B$9,Paramètres!$A$1:$I$89,3,0)*VLOOKUP('Données projet'!$B$9,Paramètres!$A$1:$I$89,5,0)</f>
        <v>-1.383341441396624E-13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259.10606516000064</v>
      </c>
      <c r="T114" s="62">
        <f t="shared" si="88"/>
        <v>316.57989180609252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37.206889514042395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37.206889514042395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186.83226999296298</v>
      </c>
      <c r="AO114" s="62">
        <f t="shared" si="90"/>
        <v>232.70925470547317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44.528741579593181</v>
      </c>
      <c r="AV114" s="23">
        <f>EXP(-LN(2)/25)*AV113+(1-EXP(-LN(2)/25))/(LN(2)/25)*Calculateur!AQ114*Calculateur!AS114*VLOOKUP('Données projet'!$B$10,Paramètres!$A$1:$I$89,3,0)*0.475*44/12</f>
        <v>3.2565579861831808</v>
      </c>
      <c r="AW114" s="23">
        <f>EXP(-LN(2)/2)*AW113+(1-EXP(-LN(2)/2))/(LN(2)/2)*AQ114*AT114*VLOOKUP('Données projet'!$B$10,Paramètres!$A$1:$I$89,3,0)*0.475*44/12</f>
        <v>1.5824553721289187E-7</v>
      </c>
      <c r="AX114" s="23">
        <f t="shared" si="60"/>
        <v>47.785299724021897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-2.2737367544323206E-13</v>
      </c>
      <c r="BE114" s="14">
        <f>BD114*VLOOKUP('Données projet'!$B$11,Paramètres!$A$1:$I$89,3,0)*VLOOKUP('Données projet'!$B$11,Paramètres!$A$1:$I$89,5,0)</f>
        <v>-2.0572770154103635E-13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435.70500547084868</v>
      </c>
      <c r="BJ114" s="62">
        <f t="shared" si="92"/>
        <v>297.32483725004136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144.82385961600755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144.82385961600755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-2.2737367544323206E-13</v>
      </c>
      <c r="BZ114" s="14">
        <f>BY114*VLOOKUP('Données projet'!$B$12,Paramètres!$A$1:$I$89,3,0)*VLOOKUP('Données projet'!$B$12,Paramètres!$A$1:$I$89,5,0)</f>
        <v>-2.5893314159475268E-13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530.15080507516973</v>
      </c>
      <c r="CE114" s="62">
        <f t="shared" si="94"/>
        <v>358.10331902702217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182.27830606842332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182.27830606842332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>
        <f>CT114*VLOOKUP('Données projet'!$B$13,Paramètres!$A$1:$I$89,3,0)*VLOOKUP('Données projet'!$B$13,Paramètres!$A$1:$I$89,5,0)</f>
        <v>-4.8771653382573282E-14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182.98212193167009</v>
      </c>
      <c r="CZ114" s="62">
        <f t="shared" si="96"/>
        <v>195.9200038944301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40.029360374907142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40.029360374907142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2.2737367544323206E-13</v>
      </c>
      <c r="DP114" s="18">
        <f>DO114*VLOOKUP('Données projet'!$B$14,Paramètres!$A$1:$I$89,3,0)*VLOOKUP('Données projet'!$B$14,Paramètres!$A$1:$I$89,5,0)</f>
        <v>1.0049916454590858E-13</v>
      </c>
      <c r="DQ114" s="14">
        <f t="shared" si="97"/>
        <v>1.5089081593838289E-12</v>
      </c>
      <c r="DR114" s="22">
        <f t="shared" si="70"/>
        <v>2.8030510891776262E-12</v>
      </c>
      <c r="DS114" s="62">
        <f t="shared" si="71"/>
        <v>280.19336229462635</v>
      </c>
      <c r="DT114" s="62">
        <f ca="1">AVERAGE(OFFSET($DS$3,0,0,'Données projet'!$E$14+1,1))-AVERAGE(OFFSET($H$3,0,0,'Données projet'!$E$14+1,1))</f>
        <v>338.33525241236157</v>
      </c>
      <c r="DU114" s="62">
        <f t="shared" si="98"/>
        <v>373.47257029791717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88.069721387089615</v>
      </c>
      <c r="EB114" s="23">
        <f>EXP(-LN(2)/25)*EB113+(1-EXP(-LN(2)/25))/(LN(2)/25)*Calculateur!DW114*Calculateur!DY114*VLOOKUP('Données projet'!$B$14,Paramètres!$A$1:$I$89,3,0)*0.475*44/12</f>
        <v>10.33366216578092</v>
      </c>
      <c r="EC114" s="23">
        <f>EXP(-LN(2)/2)*EC113+(1-EXP(-LN(2)/2))/(LN(2)/2)*DW114*DZ114*VLOOKUP('Données projet'!$B$14,Paramètres!$A$1:$I$89,3,0)*0.475*44/12</f>
        <v>3.1142631247739464E-7</v>
      </c>
      <c r="ED114" s="24">
        <f t="shared" si="72"/>
        <v>98.403383864296856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-2.8421709430404007E-14</v>
      </c>
      <c r="EK114" s="18">
        <f>EJ114*VLOOKUP('Données projet'!$B$15,Paramètres!$A$1:$I$89,3,0)*VLOOKUP('Données projet'!$B$15,Paramètres!$A$1:$I$89,5,0)</f>
        <v>-2.2168933355715127E-14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144.92790055195192</v>
      </c>
      <c r="EP114" s="62">
        <f t="shared" si="100"/>
        <v>151.00642748754026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22.163817959131368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22.163817959131368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-1.7053025658242404E-13</v>
      </c>
      <c r="O115" s="14">
        <f>N115*VLOOKUP('Données projet'!$B$9,Paramètres!$A$1:$I$89,3,0)*VLOOKUP('Données projet'!$B$9,Paramètres!$A$1:$I$89,5,0)</f>
        <v>-1.383341441396624E-13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259.10606516000064</v>
      </c>
      <c r="T115" s="62">
        <f t="shared" si="88"/>
        <v>316.57989180609252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36.477285104633786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36.477285104633786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186.83226999296298</v>
      </c>
      <c r="AO115" s="62">
        <f t="shared" si="90"/>
        <v>232.70925470547317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43.655560117067907</v>
      </c>
      <c r="AV115" s="23">
        <f>EXP(-LN(2)/25)*AV114+(1-EXP(-LN(2)/25))/(LN(2)/25)*Calculateur!AQ115*Calculateur!AS115*VLOOKUP('Données projet'!$B$10,Paramètres!$A$1:$I$89,3,0)*0.475*44/12</f>
        <v>3.1675072367960602</v>
      </c>
      <c r="AW115" s="23">
        <f>EXP(-LN(2)/2)*AW114+(1-EXP(-LN(2)/2))/(LN(2)/2)*AQ115*AT115*VLOOKUP('Données projet'!$B$10,Paramètres!$A$1:$I$89,3,0)*0.475*44/12</f>
        <v>1.1189649245574401E-7</v>
      </c>
      <c r="AX115" s="23">
        <f t="shared" si="60"/>
        <v>46.82306746576046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-2.2737367544323206E-13</v>
      </c>
      <c r="BE115" s="14">
        <f>BD115*VLOOKUP('Données projet'!$B$11,Paramètres!$A$1:$I$89,3,0)*VLOOKUP('Données projet'!$B$11,Paramètres!$A$1:$I$89,5,0)</f>
        <v>-2.0572770154103635E-13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435.70500547084868</v>
      </c>
      <c r="BJ115" s="62">
        <f t="shared" si="92"/>
        <v>297.32483725004136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141.98395206276976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141.98395206276976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-2.2737367544323206E-13</v>
      </c>
      <c r="BZ115" s="14">
        <f>BY115*VLOOKUP('Données projet'!$B$12,Paramètres!$A$1:$I$89,3,0)*VLOOKUP('Données projet'!$B$12,Paramètres!$A$1:$I$89,5,0)</f>
        <v>-2.5893314159475268E-13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530.15080507516973</v>
      </c>
      <c r="CE115" s="62">
        <f t="shared" si="94"/>
        <v>358.10331902702217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178.70393966521024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178.70393966521024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>
        <f>CT115*VLOOKUP('Données projet'!$B$13,Paramètres!$A$1:$I$89,3,0)*VLOOKUP('Données projet'!$B$13,Paramètres!$A$1:$I$89,5,0)</f>
        <v>-4.8771653382573282E-14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182.98212193167009</v>
      </c>
      <c r="CZ115" s="62">
        <f t="shared" si="96"/>
        <v>195.9200038944301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39.244409033454211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39.244409033454211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2.2737367544323206E-13</v>
      </c>
      <c r="DP115" s="18">
        <f>DO115*VLOOKUP('Données projet'!$B$14,Paramètres!$A$1:$I$89,3,0)*VLOOKUP('Données projet'!$B$14,Paramètres!$A$1:$I$89,5,0)</f>
        <v>1.0049916454590858E-13</v>
      </c>
      <c r="DQ115" s="14">
        <f t="shared" si="97"/>
        <v>1.5089081593838289E-12</v>
      </c>
      <c r="DR115" s="22">
        <f t="shared" si="70"/>
        <v>2.8030510891776262E-12</v>
      </c>
      <c r="DS115" s="62">
        <f t="shared" si="71"/>
        <v>280.42131141557365</v>
      </c>
      <c r="DT115" s="62">
        <f ca="1">AVERAGE(OFFSET($DS$3,0,0,'Données projet'!$E$14+1,1))-AVERAGE(OFFSET($H$3,0,0,'Données projet'!$E$14+1,1))</f>
        <v>338.33525241236157</v>
      </c>
      <c r="DU115" s="62">
        <f t="shared" si="98"/>
        <v>373.47257029791717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86.342727867914704</v>
      </c>
      <c r="EB115" s="23">
        <f>EXP(-LN(2)/25)*EB114+(1-EXP(-LN(2)/25))/(LN(2)/25)*Calculateur!DW115*Calculateur!DY115*VLOOKUP('Données projet'!$B$14,Paramètres!$A$1:$I$89,3,0)*0.475*44/12</f>
        <v>10.051087630433965</v>
      </c>
      <c r="EC115" s="23">
        <f>EXP(-LN(2)/2)*EC114+(1-EXP(-LN(2)/2))/(LN(2)/2)*DW115*DZ115*VLOOKUP('Données projet'!$B$14,Paramètres!$A$1:$I$89,3,0)*0.475*44/12</f>
        <v>2.2021165739268647E-7</v>
      </c>
      <c r="ED115" s="24">
        <f t="shared" si="72"/>
        <v>96.393815718560333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-2.8421709430404007E-14</v>
      </c>
      <c r="EK115" s="18">
        <f>EJ115*VLOOKUP('Données projet'!$B$15,Paramètres!$A$1:$I$89,3,0)*VLOOKUP('Données projet'!$B$15,Paramètres!$A$1:$I$89,5,0)</f>
        <v>-2.2168933355715127E-14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144.92790055195192</v>
      </c>
      <c r="EP115" s="62">
        <f t="shared" si="100"/>
        <v>151.00642748754026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21.729199007546907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21.729199007546907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-1.7053025658242404E-13</v>
      </c>
      <c r="O116" s="14">
        <f>N116*VLOOKUP('Données projet'!$B$9,Paramètres!$A$1:$I$89,3,0)*VLOOKUP('Données projet'!$B$9,Paramètres!$A$1:$I$89,5,0)</f>
        <v>-1.383341441396624E-13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259.10606516000064</v>
      </c>
      <c r="T116" s="62">
        <f t="shared" si="88"/>
        <v>316.57989180609252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35.76198779267893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35.76198779267893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186.83226999296298</v>
      </c>
      <c r="AO116" s="62">
        <f t="shared" si="90"/>
        <v>232.70925470547317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42.799501210434656</v>
      </c>
      <c r="AV116" s="23">
        <f>EXP(-LN(2)/25)*AV115+(1-EXP(-LN(2)/25))/(LN(2)/25)*Calculateur!AQ116*Calculateur!AS116*VLOOKUP('Données projet'!$B$10,Paramètres!$A$1:$I$89,3,0)*0.475*44/12</f>
        <v>3.0808915848339056</v>
      </c>
      <c r="AW116" s="23">
        <f>EXP(-LN(2)/2)*AW115+(1-EXP(-LN(2)/2))/(LN(2)/2)*AQ116*AT116*VLOOKUP('Données projet'!$B$10,Paramètres!$A$1:$I$89,3,0)*0.475*44/12</f>
        <v>7.9122768606445949E-8</v>
      </c>
      <c r="AX116" s="23">
        <f t="shared" si="60"/>
        <v>45.880392874391333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-2.2737367544323206E-13</v>
      </c>
      <c r="BE116" s="14">
        <f>BD116*VLOOKUP('Données projet'!$B$11,Paramètres!$A$1:$I$89,3,0)*VLOOKUP('Données projet'!$B$11,Paramètres!$A$1:$I$89,5,0)</f>
        <v>-2.0572770154103635E-13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435.70500547084868</v>
      </c>
      <c r="BJ116" s="62">
        <f t="shared" si="92"/>
        <v>297.32483725004136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139.19973336447839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139.19973336447839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-2.2737367544323206E-13</v>
      </c>
      <c r="BZ116" s="14">
        <f>BY116*VLOOKUP('Données projet'!$B$12,Paramètres!$A$1:$I$89,3,0)*VLOOKUP('Données projet'!$B$12,Paramètres!$A$1:$I$89,5,0)</f>
        <v>-2.5893314159475268E-13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530.15080507516973</v>
      </c>
      <c r="CE116" s="62">
        <f t="shared" si="94"/>
        <v>358.10331902702217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175.19966440701594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175.19966440701594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>
        <f>CT116*VLOOKUP('Données projet'!$B$13,Paramètres!$A$1:$I$89,3,0)*VLOOKUP('Données projet'!$B$13,Paramètres!$A$1:$I$89,5,0)</f>
        <v>-4.8771653382573282E-14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182.98212193167009</v>
      </c>
      <c r="CZ116" s="62">
        <f t="shared" si="96"/>
        <v>195.9200038944301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38.474850109034129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38.474850109034129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2.2737367544323206E-13</v>
      </c>
      <c r="DP116" s="18">
        <f>DO116*VLOOKUP('Données projet'!$B$14,Paramètres!$A$1:$I$89,3,0)*VLOOKUP('Données projet'!$B$14,Paramètres!$A$1:$I$89,5,0)</f>
        <v>1.0049916454590858E-13</v>
      </c>
      <c r="DQ116" s="14">
        <f t="shared" si="97"/>
        <v>1.5089081593838289E-12</v>
      </c>
      <c r="DR116" s="22">
        <f t="shared" si="70"/>
        <v>2.8030510891776262E-12</v>
      </c>
      <c r="DS116" s="62">
        <f t="shared" si="71"/>
        <v>280.64530612889041</v>
      </c>
      <c r="DT116" s="62">
        <f ca="1">AVERAGE(OFFSET($DS$3,0,0,'Données projet'!$E$14+1,1))-AVERAGE(OFFSET($H$3,0,0,'Données projet'!$E$14+1,1))</f>
        <v>338.33525241236157</v>
      </c>
      <c r="DU116" s="62">
        <f t="shared" si="98"/>
        <v>373.47257029791717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84.649599638288777</v>
      </c>
      <c r="EB116" s="23">
        <f>EXP(-LN(2)/25)*EB115+(1-EXP(-LN(2)/25))/(LN(2)/25)*Calculateur!DW116*Calculateur!DY116*VLOOKUP('Données projet'!$B$14,Paramètres!$A$1:$I$89,3,0)*0.475*44/12</f>
        <v>9.7762401106160226</v>
      </c>
      <c r="EC116" s="23">
        <f>EXP(-LN(2)/2)*EC115+(1-EXP(-LN(2)/2))/(LN(2)/2)*DW116*DZ116*VLOOKUP('Données projet'!$B$14,Paramètres!$A$1:$I$89,3,0)*0.475*44/12</f>
        <v>1.5571315623869732E-7</v>
      </c>
      <c r="ED116" s="24">
        <f t="shared" si="72"/>
        <v>94.425839904617945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-2.8421709430404007E-14</v>
      </c>
      <c r="EK116" s="18">
        <f>EJ116*VLOOKUP('Données projet'!$B$15,Paramètres!$A$1:$I$89,3,0)*VLOOKUP('Données projet'!$B$15,Paramètres!$A$1:$I$89,5,0)</f>
        <v>-2.2168933355715127E-14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144.92790055195192</v>
      </c>
      <c r="EP116" s="62">
        <f t="shared" si="100"/>
        <v>151.00642748754026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21.303102668511631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21.303102668511631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-1.7053025658242404E-13</v>
      </c>
      <c r="O117" s="14">
        <f>N117*VLOOKUP('Données projet'!$B$9,Paramètres!$A$1:$I$89,3,0)*VLOOKUP('Données projet'!$B$9,Paramètres!$A$1:$I$89,5,0)</f>
        <v>-1.383341441396624E-13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259.10606516000064</v>
      </c>
      <c r="T117" s="62">
        <f t="shared" si="88"/>
        <v>316.57989180609252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35.060717024723232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35.060717024723232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186.83226999296298</v>
      </c>
      <c r="AO117" s="62">
        <f t="shared" si="90"/>
        <v>232.70925470547317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41.960229096816107</v>
      </c>
      <c r="AV117" s="23">
        <f>EXP(-LN(2)/25)*AV116+(1-EXP(-LN(2)/25))/(LN(2)/25)*Calculateur!AQ117*Calculateur!AS117*VLOOKUP('Données projet'!$B$10,Paramètres!$A$1:$I$89,3,0)*0.475*44/12</f>
        <v>2.9966444424295755</v>
      </c>
      <c r="AW117" s="23">
        <f>EXP(-LN(2)/2)*AW116+(1-EXP(-LN(2)/2))/(LN(2)/2)*AQ117*AT117*VLOOKUP('Données projet'!$B$10,Paramètres!$A$1:$I$89,3,0)*0.475*44/12</f>
        <v>5.5948246227872011E-8</v>
      </c>
      <c r="AX117" s="23">
        <f t="shared" si="60"/>
        <v>44.956873595193933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-2.2737367544323206E-13</v>
      </c>
      <c r="BE117" s="14">
        <f>BD117*VLOOKUP('Données projet'!$B$11,Paramètres!$A$1:$I$89,3,0)*VLOOKUP('Données projet'!$B$11,Paramètres!$A$1:$I$89,5,0)</f>
        <v>-2.0572770154103635E-13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435.70500547084868</v>
      </c>
      <c r="BJ117" s="62">
        <f t="shared" si="92"/>
        <v>297.32483725004136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136.47011149665479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136.47011149665479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-2.2737367544323206E-13</v>
      </c>
      <c r="BZ117" s="14">
        <f>BY117*VLOOKUP('Données projet'!$B$12,Paramètres!$A$1:$I$89,3,0)*VLOOKUP('Données projet'!$B$12,Paramètres!$A$1:$I$89,5,0)</f>
        <v>-2.5893314159475268E-13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530.15080507516973</v>
      </c>
      <c r="CE117" s="62">
        <f t="shared" si="94"/>
        <v>358.10331902702217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171.76410584923798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171.76410584923798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>
        <f>CT117*VLOOKUP('Données projet'!$B$13,Paramètres!$A$1:$I$89,3,0)*VLOOKUP('Données projet'!$B$13,Paramètres!$A$1:$I$89,5,0)</f>
        <v>-4.8771653382573282E-14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182.98212193167009</v>
      </c>
      <c r="CZ117" s="62">
        <f t="shared" si="96"/>
        <v>195.9200038944301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37.720381765737329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37.720381765737329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2.2737367544323206E-13</v>
      </c>
      <c r="DP117" s="18">
        <f>DO117*VLOOKUP('Données projet'!$B$14,Paramètres!$A$1:$I$89,3,0)*VLOOKUP('Données projet'!$B$14,Paramètres!$A$1:$I$89,5,0)</f>
        <v>1.0049916454590858E-13</v>
      </c>
      <c r="DQ117" s="14">
        <f t="shared" si="97"/>
        <v>1.5089081593838289E-12</v>
      </c>
      <c r="DR117" s="22">
        <f t="shared" si="70"/>
        <v>2.8030510891776262E-12</v>
      </c>
      <c r="DS117" s="62">
        <f t="shared" si="71"/>
        <v>280.86541503470823</v>
      </c>
      <c r="DT117" s="62">
        <f ca="1">AVERAGE(OFFSET($DS$3,0,0,'Données projet'!$E$14+1,1))-AVERAGE(OFFSET($H$3,0,0,'Données projet'!$E$14+1,1))</f>
        <v>338.33525241236157</v>
      </c>
      <c r="DU117" s="62">
        <f t="shared" si="98"/>
        <v>373.47257029791717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82.989672620539565</v>
      </c>
      <c r="EB117" s="23">
        <f>EXP(-LN(2)/25)*EB116+(1-EXP(-LN(2)/25))/(LN(2)/25)*Calculateur!DW117*Calculateur!DY117*VLOOKUP('Données projet'!$B$14,Paramètres!$A$1:$I$89,3,0)*0.475*44/12</f>
        <v>9.5089083106811039</v>
      </c>
      <c r="EC117" s="23">
        <f>EXP(-LN(2)/2)*EC116+(1-EXP(-LN(2)/2))/(LN(2)/2)*DW117*DZ117*VLOOKUP('Données projet'!$B$14,Paramètres!$A$1:$I$89,3,0)*0.475*44/12</f>
        <v>1.1010582869634324E-7</v>
      </c>
      <c r="ED117" s="24">
        <f t="shared" si="72"/>
        <v>92.498581041326503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-2.8421709430404007E-14</v>
      </c>
      <c r="EK117" s="18">
        <f>EJ117*VLOOKUP('Données projet'!$B$15,Paramètres!$A$1:$I$89,3,0)*VLOOKUP('Données projet'!$B$15,Paramètres!$A$1:$I$89,5,0)</f>
        <v>-2.2168933355715127E-14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144.92790055195192</v>
      </c>
      <c r="EP117" s="62">
        <f t="shared" si="100"/>
        <v>151.00642748754026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20.885361818791733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20.885361818791733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-1.7053025658242404E-13</v>
      </c>
      <c r="O118" s="14">
        <f>N118*VLOOKUP('Données projet'!$B$9,Paramètres!$A$1:$I$89,3,0)*VLOOKUP('Données projet'!$B$9,Paramètres!$A$1:$I$89,5,0)</f>
        <v>-1.383341441396624E-13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259.10606516000064</v>
      </c>
      <c r="T118" s="62">
        <f t="shared" si="88"/>
        <v>316.57989180609252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34.373197748794212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34.373197748794212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186.83226999296298</v>
      </c>
      <c r="AO118" s="62">
        <f t="shared" si="90"/>
        <v>232.70925470547317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41.13741459744017</v>
      </c>
      <c r="AV118" s="23">
        <f>EXP(-LN(2)/25)*AV117+(1-EXP(-LN(2)/25))/(LN(2)/25)*Calculateur!AQ118*Calculateur!AS118*VLOOKUP('Données projet'!$B$10,Paramètres!$A$1:$I$89,3,0)*0.475*44/12</f>
        <v>2.9147010425646567</v>
      </c>
      <c r="AW118" s="23">
        <f>EXP(-LN(2)/2)*AW117+(1-EXP(-LN(2)/2))/(LN(2)/2)*AQ118*AT118*VLOOKUP('Données projet'!$B$10,Paramètres!$A$1:$I$89,3,0)*0.475*44/12</f>
        <v>3.9561384303222981E-8</v>
      </c>
      <c r="AX118" s="23">
        <f t="shared" si="60"/>
        <v>44.052115679566214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-2.2737367544323206E-13</v>
      </c>
      <c r="BE118" s="14">
        <f>BD118*VLOOKUP('Données projet'!$B$11,Paramètres!$A$1:$I$89,3,0)*VLOOKUP('Données projet'!$B$11,Paramètres!$A$1:$I$89,5,0)</f>
        <v>-2.0572770154103635E-13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435.70500547084868</v>
      </c>
      <c r="BJ118" s="62">
        <f t="shared" si="92"/>
        <v>297.32483725004136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133.79401584875427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133.79401584875427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-2.2737367544323206E-13</v>
      </c>
      <c r="BZ118" s="14">
        <f>BY118*VLOOKUP('Données projet'!$B$12,Paramètres!$A$1:$I$89,3,0)*VLOOKUP('Données projet'!$B$12,Paramètres!$A$1:$I$89,5,0)</f>
        <v>-2.5893314159475268E-13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530.15080507516973</v>
      </c>
      <c r="CE118" s="62">
        <f t="shared" si="94"/>
        <v>358.10331902702217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168.39591649929423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168.39591649929423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>
        <f>CT118*VLOOKUP('Données projet'!$B$13,Paramètres!$A$1:$I$89,3,0)*VLOOKUP('Données projet'!$B$13,Paramètres!$A$1:$I$89,5,0)</f>
        <v>-4.8771653382573282E-14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182.98212193167009</v>
      </c>
      <c r="CZ118" s="62">
        <f t="shared" si="96"/>
        <v>195.9200038944301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36.980708086472326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36.980708086472326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2.2737367544323206E-13</v>
      </c>
      <c r="DP118" s="18">
        <f>DO118*VLOOKUP('Données projet'!$B$14,Paramètres!$A$1:$I$89,3,0)*VLOOKUP('Données projet'!$B$14,Paramètres!$A$1:$I$89,5,0)</f>
        <v>1.0049916454590858E-13</v>
      </c>
      <c r="DQ118" s="14">
        <f t="shared" si="97"/>
        <v>1.5089081593838289E-12</v>
      </c>
      <c r="DR118" s="22">
        <f t="shared" si="70"/>
        <v>2.8030510891776262E-12</v>
      </c>
      <c r="DS118" s="62">
        <f t="shared" si="71"/>
        <v>281.08170554310004</v>
      </c>
      <c r="DT118" s="62">
        <f ca="1">AVERAGE(OFFSET($DS$3,0,0,'Données projet'!$E$14+1,1))-AVERAGE(OFFSET($H$3,0,0,'Données projet'!$E$14+1,1))</f>
        <v>338.33525241236157</v>
      </c>
      <c r="DU118" s="62">
        <f t="shared" si="98"/>
        <v>373.47257029791717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81.3622957591529</v>
      </c>
      <c r="EB118" s="23">
        <f>EXP(-LN(2)/25)*EB117+(1-EXP(-LN(2)/25))/(LN(2)/25)*Calculateur!DW118*Calculateur!DY118*VLOOKUP('Données projet'!$B$14,Paramètres!$A$1:$I$89,3,0)*0.475*44/12</f>
        <v>9.2488867128737731</v>
      </c>
      <c r="EC118" s="23">
        <f>EXP(-LN(2)/2)*EC117+(1-EXP(-LN(2)/2))/(LN(2)/2)*DW118*DZ118*VLOOKUP('Données projet'!$B$14,Paramètres!$A$1:$I$89,3,0)*0.475*44/12</f>
        <v>7.7856578119348661E-8</v>
      </c>
      <c r="ED118" s="24">
        <f t="shared" si="72"/>
        <v>90.611182549883253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-2.8421709430404007E-14</v>
      </c>
      <c r="EK118" s="18">
        <f>EJ118*VLOOKUP('Données projet'!$B$15,Paramètres!$A$1:$I$89,3,0)*VLOOKUP('Données projet'!$B$15,Paramètres!$A$1:$I$89,5,0)</f>
        <v>-2.2168933355715127E-14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144.92790055195192</v>
      </c>
      <c r="EP118" s="62">
        <f t="shared" si="100"/>
        <v>151.00642748754026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20.475812612338082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20.475812612338082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-1.7053025658242404E-13</v>
      </c>
      <c r="O119" s="14">
        <f>N119*VLOOKUP('Données projet'!$B$9,Paramètres!$A$1:$I$89,3,0)*VLOOKUP('Données projet'!$B$9,Paramètres!$A$1:$I$89,5,0)</f>
        <v>-1.383341441396624E-13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259.10606516000064</v>
      </c>
      <c r="T119" s="62">
        <f t="shared" si="88"/>
        <v>316.57989180609252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33.699160306520803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33.699160306520803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186.83226999296298</v>
      </c>
      <c r="AO119" s="62">
        <f t="shared" si="90"/>
        <v>232.70925470547317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40.330734988529706</v>
      </c>
      <c r="AV119" s="23">
        <f>EXP(-LN(2)/25)*AV118+(1-EXP(-LN(2)/25))/(LN(2)/25)*Calculateur!AQ119*Calculateur!AS119*VLOOKUP('Données projet'!$B$10,Paramètres!$A$1:$I$89,3,0)*0.475*44/12</f>
        <v>2.83499838927826</v>
      </c>
      <c r="AW119" s="23">
        <f>EXP(-LN(2)/2)*AW118+(1-EXP(-LN(2)/2))/(LN(2)/2)*AQ119*AT119*VLOOKUP('Données projet'!$B$10,Paramètres!$A$1:$I$89,3,0)*0.475*44/12</f>
        <v>2.7974123113936009E-8</v>
      </c>
      <c r="AX119" s="23">
        <f t="shared" si="60"/>
        <v>43.165733405782092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-2.2737367544323206E-13</v>
      </c>
      <c r="BE119" s="14">
        <f>BD119*VLOOKUP('Données projet'!$B$11,Paramètres!$A$1:$I$89,3,0)*VLOOKUP('Données projet'!$B$11,Paramètres!$A$1:$I$89,5,0)</f>
        <v>-2.0572770154103635E-13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435.70500547084868</v>
      </c>
      <c r="BJ119" s="62">
        <f t="shared" si="92"/>
        <v>297.32483725004136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131.17039680425191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131.17039680425191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-2.2737367544323206E-13</v>
      </c>
      <c r="BZ119" s="14">
        <f>BY119*VLOOKUP('Données projet'!$B$12,Paramètres!$A$1:$I$89,3,0)*VLOOKUP('Données projet'!$B$12,Paramètres!$A$1:$I$89,5,0)</f>
        <v>-2.5893314159475268E-13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530.15080507516973</v>
      </c>
      <c r="CE119" s="62">
        <f t="shared" si="94"/>
        <v>358.10331902702217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165.09377528811024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165.09377528811024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projet'!$B$13,Paramètres!$A$1:$I$89,3,0)*VLOOKUP('Données projet'!$B$13,Paramètres!$A$1:$I$89,5,0)</f>
        <v>-4.8771653382573282E-14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182.98212193167009</v>
      </c>
      <c r="CZ119" s="62">
        <f t="shared" si="96"/>
        <v>195.9200038944301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36.255538956901319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36.255538956901319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2.2737367544323206E-13</v>
      </c>
      <c r="DP119" s="18">
        <f>DO119*VLOOKUP('Données projet'!$B$14,Paramètres!$A$1:$I$89,3,0)*VLOOKUP('Données projet'!$B$14,Paramètres!$A$1:$I$89,5,0)</f>
        <v>1.0049916454590858E-13</v>
      </c>
      <c r="DQ119" s="14">
        <f t="shared" si="97"/>
        <v>1.5089081593838289E-12</v>
      </c>
      <c r="DR119" s="22">
        <f t="shared" si="70"/>
        <v>2.8030510891776262E-12</v>
      </c>
      <c r="DS119" s="62">
        <f t="shared" si="71"/>
        <v>281.29424389472427</v>
      </c>
      <c r="DT119" s="62">
        <f ca="1">AVERAGE(OFFSET($DS$3,0,0,'Données projet'!$E$14+1,1))-AVERAGE(OFFSET($H$3,0,0,'Données projet'!$E$14+1,1))</f>
        <v>338.33525241236157</v>
      </c>
      <c r="DU119" s="62">
        <f t="shared" si="98"/>
        <v>373.47257029791717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79.766830765416159</v>
      </c>
      <c r="EB119" s="23">
        <f>EXP(-LN(2)/25)*EB118+(1-EXP(-LN(2)/25))/(LN(2)/25)*Calculateur!DW119*Calculateur!DY119*VLOOKUP('Données projet'!$B$14,Paramètres!$A$1:$I$89,3,0)*0.475*44/12</f>
        <v>8.9959754193324262</v>
      </c>
      <c r="EC119" s="23">
        <f>EXP(-LN(2)/2)*EC118+(1-EXP(-LN(2)/2))/(LN(2)/2)*DW119*DZ119*VLOOKUP('Données projet'!$B$14,Paramètres!$A$1:$I$89,3,0)*0.475*44/12</f>
        <v>5.5052914348171618E-8</v>
      </c>
      <c r="ED119" s="24">
        <f t="shared" si="72"/>
        <v>88.762806239801492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-2.8421709430404007E-14</v>
      </c>
      <c r="EK119" s="18">
        <f>EJ119*VLOOKUP('Données projet'!$B$15,Paramètres!$A$1:$I$89,3,0)*VLOOKUP('Données projet'!$B$15,Paramètres!$A$1:$I$89,5,0)</f>
        <v>-2.2168933355715127E-14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144.92790055195192</v>
      </c>
      <c r="EP119" s="62">
        <f t="shared" si="100"/>
        <v>151.00642748754026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20.074294416022639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20.074294416022639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-1.7053025658242404E-13</v>
      </c>
      <c r="O120" s="14">
        <f>N120*VLOOKUP('Données projet'!$B$9,Paramètres!$A$1:$I$89,3,0)*VLOOKUP('Données projet'!$B$9,Paramètres!$A$1:$I$89,5,0)</f>
        <v>-1.383341441396624E-13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259.10606516000064</v>
      </c>
      <c r="T120" s="62">
        <f t="shared" si="88"/>
        <v>316.57989180609252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33.038340327368132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33.038340327368132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186.83226999296298</v>
      </c>
      <c r="AO120" s="62">
        <f t="shared" si="90"/>
        <v>232.70925470547317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39.539873874724002</v>
      </c>
      <c r="AV120" s="23">
        <f>EXP(-LN(2)/25)*AV119+(1-EXP(-LN(2)/25))/(LN(2)/25)*Calculateur!AQ120*Calculateur!AS120*VLOOKUP('Données projet'!$B$10,Paramètres!$A$1:$I$89,3,0)*0.475*44/12</f>
        <v>2.7574752092373602</v>
      </c>
      <c r="AW120" s="23">
        <f>EXP(-LN(2)/2)*AW119+(1-EXP(-LN(2)/2))/(LN(2)/2)*AQ120*AT120*VLOOKUP('Données projet'!$B$10,Paramètres!$A$1:$I$89,3,0)*0.475*44/12</f>
        <v>1.9780692151611491E-8</v>
      </c>
      <c r="AX120" s="23">
        <f t="shared" si="60"/>
        <v>42.297349103742057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-2.2737367544323206E-13</v>
      </c>
      <c r="BE120" s="14">
        <f>BD120*VLOOKUP('Données projet'!$B$11,Paramètres!$A$1:$I$89,3,0)*VLOOKUP('Données projet'!$B$11,Paramètres!$A$1:$I$89,5,0)</f>
        <v>-2.0572770154103635E-13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435.70500547084868</v>
      </c>
      <c r="BJ120" s="62">
        <f t="shared" si="92"/>
        <v>297.32483725004136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128.59822532896263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128.59822532896263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-2.2737367544323206E-13</v>
      </c>
      <c r="BZ120" s="14">
        <f>BY120*VLOOKUP('Données projet'!$B$12,Paramètres!$A$1:$I$89,3,0)*VLOOKUP('Données projet'!$B$12,Paramètres!$A$1:$I$89,5,0)</f>
        <v>-2.5893314159475268E-13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530.15080507516973</v>
      </c>
      <c r="CE120" s="62">
        <f t="shared" si="94"/>
        <v>358.10331902702217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161.8563870519703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161.8563870519703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projet'!$B$13,Paramètres!$A$1:$I$89,3,0)*VLOOKUP('Données projet'!$B$13,Paramètres!$A$1:$I$89,5,0)</f>
        <v>-4.8771653382573282E-14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182.98212193167009</v>
      </c>
      <c r="CZ120" s="62">
        <f t="shared" si="96"/>
        <v>195.9200038944301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35.544589951651702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35.544589951651702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2.2737367544323206E-13</v>
      </c>
      <c r="DP120" s="18">
        <f>DO120*VLOOKUP('Données projet'!$B$14,Paramètres!$A$1:$I$89,3,0)*VLOOKUP('Données projet'!$B$14,Paramètres!$A$1:$I$89,5,0)</f>
        <v>1.0049916454590858E-13</v>
      </c>
      <c r="DQ120" s="14">
        <f t="shared" si="97"/>
        <v>1.5089081593838289E-12</v>
      </c>
      <c r="DR120" s="22">
        <f t="shared" si="70"/>
        <v>2.8030510891776262E-12</v>
      </c>
      <c r="DS120" s="62">
        <f t="shared" si="71"/>
        <v>281.50309518111243</v>
      </c>
      <c r="DT120" s="62">
        <f ca="1">AVERAGE(OFFSET($DS$3,0,0,'Données projet'!$E$14+1,1))-AVERAGE(OFFSET($H$3,0,0,'Données projet'!$E$14+1,1))</f>
        <v>338.33525241236157</v>
      </c>
      <c r="DU120" s="62">
        <f t="shared" si="98"/>
        <v>373.47257029791717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78.202651867069036</v>
      </c>
      <c r="EB120" s="23">
        <f>EXP(-LN(2)/25)*EB119+(1-EXP(-LN(2)/25))/(LN(2)/25)*Calculateur!DW120*Calculateur!DY120*VLOOKUP('Données projet'!$B$14,Paramètres!$A$1:$I$89,3,0)*0.475*44/12</f>
        <v>8.7499799984129947</v>
      </c>
      <c r="EC120" s="23">
        <f>EXP(-LN(2)/2)*EC119+(1-EXP(-LN(2)/2))/(LN(2)/2)*DW120*DZ120*VLOOKUP('Données projet'!$B$14,Paramètres!$A$1:$I$89,3,0)*0.475*44/12</f>
        <v>3.892828905967433E-8</v>
      </c>
      <c r="ED120" s="24">
        <f t="shared" si="72"/>
        <v>86.952631904410325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-2.8421709430404007E-14</v>
      </c>
      <c r="EK120" s="18">
        <f>EJ120*VLOOKUP('Données projet'!$B$15,Paramètres!$A$1:$I$89,3,0)*VLOOKUP('Données projet'!$B$15,Paramètres!$A$1:$I$89,5,0)</f>
        <v>-2.2168933355715127E-14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144.92790055195192</v>
      </c>
      <c r="EP120" s="62">
        <f t="shared" si="100"/>
        <v>151.00642748754026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19.680649746635023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19.680649746635023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-1.7053025658242404E-13</v>
      </c>
      <c r="O121" s="14">
        <f>N121*VLOOKUP('Données projet'!$B$9,Paramètres!$A$1:$I$89,3,0)*VLOOKUP('Données projet'!$B$9,Paramètres!$A$1:$I$89,5,0)</f>
        <v>-1.383341441396624E-13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259.10606516000064</v>
      </c>
      <c r="T121" s="62">
        <f t="shared" si="88"/>
        <v>316.57989180609252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32.390478624946255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32.390478624946255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186.83226999296298</v>
      </c>
      <c r="AO121" s="62">
        <f t="shared" si="90"/>
        <v>232.70925470547317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38.764521064982375</v>
      </c>
      <c r="AV121" s="23">
        <f>EXP(-LN(2)/25)*AV120+(1-EXP(-LN(2)/25))/(LN(2)/25)*Calculateur!AQ121*Calculateur!AS121*VLOOKUP('Données projet'!$B$10,Paramètres!$A$1:$I$89,3,0)*0.475*44/12</f>
        <v>2.6820719046314458</v>
      </c>
      <c r="AW121" s="23">
        <f>EXP(-LN(2)/2)*AW120+(1-EXP(-LN(2)/2))/(LN(2)/2)*AQ121*AT121*VLOOKUP('Données projet'!$B$10,Paramètres!$A$1:$I$89,3,0)*0.475*44/12</f>
        <v>1.3987061556968004E-8</v>
      </c>
      <c r="AX121" s="23">
        <f t="shared" si="60"/>
        <v>41.44659298360088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-2.2737367544323206E-13</v>
      </c>
      <c r="BE121" s="14">
        <f>BD121*VLOOKUP('Données projet'!$B$11,Paramètres!$A$1:$I$89,3,0)*VLOOKUP('Données projet'!$B$11,Paramètres!$A$1:$I$89,5,0)</f>
        <v>-2.0572770154103635E-13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435.70500547084868</v>
      </c>
      <c r="BJ121" s="62">
        <f t="shared" si="92"/>
        <v>297.32483725004136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126.07649256743409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126.07649256743409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-2.2737367544323206E-13</v>
      </c>
      <c r="BZ121" s="14">
        <f>BY121*VLOOKUP('Données projet'!$B$12,Paramètres!$A$1:$I$89,3,0)*VLOOKUP('Données projet'!$B$12,Paramètres!$A$1:$I$89,5,0)</f>
        <v>-2.5893314159475268E-13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530.15080507516973</v>
      </c>
      <c r="CE121" s="62">
        <f t="shared" si="94"/>
        <v>358.10331902702217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158.68248202452921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158.68248202452921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projet'!$B$13,Paramètres!$A$1:$I$89,3,0)*VLOOKUP('Données projet'!$B$13,Paramètres!$A$1:$I$89,5,0)</f>
        <v>-4.8771653382573282E-14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182.98212193167009</v>
      </c>
      <c r="CZ121" s="62">
        <f t="shared" si="96"/>
        <v>195.9200038944301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34.847582222758952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34.847582222758952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2.2737367544323206E-13</v>
      </c>
      <c r="DP121" s="18">
        <f>DO121*VLOOKUP('Données projet'!$B$14,Paramètres!$A$1:$I$89,3,0)*VLOOKUP('Données projet'!$B$14,Paramètres!$A$1:$I$89,5,0)</f>
        <v>1.0049916454590858E-13</v>
      </c>
      <c r="DQ121" s="14">
        <f t="shared" si="97"/>
        <v>1.5089081593838289E-12</v>
      </c>
      <c r="DR121" s="22">
        <f t="shared" si="70"/>
        <v>2.8030510891776262E-12</v>
      </c>
      <c r="DS121" s="62">
        <f t="shared" si="71"/>
        <v>281.70832336460319</v>
      </c>
      <c r="DT121" s="62">
        <f ca="1">AVERAGE(OFFSET($DS$3,0,0,'Données projet'!$E$14+1,1))-AVERAGE(OFFSET($H$3,0,0,'Données projet'!$E$14+1,1))</f>
        <v>338.33525241236157</v>
      </c>
      <c r="DU121" s="62">
        <f t="shared" si="98"/>
        <v>373.47257029791717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76.669145562863577</v>
      </c>
      <c r="EB121" s="23">
        <f>EXP(-LN(2)/25)*EB120+(1-EXP(-LN(2)/25))/(LN(2)/25)*Calculateur!DW121*Calculateur!DY121*VLOOKUP('Données projet'!$B$14,Paramètres!$A$1:$I$89,3,0)*0.475*44/12</f>
        <v>8.5107113352149408</v>
      </c>
      <c r="EC121" s="23">
        <f>EXP(-LN(2)/2)*EC120+(1-EXP(-LN(2)/2))/(LN(2)/2)*DW121*DZ121*VLOOKUP('Données projet'!$B$14,Paramètres!$A$1:$I$89,3,0)*0.475*44/12</f>
        <v>2.7526457174085809E-8</v>
      </c>
      <c r="ED121" s="24">
        <f t="shared" si="72"/>
        <v>85.179856925604966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-2.8421709430404007E-14</v>
      </c>
      <c r="EK121" s="18">
        <f>EJ121*VLOOKUP('Données projet'!$B$15,Paramètres!$A$1:$I$89,3,0)*VLOOKUP('Données projet'!$B$15,Paramètres!$A$1:$I$89,5,0)</f>
        <v>-2.2168933355715127E-14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144.92790055195192</v>
      </c>
      <c r="EP121" s="62">
        <f t="shared" si="100"/>
        <v>151.00642748754026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19.294724209114559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19.294724209114559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-1.7053025658242404E-13</v>
      </c>
      <c r="O122" s="14">
        <f>N122*VLOOKUP('Données projet'!$B$9,Paramètres!$A$1:$I$89,3,0)*VLOOKUP('Données projet'!$B$9,Paramètres!$A$1:$I$89,5,0)</f>
        <v>-1.383341441396624E-13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259.10606516000064</v>
      </c>
      <c r="T122" s="62">
        <f t="shared" si="88"/>
        <v>316.57989180609252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31.755321095352254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31.755321095352254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186.83226999296298</v>
      </c>
      <c r="AO122" s="62">
        <f t="shared" si="90"/>
        <v>232.70925470547317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38.004372450921267</v>
      </c>
      <c r="AV122" s="23">
        <f>EXP(-LN(2)/25)*AV121+(1-EXP(-LN(2)/25))/(LN(2)/25)*Calculateur!AQ122*Calculateur!AS122*VLOOKUP('Données projet'!$B$10,Paramètres!$A$1:$I$89,3,0)*0.475*44/12</f>
        <v>2.6087305073552676</v>
      </c>
      <c r="AW122" s="23">
        <f>EXP(-LN(2)/2)*AW121+(1-EXP(-LN(2)/2))/(LN(2)/2)*AQ122*AT122*VLOOKUP('Données projet'!$B$10,Paramètres!$A$1:$I$89,3,0)*0.475*44/12</f>
        <v>9.8903460758057453E-9</v>
      </c>
      <c r="AX122" s="23">
        <f t="shared" si="60"/>
        <v>40.613102968166878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-2.2737367544323206E-13</v>
      </c>
      <c r="BE122" s="14">
        <f>BD122*VLOOKUP('Données projet'!$B$11,Paramètres!$A$1:$I$89,3,0)*VLOOKUP('Données projet'!$B$11,Paramètres!$A$1:$I$89,5,0)</f>
        <v>-2.0572770154103635E-13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435.70500547084868</v>
      </c>
      <c r="BJ122" s="62">
        <f t="shared" si="92"/>
        <v>297.32483725004136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123.60420944725402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123.60420944725402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-2.2737367544323206E-13</v>
      </c>
      <c r="BZ122" s="14">
        <f>BY122*VLOOKUP('Données projet'!$B$12,Paramètres!$A$1:$I$89,3,0)*VLOOKUP('Données projet'!$B$12,Paramètres!$A$1:$I$89,5,0)</f>
        <v>-2.5893314159475268E-13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530.15080507516973</v>
      </c>
      <c r="CE122" s="62">
        <f t="shared" si="94"/>
        <v>358.10331902702217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155.57081533878534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155.57081533878534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projet'!$B$13,Paramètres!$A$1:$I$89,3,0)*VLOOKUP('Données projet'!$B$13,Paramètres!$A$1:$I$89,5,0)</f>
        <v>-4.8771653382573282E-14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182.98212193167009</v>
      </c>
      <c r="CZ122" s="62">
        <f t="shared" si="96"/>
        <v>195.9200038944301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34.164242390297055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34.164242390297055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2.2737367544323206E-13</v>
      </c>
      <c r="DP122" s="18">
        <f>DO122*VLOOKUP('Données projet'!$B$14,Paramètres!$A$1:$I$89,3,0)*VLOOKUP('Données projet'!$B$14,Paramètres!$A$1:$I$89,5,0)</f>
        <v>1.0049916454590858E-13</v>
      </c>
      <c r="DQ122" s="14">
        <f t="shared" si="97"/>
        <v>1.5089081593838289E-12</v>
      </c>
      <c r="DR122" s="22">
        <f t="shared" si="70"/>
        <v>2.8030510891776262E-12</v>
      </c>
      <c r="DS122" s="62">
        <f t="shared" si="71"/>
        <v>281.90999129793192</v>
      </c>
      <c r="DT122" s="62">
        <f ca="1">AVERAGE(OFFSET($DS$3,0,0,'Données projet'!$E$14+1,1))-AVERAGE(OFFSET($H$3,0,0,'Données projet'!$E$14+1,1))</f>
        <v>338.33525241236157</v>
      </c>
      <c r="DU122" s="62">
        <f t="shared" si="98"/>
        <v>373.47257029791717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75.165710381937103</v>
      </c>
      <c r="EB122" s="23">
        <f>EXP(-LN(2)/25)*EB121+(1-EXP(-LN(2)/25))/(LN(2)/25)*Calculateur!DW122*Calculateur!DY122*VLOOKUP('Données projet'!$B$14,Paramètres!$A$1:$I$89,3,0)*0.475*44/12</f>
        <v>8.2779854861946305</v>
      </c>
      <c r="EC122" s="23">
        <f>EXP(-LN(2)/2)*EC121+(1-EXP(-LN(2)/2))/(LN(2)/2)*DW122*DZ122*VLOOKUP('Données projet'!$B$14,Paramètres!$A$1:$I$89,3,0)*0.475*44/12</f>
        <v>1.9464144529837165E-8</v>
      </c>
      <c r="ED122" s="24">
        <f t="shared" si="72"/>
        <v>83.443695887595865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-2.8421709430404007E-14</v>
      </c>
      <c r="EK122" s="18">
        <f>EJ122*VLOOKUP('Données projet'!$B$15,Paramètres!$A$1:$I$89,3,0)*VLOOKUP('Données projet'!$B$15,Paramètres!$A$1:$I$89,5,0)</f>
        <v>-2.2168933355715127E-14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144.92790055195192</v>
      </c>
      <c r="EP122" s="62">
        <f t="shared" si="100"/>
        <v>151.00642748754026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18.916366435993535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18.916366435993535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-1.7053025658242404E-13</v>
      </c>
      <c r="O123" s="14">
        <f>N123*VLOOKUP('Données projet'!$B$9,Paramètres!$A$1:$I$89,3,0)*VLOOKUP('Données projet'!$B$9,Paramètres!$A$1:$I$89,5,0)</f>
        <v>-1.383341441396624E-13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259.10606516000064</v>
      </c>
      <c r="T123" s="62">
        <f t="shared" si="88"/>
        <v>316.57989180609252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31.132618617505752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31.132618617505752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186.83226999296298</v>
      </c>
      <c r="AO123" s="62">
        <f t="shared" si="90"/>
        <v>232.70925470547317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37.259129887537021</v>
      </c>
      <c r="AV123" s="23">
        <f>EXP(-LN(2)/25)*AV122+(1-EXP(-LN(2)/25))/(LN(2)/25)*Calculateur!AQ123*Calculateur!AS123*VLOOKUP('Données projet'!$B$10,Paramètres!$A$1:$I$89,3,0)*0.475*44/12</f>
        <v>2.5373946344444627</v>
      </c>
      <c r="AW123" s="23">
        <f>EXP(-LN(2)/2)*AW122+(1-EXP(-LN(2)/2))/(LN(2)/2)*AQ123*AT123*VLOOKUP('Données projet'!$B$10,Paramètres!$A$1:$I$89,3,0)*0.475*44/12</f>
        <v>6.9935307784840022E-9</v>
      </c>
      <c r="AX123" s="23">
        <f t="shared" si="60"/>
        <v>39.796524528975013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-2.2737367544323206E-13</v>
      </c>
      <c r="BE123" s="14">
        <f>BD123*VLOOKUP('Données projet'!$B$11,Paramètres!$A$1:$I$89,3,0)*VLOOKUP('Données projet'!$B$11,Paramètres!$A$1:$I$89,5,0)</f>
        <v>-2.0572770154103635E-13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435.70500547084868</v>
      </c>
      <c r="BJ123" s="62">
        <f t="shared" si="92"/>
        <v>297.32483725004136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121.18040629111688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121.18040629111688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-2.2737367544323206E-13</v>
      </c>
      <c r="BZ123" s="14">
        <f>BY123*VLOOKUP('Données projet'!$B$12,Paramètres!$A$1:$I$89,3,0)*VLOOKUP('Données projet'!$B$12,Paramètres!$A$1:$I$89,5,0)</f>
        <v>-2.5893314159475268E-13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530.15080507516973</v>
      </c>
      <c r="CE123" s="62">
        <f t="shared" si="94"/>
        <v>358.10331902702217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152.52016653881961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152.52016653881961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projet'!$B$13,Paramètres!$A$1:$I$89,3,0)*VLOOKUP('Données projet'!$B$13,Paramètres!$A$1:$I$89,5,0)</f>
        <v>-4.8771653382573282E-14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182.98212193167009</v>
      </c>
      <c r="CZ123" s="62">
        <f t="shared" si="96"/>
        <v>195.9200038944301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33.494302435153593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33.494302435153593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2.2737367544323206E-13</v>
      </c>
      <c r="DP123" s="18">
        <f>DO123*VLOOKUP('Données projet'!$B$14,Paramètres!$A$1:$I$89,3,0)*VLOOKUP('Données projet'!$B$14,Paramètres!$A$1:$I$89,5,0)</f>
        <v>1.0049916454590858E-13</v>
      </c>
      <c r="DQ123" s="14">
        <f t="shared" si="97"/>
        <v>1.5089081593838289E-12</v>
      </c>
      <c r="DR123" s="22">
        <f t="shared" si="70"/>
        <v>2.8030510891776262E-12</v>
      </c>
      <c r="DS123" s="62">
        <f t="shared" si="71"/>
        <v>282.1081607434794</v>
      </c>
      <c r="DT123" s="62">
        <f ca="1">AVERAGE(OFFSET($DS$3,0,0,'Données projet'!$E$14+1,1))-AVERAGE(OFFSET($H$3,0,0,'Données projet'!$E$14+1,1))</f>
        <v>338.33525241236157</v>
      </c>
      <c r="DU123" s="62">
        <f t="shared" si="98"/>
        <v>373.47257029791717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73.691756647903674</v>
      </c>
      <c r="EB123" s="23">
        <f>EXP(-LN(2)/25)*EB122+(1-EXP(-LN(2)/25))/(LN(2)/25)*Calculateur!DW123*Calculateur!DY123*VLOOKUP('Données projet'!$B$14,Paramètres!$A$1:$I$89,3,0)*0.475*44/12</f>
        <v>8.0516235377543008</v>
      </c>
      <c r="EC123" s="23">
        <f>EXP(-LN(2)/2)*EC122+(1-EXP(-LN(2)/2))/(LN(2)/2)*DW123*DZ123*VLOOKUP('Données projet'!$B$14,Paramètres!$A$1:$I$89,3,0)*0.475*44/12</f>
        <v>1.3763228587042905E-8</v>
      </c>
      <c r="ED123" s="24">
        <f t="shared" si="72"/>
        <v>81.743380199421196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-2.8421709430404007E-14</v>
      </c>
      <c r="EK123" s="18">
        <f>EJ123*VLOOKUP('Données projet'!$B$15,Paramètres!$A$1:$I$89,3,0)*VLOOKUP('Données projet'!$B$15,Paramètres!$A$1:$I$89,5,0)</f>
        <v>-2.2168933355715127E-14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144.92790055195192</v>
      </c>
      <c r="EP123" s="62">
        <f t="shared" si="100"/>
        <v>151.00642748754026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18.54542802802796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18.54542802802796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-1.7053025658242404E-13</v>
      </c>
      <c r="O124" s="14">
        <f>N124*VLOOKUP('Données projet'!$B$9,Paramètres!$A$1:$I$89,3,0)*VLOOKUP('Données projet'!$B$9,Paramètres!$A$1:$I$89,5,0)</f>
        <v>-1.383341441396624E-13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259.10606516000064</v>
      </c>
      <c r="T124" s="62">
        <f t="shared" si="88"/>
        <v>316.57989180609252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30.522126955438811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30.522126955438811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186.83226999296298</v>
      </c>
      <c r="AO124" s="62">
        <f t="shared" si="90"/>
        <v>232.70925470547317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36.528501076267666</v>
      </c>
      <c r="AV124" s="23">
        <f>EXP(-LN(2)/25)*AV123+(1-EXP(-LN(2)/25))/(LN(2)/25)*Calculateur!AQ124*Calculateur!AS124*VLOOKUP('Données projet'!$B$10,Paramètres!$A$1:$I$89,3,0)*0.475*44/12</f>
        <v>2.4680094447297942</v>
      </c>
      <c r="AW124" s="23">
        <f>EXP(-LN(2)/2)*AW123+(1-EXP(-LN(2)/2))/(LN(2)/2)*AQ124*AT124*VLOOKUP('Données projet'!$B$10,Paramètres!$A$1:$I$89,3,0)*0.475*44/12</f>
        <v>4.9451730379028727E-9</v>
      </c>
      <c r="AX124" s="23">
        <f t="shared" si="60"/>
        <v>38.996510525942632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-2.2737367544323206E-13</v>
      </c>
      <c r="BE124" s="14">
        <f>BD124*VLOOKUP('Données projet'!$B$11,Paramètres!$A$1:$I$89,3,0)*VLOOKUP('Données projet'!$B$11,Paramètres!$A$1:$I$89,5,0)</f>
        <v>-2.0572770154103635E-13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435.70500547084868</v>
      </c>
      <c r="BJ124" s="62">
        <f t="shared" si="92"/>
        <v>297.32483725004136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118.80413243649764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118.80413243649764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-2.2737367544323206E-13</v>
      </c>
      <c r="BZ124" s="14">
        <f>BY124*VLOOKUP('Données projet'!$B$12,Paramètres!$A$1:$I$89,3,0)*VLOOKUP('Données projet'!$B$12,Paramètres!$A$1:$I$89,5,0)</f>
        <v>-2.5893314159475268E-13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530.15080507516973</v>
      </c>
      <c r="CE124" s="62">
        <f t="shared" si="94"/>
        <v>358.10331902702217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149.52933910110917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149.52933910110917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-4.8771653382573282E-14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182.98212193167009</v>
      </c>
      <c r="CZ124" s="62">
        <f t="shared" si="96"/>
        <v>195.9200038944301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32.837499593907467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32.837499593907467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2.2737367544323206E-13</v>
      </c>
      <c r="DP124" s="18">
        <f>DO124*VLOOKUP('Données projet'!$B$14,Paramètres!$A$1:$I$89,3,0)*VLOOKUP('Données projet'!$B$14,Paramètres!$A$1:$I$89,5,0)</f>
        <v>1.0049916454590858E-13</v>
      </c>
      <c r="DQ124" s="14">
        <f t="shared" si="97"/>
        <v>1.5089081593838289E-12</v>
      </c>
      <c r="DR124" s="22">
        <f t="shared" si="70"/>
        <v>2.8030510891776262E-12</v>
      </c>
      <c r="DS124" s="62">
        <f t="shared" si="71"/>
        <v>282.30289239218718</v>
      </c>
      <c r="DT124" s="62">
        <f ca="1">AVERAGE(OFFSET($DS$3,0,0,'Données projet'!$E$14+1,1))-AVERAGE(OFFSET($H$3,0,0,'Données projet'!$E$14+1,1))</f>
        <v>338.33525241236157</v>
      </c>
      <c r="DU124" s="62">
        <f t="shared" si="98"/>
        <v>373.47257029791717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72.246706247571638</v>
      </c>
      <c r="EB124" s="23">
        <f>EXP(-LN(2)/25)*EB123+(1-EXP(-LN(2)/25))/(LN(2)/25)*Calculateur!DW124*Calculateur!DY124*VLOOKUP('Données projet'!$B$14,Paramètres!$A$1:$I$89,3,0)*0.475*44/12</f>
        <v>7.8314514686979297</v>
      </c>
      <c r="EC124" s="23">
        <f>EXP(-LN(2)/2)*EC123+(1-EXP(-LN(2)/2))/(LN(2)/2)*DW124*DZ124*VLOOKUP('Données projet'!$B$14,Paramètres!$A$1:$I$89,3,0)*0.475*44/12</f>
        <v>9.7320722649185826E-9</v>
      </c>
      <c r="ED124" s="24">
        <f t="shared" si="72"/>
        <v>80.078157726001649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-2.8421709430404007E-14</v>
      </c>
      <c r="EK124" s="18">
        <f>EJ124*VLOOKUP('Données projet'!$B$15,Paramètres!$A$1:$I$89,3,0)*VLOOKUP('Données projet'!$B$15,Paramètres!$A$1:$I$89,5,0)</f>
        <v>-2.2168933355715127E-14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144.92790055195192</v>
      </c>
      <c r="EP124" s="62">
        <f t="shared" si="100"/>
        <v>151.00642748754026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18.181763495992502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18.181763495992502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-1.7053025658242404E-13</v>
      </c>
      <c r="O125" s="14">
        <f>N125*VLOOKUP('Données projet'!$B$9,Paramètres!$A$1:$I$89,3,0)*VLOOKUP('Données projet'!$B$9,Paramètres!$A$1:$I$89,5,0)</f>
        <v>-1.383341441396624E-13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259.10606516000064</v>
      </c>
      <c r="T125" s="62">
        <f t="shared" si="88"/>
        <v>316.57989180609252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29.923606662501857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29.923606662501857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186.83226999296298</v>
      </c>
      <c r="AO125" s="62">
        <f t="shared" si="90"/>
        <v>232.70925470547317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35.812199450347727</v>
      </c>
      <c r="AV125" s="23">
        <f>EXP(-LN(2)/25)*AV124+(1-EXP(-LN(2)/25))/(LN(2)/25)*Calculateur!AQ125*Calculateur!AS125*VLOOKUP('Données projet'!$B$10,Paramètres!$A$1:$I$89,3,0)*0.475*44/12</f>
        <v>2.4005215966766822</v>
      </c>
      <c r="AW125" s="23">
        <f>EXP(-LN(2)/2)*AW124+(1-EXP(-LN(2)/2))/(LN(2)/2)*AQ125*AT125*VLOOKUP('Données projet'!$B$10,Paramètres!$A$1:$I$89,3,0)*0.475*44/12</f>
        <v>3.4967653892420011E-9</v>
      </c>
      <c r="AX125" s="23">
        <f t="shared" si="60"/>
        <v>38.212721050521175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-2.2737367544323206E-13</v>
      </c>
      <c r="BE125" s="14">
        <f>BD125*VLOOKUP('Données projet'!$B$11,Paramètres!$A$1:$I$89,3,0)*VLOOKUP('Données projet'!$B$11,Paramètres!$A$1:$I$89,5,0)</f>
        <v>-2.0572770154103635E-13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435.70500547084868</v>
      </c>
      <c r="BJ125" s="62">
        <f t="shared" si="92"/>
        <v>297.32483725004136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116.47445586278354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116.47445586278354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-2.2737367544323206E-13</v>
      </c>
      <c r="BZ125" s="14">
        <f>BY125*VLOOKUP('Données projet'!$B$12,Paramètres!$A$1:$I$89,3,0)*VLOOKUP('Données projet'!$B$12,Paramètres!$A$1:$I$89,5,0)</f>
        <v>-2.5893314159475268E-13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530.15080507516973</v>
      </c>
      <c r="CE125" s="62">
        <f t="shared" si="94"/>
        <v>358.10331902702217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146.59715996522763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146.59715996522763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-4.8771653382573282E-14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182.98212193167009</v>
      </c>
      <c r="CZ125" s="62">
        <f t="shared" si="96"/>
        <v>195.9200038944301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32.193576255768001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32.193576255768001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2.2737367544323206E-13</v>
      </c>
      <c r="DP125" s="18">
        <f>DO125*VLOOKUP('Données projet'!$B$14,Paramètres!$A$1:$I$89,3,0)*VLOOKUP('Données projet'!$B$14,Paramètres!$A$1:$I$89,5,0)</f>
        <v>1.0049916454590858E-13</v>
      </c>
      <c r="DQ125" s="14">
        <f t="shared" si="97"/>
        <v>1.5089081593838289E-12</v>
      </c>
      <c r="DR125" s="22">
        <f t="shared" si="70"/>
        <v>2.8030510891776262E-12</v>
      </c>
      <c r="DS125" s="62">
        <f t="shared" si="71"/>
        <v>282.49424588214458</v>
      </c>
      <c r="DT125" s="62">
        <f ca="1">AVERAGE(OFFSET($DS$3,0,0,'Données projet'!$E$14+1,1))-AVERAGE(OFFSET($H$3,0,0,'Données projet'!$E$14+1,1))</f>
        <v>338.33525241236157</v>
      </c>
      <c r="DU125" s="62">
        <f t="shared" si="98"/>
        <v>373.47257029791717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70.829992404196403</v>
      </c>
      <c r="EB125" s="23">
        <f>EXP(-LN(2)/25)*EB124+(1-EXP(-LN(2)/25))/(LN(2)/25)*Calculateur!DW125*Calculateur!DY125*VLOOKUP('Données projet'!$B$14,Paramètres!$A$1:$I$89,3,0)*0.475*44/12</f>
        <v>7.6173000164482509</v>
      </c>
      <c r="EC125" s="23">
        <f>EXP(-LN(2)/2)*EC124+(1-EXP(-LN(2)/2))/(LN(2)/2)*DW125*DZ125*VLOOKUP('Données projet'!$B$14,Paramètres!$A$1:$I$89,3,0)*0.475*44/12</f>
        <v>6.8816142935214523E-9</v>
      </c>
      <c r="ED125" s="24">
        <f t="shared" si="72"/>
        <v>78.447292427526278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-2.8421709430404007E-14</v>
      </c>
      <c r="EK125" s="18">
        <f>EJ125*VLOOKUP('Données projet'!$B$15,Paramètres!$A$1:$I$89,3,0)*VLOOKUP('Données projet'!$B$15,Paramètres!$A$1:$I$89,5,0)</f>
        <v>-2.2168933355715127E-14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144.92790055195192</v>
      </c>
      <c r="EP125" s="62">
        <f t="shared" si="100"/>
        <v>151.00642748754026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17.825230203616798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17.825230203616798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-1.7053025658242404E-13</v>
      </c>
      <c r="O126" s="14">
        <f>N126*VLOOKUP('Données projet'!$B$9,Paramètres!$A$1:$I$89,3,0)*VLOOKUP('Données projet'!$B$9,Paramètres!$A$1:$I$89,5,0)</f>
        <v>-1.383341441396624E-13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259.10606516000064</v>
      </c>
      <c r="T126" s="62">
        <f t="shared" si="88"/>
        <v>316.57989180609252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29.336822987448066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29.336822987448066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186.83226999296298</v>
      </c>
      <c r="AO126" s="62">
        <f t="shared" si="90"/>
        <v>232.70925470547317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35.10994406241123</v>
      </c>
      <c r="AV126" s="23">
        <f>EXP(-LN(2)/25)*AV125+(1-EXP(-LN(2)/25))/(LN(2)/25)*Calculateur!AQ126*Calculateur!AS126*VLOOKUP('Données projet'!$B$10,Paramètres!$A$1:$I$89,3,0)*0.475*44/12</f>
        <v>2.3348792073776141</v>
      </c>
      <c r="AW126" s="23">
        <f>EXP(-LN(2)/2)*AW125+(1-EXP(-LN(2)/2))/(LN(2)/2)*AQ126*AT126*VLOOKUP('Données projet'!$B$10,Paramètres!$A$1:$I$89,3,0)*0.475*44/12</f>
        <v>2.4725865189514363E-9</v>
      </c>
      <c r="AX126" s="23">
        <f t="shared" si="60"/>
        <v>37.444823272261431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-2.2737367544323206E-13</v>
      </c>
      <c r="BE126" s="14">
        <f>BD126*VLOOKUP('Données projet'!$B$11,Paramètres!$A$1:$I$89,3,0)*VLOOKUP('Données projet'!$B$11,Paramètres!$A$1:$I$89,5,0)</f>
        <v>-2.0572770154103635E-13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435.70500547084868</v>
      </c>
      <c r="BJ126" s="62">
        <f t="shared" si="92"/>
        <v>297.32483725004136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114.19046282571757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114.19046282571757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-2.2737367544323206E-13</v>
      </c>
      <c r="BZ126" s="14">
        <f>BY126*VLOOKUP('Données projet'!$B$12,Paramètres!$A$1:$I$89,3,0)*VLOOKUP('Données projet'!$B$12,Paramètres!$A$1:$I$89,5,0)</f>
        <v>-2.5893314159475268E-13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530.15080507516973</v>
      </c>
      <c r="CE126" s="62">
        <f t="shared" si="94"/>
        <v>358.10331902702217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143.72247907374805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143.72247907374805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-4.8771653382573282E-14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182.98212193167009</v>
      </c>
      <c r="CZ126" s="62">
        <f t="shared" si="96"/>
        <v>195.9200038944301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31.562279861535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31.562279861535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2.2737367544323206E-13</v>
      </c>
      <c r="DP126" s="18">
        <f>DO126*VLOOKUP('Données projet'!$B$14,Paramètres!$A$1:$I$89,3,0)*VLOOKUP('Données projet'!$B$14,Paramètres!$A$1:$I$89,5,0)</f>
        <v>1.0049916454590858E-13</v>
      </c>
      <c r="DQ126" s="14">
        <f t="shared" si="97"/>
        <v>1.5089081593838289E-12</v>
      </c>
      <c r="DR126" s="22">
        <f t="shared" si="70"/>
        <v>2.8030510891776262E-12</v>
      </c>
      <c r="DS126" s="62">
        <f t="shared" si="71"/>
        <v>282.68227981685345</v>
      </c>
      <c r="DT126" s="62">
        <f ca="1">AVERAGE(OFFSET($DS$3,0,0,'Données projet'!$E$14+1,1))-AVERAGE(OFFSET($H$3,0,0,'Données projet'!$E$14+1,1))</f>
        <v>338.33525241236157</v>
      </c>
      <c r="DU126" s="62">
        <f t="shared" si="98"/>
        <v>373.47257029791717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69.441059455179627</v>
      </c>
      <c r="EB126" s="23">
        <f>EXP(-LN(2)/25)*EB125+(1-EXP(-LN(2)/25))/(LN(2)/25)*Calculateur!DW126*Calculateur!DY126*VLOOKUP('Données projet'!$B$14,Paramètres!$A$1:$I$89,3,0)*0.475*44/12</f>
        <v>7.4090045469220751</v>
      </c>
      <c r="EC126" s="23">
        <f>EXP(-LN(2)/2)*EC125+(1-EXP(-LN(2)/2))/(LN(2)/2)*DW126*DZ126*VLOOKUP('Données projet'!$B$14,Paramètres!$A$1:$I$89,3,0)*0.475*44/12</f>
        <v>4.8660361324592913E-9</v>
      </c>
      <c r="ED126" s="24">
        <f t="shared" si="72"/>
        <v>76.850064006967742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-2.8421709430404007E-14</v>
      </c>
      <c r="EK126" s="18">
        <f>EJ126*VLOOKUP('Données projet'!$B$15,Paramètres!$A$1:$I$89,3,0)*VLOOKUP('Données projet'!$B$15,Paramètres!$A$1:$I$89,5,0)</f>
        <v>-2.2168933355715127E-14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144.92790055195192</v>
      </c>
      <c r="EP126" s="62">
        <f t="shared" si="100"/>
        <v>151.00642748754026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17.475688311640745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17.475688311640745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-1.7053025658242404E-13</v>
      </c>
      <c r="O127" s="14">
        <f>N127*VLOOKUP('Données projet'!$B$9,Paramètres!$A$1:$I$89,3,0)*VLOOKUP('Données projet'!$B$9,Paramètres!$A$1:$I$89,5,0)</f>
        <v>-1.383341441396624E-13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259.10606516000064</v>
      </c>
      <c r="T127" s="62">
        <f t="shared" si="88"/>
        <v>316.57989180609252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28.761545782359377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28.761545782359377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186.83226999296298</v>
      </c>
      <c r="AO127" s="62">
        <f t="shared" si="90"/>
        <v>232.70925470547317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34.421459474298672</v>
      </c>
      <c r="AV127" s="23">
        <f>EXP(-LN(2)/25)*AV126+(1-EXP(-LN(2)/25))/(LN(2)/25)*Calculateur!AQ127*Calculateur!AS127*VLOOKUP('Données projet'!$B$10,Paramètres!$A$1:$I$89,3,0)*0.475*44/12</f>
        <v>2.2710318126659121</v>
      </c>
      <c r="AW127" s="23">
        <f>EXP(-LN(2)/2)*AW126+(1-EXP(-LN(2)/2))/(LN(2)/2)*AQ127*AT127*VLOOKUP('Données projet'!$B$10,Paramètres!$A$1:$I$89,3,0)*0.475*44/12</f>
        <v>1.7483826946210006E-9</v>
      </c>
      <c r="AX127" s="23">
        <f t="shared" si="60"/>
        <v>36.692491288712965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-2.2737367544323206E-13</v>
      </c>
      <c r="BE127" s="14">
        <f>BD127*VLOOKUP('Données projet'!$B$11,Paramètres!$A$1:$I$89,3,0)*VLOOKUP('Données projet'!$B$11,Paramètres!$A$1:$I$89,5,0)</f>
        <v>-2.0572770154103635E-13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435.70500547084868</v>
      </c>
      <c r="BJ127" s="62">
        <f t="shared" si="92"/>
        <v>297.32483725004136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111.95125749901028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111.95125749901028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-2.2737367544323206E-13</v>
      </c>
      <c r="BZ127" s="14">
        <f>BY127*VLOOKUP('Données projet'!$B$12,Paramètres!$A$1:$I$89,3,0)*VLOOKUP('Données projet'!$B$12,Paramètres!$A$1:$I$89,5,0)</f>
        <v>-2.5893314159475268E-13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530.15080507516973</v>
      </c>
      <c r="CE127" s="62">
        <f t="shared" si="94"/>
        <v>358.10331902702217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140.90416892116818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140.90416892116818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-4.8771653382573282E-14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182.98212193167009</v>
      </c>
      <c r="CZ127" s="62">
        <f t="shared" si="96"/>
        <v>195.9200038944301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30.943362804540126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30.943362804540126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2.2737367544323206E-13</v>
      </c>
      <c r="DP127" s="18">
        <f>DO127*VLOOKUP('Données projet'!$B$14,Paramètres!$A$1:$I$89,3,0)*VLOOKUP('Données projet'!$B$14,Paramètres!$A$1:$I$89,5,0)</f>
        <v>1.0049916454590858E-13</v>
      </c>
      <c r="DQ127" s="14">
        <f t="shared" si="97"/>
        <v>1.5089081593838289E-12</v>
      </c>
      <c r="DR127" s="22">
        <f t="shared" si="70"/>
        <v>2.8030510891776262E-12</v>
      </c>
      <c r="DS127" s="62">
        <f t="shared" si="71"/>
        <v>282.86705178317612</v>
      </c>
      <c r="DT127" s="62">
        <f ca="1">AVERAGE(OFFSET($DS$3,0,0,'Données projet'!$E$14+1,1))-AVERAGE(OFFSET($H$3,0,0,'Données projet'!$E$14+1,1))</f>
        <v>338.33525241236157</v>
      </c>
      <c r="DU127" s="62">
        <f t="shared" si="98"/>
        <v>373.47257029791717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68.079362634127619</v>
      </c>
      <c r="EB127" s="23">
        <f>EXP(-LN(2)/25)*EB126+(1-EXP(-LN(2)/25))/(LN(2)/25)*Calculateur!DW127*Calculateur!DY127*VLOOKUP('Données projet'!$B$14,Paramètres!$A$1:$I$89,3,0)*0.475*44/12</f>
        <v>7.2064049279638756</v>
      </c>
      <c r="EC127" s="23">
        <f>EXP(-LN(2)/2)*EC126+(1-EXP(-LN(2)/2))/(LN(2)/2)*DW127*DZ127*VLOOKUP('Données projet'!$B$14,Paramètres!$A$1:$I$89,3,0)*0.475*44/12</f>
        <v>3.4408071467607261E-9</v>
      </c>
      <c r="ED127" s="24">
        <f t="shared" si="72"/>
        <v>75.285767565532296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-2.8421709430404007E-14</v>
      </c>
      <c r="EK127" s="18">
        <f>EJ127*VLOOKUP('Données projet'!$B$15,Paramètres!$A$1:$I$89,3,0)*VLOOKUP('Données projet'!$B$15,Paramètres!$A$1:$I$89,5,0)</f>
        <v>-2.2168933355715127E-14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144.92790055195192</v>
      </c>
      <c r="EP127" s="62">
        <f t="shared" si="100"/>
        <v>151.00642748754026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17.133000722966841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17.133000722966841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-1.7053025658242404E-13</v>
      </c>
      <c r="O128" s="14">
        <f>N128*VLOOKUP('Données projet'!$B$9,Paramètres!$A$1:$I$89,3,0)*VLOOKUP('Données projet'!$B$9,Paramètres!$A$1:$I$89,5,0)</f>
        <v>-1.383341441396624E-13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259.10606516000064</v>
      </c>
      <c r="T128" s="62">
        <f t="shared" si="88"/>
        <v>316.57989180609252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28.197549412378027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28.197549412378027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186.83226999296298</v>
      </c>
      <c r="AO128" s="62">
        <f t="shared" si="90"/>
        <v>232.70925470547317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33.746475649024866</v>
      </c>
      <c r="AV128" s="23">
        <f>EXP(-LN(2)/25)*AV127+(1-EXP(-LN(2)/25))/(LN(2)/25)*Calculateur!AQ128*Calculateur!AS128*VLOOKUP('Données projet'!$B$10,Paramètres!$A$1:$I$89,3,0)*0.475*44/12</f>
        <v>2.2089303283201902</v>
      </c>
      <c r="AW128" s="23">
        <f>EXP(-LN(2)/2)*AW127+(1-EXP(-LN(2)/2))/(LN(2)/2)*AQ128*AT128*VLOOKUP('Données projet'!$B$10,Paramètres!$A$1:$I$89,3,0)*0.475*44/12</f>
        <v>1.2362932594757182E-9</v>
      </c>
      <c r="AX128" s="23">
        <f t="shared" si="60"/>
        <v>35.955405978581354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-2.2737367544323206E-13</v>
      </c>
      <c r="BE128" s="14">
        <f>BD128*VLOOKUP('Données projet'!$B$11,Paramètres!$A$1:$I$89,3,0)*VLOOKUP('Données projet'!$B$11,Paramètres!$A$1:$I$89,5,0)</f>
        <v>-2.0572770154103635E-13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435.70500547084868</v>
      </c>
      <c r="BJ128" s="62">
        <f t="shared" si="92"/>
        <v>297.32483725004136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109.75596162297933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109.75596162297933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-2.2737367544323206E-13</v>
      </c>
      <c r="BZ128" s="14">
        <f>BY128*VLOOKUP('Données projet'!$B$12,Paramètres!$A$1:$I$89,3,0)*VLOOKUP('Données projet'!$B$12,Paramètres!$A$1:$I$89,5,0)</f>
        <v>-2.5893314159475268E-13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530.15080507516973</v>
      </c>
      <c r="CE128" s="62">
        <f t="shared" si="94"/>
        <v>358.10331902702217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138.14112411168094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138.14112411168094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-4.8771653382573282E-14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182.98212193167009</v>
      </c>
      <c r="CZ128" s="62">
        <f t="shared" si="96"/>
        <v>195.9200038944301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30.336582333530792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30.336582333530792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2.2737367544323206E-13</v>
      </c>
      <c r="DP128" s="18">
        <f>DO128*VLOOKUP('Données projet'!$B$14,Paramètres!$A$1:$I$89,3,0)*VLOOKUP('Données projet'!$B$14,Paramètres!$A$1:$I$89,5,0)</f>
        <v>1.0049916454590858E-13</v>
      </c>
      <c r="DQ128" s="14">
        <f t="shared" si="97"/>
        <v>1.5089081593838289E-12</v>
      </c>
      <c r="DR128" s="22">
        <f t="shared" si="70"/>
        <v>2.8030510891776262E-12</v>
      </c>
      <c r="DS128" s="62">
        <f t="shared" si="71"/>
        <v>283.04861836897129</v>
      </c>
      <c r="DT128" s="62">
        <f ca="1">AVERAGE(OFFSET($DS$3,0,0,'Données projet'!$E$14+1,1))-AVERAGE(OFFSET($H$3,0,0,'Données projet'!$E$14+1,1))</f>
        <v>338.33525241236157</v>
      </c>
      <c r="DU128" s="62">
        <f t="shared" si="98"/>
        <v>373.47257029791717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66.744367857183406</v>
      </c>
      <c r="EB128" s="23">
        <f>EXP(-LN(2)/25)*EB127+(1-EXP(-LN(2)/25))/(LN(2)/25)*Calculateur!DW128*Calculateur!DY128*VLOOKUP('Données projet'!$B$14,Paramètres!$A$1:$I$89,3,0)*0.475*44/12</f>
        <v>7.0093454062403389</v>
      </c>
      <c r="EC128" s="23">
        <f>EXP(-LN(2)/2)*EC127+(1-EXP(-LN(2)/2))/(LN(2)/2)*DW128*DZ128*VLOOKUP('Données projet'!$B$14,Paramètres!$A$1:$I$89,3,0)*0.475*44/12</f>
        <v>2.4330180662296457E-9</v>
      </c>
      <c r="ED128" s="24">
        <f t="shared" si="72"/>
        <v>73.75371326585676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-2.8421709430404007E-14</v>
      </c>
      <c r="EK128" s="18">
        <f>EJ128*VLOOKUP('Données projet'!$B$15,Paramètres!$A$1:$I$89,3,0)*VLOOKUP('Données projet'!$B$15,Paramètres!$A$1:$I$89,5,0)</f>
        <v>-2.2168933355715127E-14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144.92790055195192</v>
      </c>
      <c r="EP128" s="62">
        <f t="shared" si="100"/>
        <v>151.00642748754026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16.797033028888041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16.797033028888041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-1.7053025658242404E-13</v>
      </c>
      <c r="O129" s="14">
        <f>N129*VLOOKUP('Données projet'!$B$9,Paramètres!$A$1:$I$89,3,0)*VLOOKUP('Données projet'!$B$9,Paramètres!$A$1:$I$89,5,0)</f>
        <v>-1.383341441396624E-13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259.10606516000064</v>
      </c>
      <c r="T129" s="62">
        <f t="shared" si="88"/>
        <v>316.57989180609252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27.644612667208193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27.644612667208193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186.83226999296298</v>
      </c>
      <c r="AO129" s="62">
        <f t="shared" si="90"/>
        <v>232.70925470547317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33.084727844865199</v>
      </c>
      <c r="AV129" s="23">
        <f>EXP(-LN(2)/25)*AV128+(1-EXP(-LN(2)/25))/(LN(2)/25)*Calculateur!AQ129*Calculateur!AS129*VLOOKUP('Données projet'!$B$10,Paramètres!$A$1:$I$89,3,0)*0.475*44/12</f>
        <v>2.1485270123296774</v>
      </c>
      <c r="AW129" s="23">
        <f>EXP(-LN(2)/2)*AW128+(1-EXP(-LN(2)/2))/(LN(2)/2)*AQ129*AT129*VLOOKUP('Données projet'!$B$10,Paramètres!$A$1:$I$89,3,0)*0.475*44/12</f>
        <v>8.7419134731050028E-10</v>
      </c>
      <c r="AX129" s="23">
        <f t="shared" si="60"/>
        <v>35.233254858069067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-2.2737367544323206E-13</v>
      </c>
      <c r="BE129" s="14">
        <f>BD129*VLOOKUP('Données projet'!$B$11,Paramètres!$A$1:$I$89,3,0)*VLOOKUP('Données projet'!$B$11,Paramètres!$A$1:$I$89,5,0)</f>
        <v>-2.0572770154103635E-13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435.70500547084868</v>
      </c>
      <c r="BJ129" s="62">
        <f t="shared" si="92"/>
        <v>297.32483725004136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107.60371416007906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107.60371416007906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-2.2737367544323206E-13</v>
      </c>
      <c r="BZ129" s="14">
        <f>BY129*VLOOKUP('Données projet'!$B$12,Paramètres!$A$1:$I$89,3,0)*VLOOKUP('Données projet'!$B$12,Paramètres!$A$1:$I$89,5,0)</f>
        <v>-2.5893314159475268E-13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530.15080507516973</v>
      </c>
      <c r="CE129" s="62">
        <f t="shared" si="94"/>
        <v>358.10331902702217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135.43226092561682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135.43226092561682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-4.8771653382573282E-14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182.98212193167009</v>
      </c>
      <c r="CZ129" s="62">
        <f t="shared" si="96"/>
        <v>195.9200038944301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29.741700457458411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29.741700457458411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2.2737367544323206E-13</v>
      </c>
      <c r="DP129" s="18">
        <f>DO129*VLOOKUP('Données projet'!$B$14,Paramètres!$A$1:$I$89,3,0)*VLOOKUP('Données projet'!$B$14,Paramètres!$A$1:$I$89,5,0)</f>
        <v>1.0049916454590858E-13</v>
      </c>
      <c r="DQ129" s="14">
        <f t="shared" si="97"/>
        <v>1.5089081593838289E-12</v>
      </c>
      <c r="DR129" s="22">
        <f t="shared" si="70"/>
        <v>2.8030510891776262E-12</v>
      </c>
      <c r="DS129" s="62">
        <f t="shared" si="71"/>
        <v>283.22703518042499</v>
      </c>
      <c r="DT129" s="62">
        <f ca="1">AVERAGE(OFFSET($DS$3,0,0,'Données projet'!$E$14+1,1))-AVERAGE(OFFSET($H$3,0,0,'Données projet'!$E$14+1,1))</f>
        <v>338.33525241236157</v>
      </c>
      <c r="DU129" s="62">
        <f t="shared" si="98"/>
        <v>373.47257029791717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65.435551513548646</v>
      </c>
      <c r="EB129" s="23">
        <f>EXP(-LN(2)/25)*EB128+(1-EXP(-LN(2)/25))/(LN(2)/25)*Calculateur!DW129*Calculateur!DY129*VLOOKUP('Données projet'!$B$14,Paramètres!$A$1:$I$89,3,0)*0.475*44/12</f>
        <v>6.8176744875012423</v>
      </c>
      <c r="EC129" s="23">
        <f>EXP(-LN(2)/2)*EC128+(1-EXP(-LN(2)/2))/(LN(2)/2)*DW129*DZ129*VLOOKUP('Données projet'!$B$14,Paramètres!$A$1:$I$89,3,0)*0.475*44/12</f>
        <v>1.7204035733803631E-9</v>
      </c>
      <c r="ED129" s="24">
        <f t="shared" si="72"/>
        <v>72.25322600277029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-2.8421709430404007E-14</v>
      </c>
      <c r="EK129" s="18">
        <f>EJ129*VLOOKUP('Données projet'!$B$15,Paramètres!$A$1:$I$89,3,0)*VLOOKUP('Données projet'!$B$15,Paramètres!$A$1:$I$89,5,0)</f>
        <v>-2.2168933355715127E-14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144.92790055195192</v>
      </c>
      <c r="EP129" s="62">
        <f t="shared" si="100"/>
        <v>151.00642748754026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16.467653456370066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16.467653456370066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-1.7053025658242404E-13</v>
      </c>
      <c r="O130" s="14">
        <f>N130*VLOOKUP('Données projet'!$B$9,Paramètres!$A$1:$I$89,3,0)*VLOOKUP('Données projet'!$B$9,Paramètres!$A$1:$I$89,5,0)</f>
        <v>-1.383341441396624E-13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259.10606516000064</v>
      </c>
      <c r="T130" s="62">
        <f t="shared" si="88"/>
        <v>316.57989180609252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27.102518674353028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27.102518674353028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186.83226999296298</v>
      </c>
      <c r="AO130" s="62">
        <f t="shared" si="90"/>
        <v>232.70925470547317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32.435956511518796</v>
      </c>
      <c r="AV130" s="23">
        <f>EXP(-LN(2)/25)*AV129+(1-EXP(-LN(2)/25))/(LN(2)/25)*Calculateur!AQ130*Calculateur!AS130*VLOOKUP('Données projet'!$B$10,Paramètres!$A$1:$I$89,3,0)*0.475*44/12</f>
        <v>2.0897754281913974</v>
      </c>
      <c r="AW130" s="23">
        <f>EXP(-LN(2)/2)*AW129+(1-EXP(-LN(2)/2))/(LN(2)/2)*AQ130*AT130*VLOOKUP('Données projet'!$B$10,Paramètres!$A$1:$I$89,3,0)*0.475*44/12</f>
        <v>6.1814662973785908E-10</v>
      </c>
      <c r="AX130" s="23">
        <f t="shared" si="60"/>
        <v>34.525731940328335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-2.2737367544323206E-13</v>
      </c>
      <c r="BE130" s="14">
        <f>BD130*VLOOKUP('Données projet'!$B$11,Paramètres!$A$1:$I$89,3,0)*VLOOKUP('Données projet'!$B$11,Paramètres!$A$1:$I$89,5,0)</f>
        <v>-2.0572770154103635E-13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435.70500547084868</v>
      </c>
      <c r="BJ130" s="62">
        <f t="shared" si="92"/>
        <v>297.32483725004136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105.49367095718495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105.49367095718495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-2.2737367544323206E-13</v>
      </c>
      <c r="BZ130" s="14">
        <f>BY130*VLOOKUP('Données projet'!$B$12,Paramètres!$A$1:$I$89,3,0)*VLOOKUP('Données projet'!$B$12,Paramètres!$A$1:$I$89,5,0)</f>
        <v>-2.5893314159475268E-13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530.15080507516973</v>
      </c>
      <c r="CE130" s="62">
        <f t="shared" si="94"/>
        <v>358.10331902702217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132.77651689438801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132.77651689438801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-4.8771653382573282E-14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182.98212193167009</v>
      </c>
      <c r="CZ130" s="62">
        <f t="shared" si="96"/>
        <v>195.9200038944301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29.158483852133688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29.158483852133688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2.2737367544323206E-13</v>
      </c>
      <c r="DP130" s="18">
        <f>DO130*VLOOKUP('Données projet'!$B$14,Paramètres!$A$1:$I$89,3,0)*VLOOKUP('Données projet'!$B$14,Paramètres!$A$1:$I$89,5,0)</f>
        <v>1.0049916454590858E-13</v>
      </c>
      <c r="DQ130" s="14">
        <f t="shared" si="97"/>
        <v>1.5089081593838289E-12</v>
      </c>
      <c r="DR130" s="22">
        <f t="shared" si="70"/>
        <v>2.8030510891776262E-12</v>
      </c>
      <c r="DS130" s="62">
        <f t="shared" si="71"/>
        <v>283.40235685908021</v>
      </c>
      <c r="DT130" s="62">
        <f ca="1">AVERAGE(OFFSET($DS$3,0,0,'Données projet'!$E$14+1,1))-AVERAGE(OFFSET($H$3,0,0,'Données projet'!$E$14+1,1))</f>
        <v>338.33525241236157</v>
      </c>
      <c r="DU130" s="62">
        <f t="shared" si="98"/>
        <v>373.47257029791717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64.152400260113424</v>
      </c>
      <c r="EB130" s="23">
        <f>EXP(-LN(2)/25)*EB129+(1-EXP(-LN(2)/25))/(LN(2)/25)*Calculateur!DW130*Calculateur!DY130*VLOOKUP('Données projet'!$B$14,Paramètres!$A$1:$I$89,3,0)*0.475*44/12</f>
        <v>6.6312448201146017</v>
      </c>
      <c r="EC130" s="23">
        <f>EXP(-LN(2)/2)*EC129+(1-EXP(-LN(2)/2))/(LN(2)/2)*DW130*DZ130*VLOOKUP('Données projet'!$B$14,Paramètres!$A$1:$I$89,3,0)*0.475*44/12</f>
        <v>1.2165090331148228E-9</v>
      </c>
      <c r="ED130" s="24">
        <f t="shared" si="72"/>
        <v>70.783645081444533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-2.8421709430404007E-14</v>
      </c>
      <c r="EK130" s="18">
        <f>EJ130*VLOOKUP('Données projet'!$B$15,Paramètres!$A$1:$I$89,3,0)*VLOOKUP('Données projet'!$B$15,Paramètres!$A$1:$I$89,5,0)</f>
        <v>-2.2168933355715127E-14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144.92790055195192</v>
      </c>
      <c r="EP130" s="62">
        <f t="shared" si="100"/>
        <v>151.00642748754026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16.144732816367465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16.144732816367465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-1.7053025658242404E-13</v>
      </c>
      <c r="O131" s="14">
        <f>N131*VLOOKUP('Données projet'!$B$9,Paramètres!$A$1:$I$89,3,0)*VLOOKUP('Données projet'!$B$9,Paramètres!$A$1:$I$89,5,0)</f>
        <v>-1.383341441396624E-13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259.10606516000064</v>
      </c>
      <c r="T131" s="62">
        <f t="shared" si="88"/>
        <v>316.57989180609252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26.571054814053067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26.571054814053067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186.83226999296298</v>
      </c>
      <c r="AO131" s="62">
        <f t="shared" si="90"/>
        <v>232.70925470547317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31.799907188307881</v>
      </c>
      <c r="AV131" s="23">
        <f>EXP(-LN(2)/25)*AV130+(1-EXP(-LN(2)/25))/(LN(2)/25)*Calculateur!AQ131*Calculateur!AS131*VLOOKUP('Données projet'!$B$10,Paramètres!$A$1:$I$89,3,0)*0.475*44/12</f>
        <v>2.0326304092109901</v>
      </c>
      <c r="AW131" s="23">
        <f>EXP(-LN(2)/2)*AW130+(1-EXP(-LN(2)/2))/(LN(2)/2)*AQ131*AT131*VLOOKUP('Données projet'!$B$10,Paramètres!$A$1:$I$89,3,0)*0.475*44/12</f>
        <v>4.3709567365525014E-10</v>
      </c>
      <c r="AX131" s="23">
        <f t="shared" si="60"/>
        <v>33.832537597955969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-2.2737367544323206E-13</v>
      </c>
      <c r="BE131" s="14">
        <f>BD131*VLOOKUP('Données projet'!$B$11,Paramètres!$A$1:$I$89,3,0)*VLOOKUP('Données projet'!$B$11,Paramètres!$A$1:$I$89,5,0)</f>
        <v>-2.0572770154103635E-13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435.70500547084868</v>
      </c>
      <c r="BJ131" s="62">
        <f t="shared" si="92"/>
        <v>297.32483725004136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103.42500441450031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103.42500441450031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-2.2737367544323206E-13</v>
      </c>
      <c r="BZ131" s="14">
        <f>BY131*VLOOKUP('Données projet'!$B$12,Paramètres!$A$1:$I$89,3,0)*VLOOKUP('Données projet'!$B$12,Paramètres!$A$1:$I$89,5,0)</f>
        <v>-2.5893314159475268E-13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530.15080507516973</v>
      </c>
      <c r="CE131" s="62">
        <f t="shared" si="94"/>
        <v>358.10331902702217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130.1728503837677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130.1728503837677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-4.8771653382573282E-14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182.98212193167009</v>
      </c>
      <c r="CZ131" s="62">
        <f t="shared" si="96"/>
        <v>195.9200038944301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28.586703768712383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28.586703768712383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2.2737367544323206E-13</v>
      </c>
      <c r="DP131" s="18">
        <f>DO131*VLOOKUP('Données projet'!$B$14,Paramètres!$A$1:$I$89,3,0)*VLOOKUP('Données projet'!$B$14,Paramètres!$A$1:$I$89,5,0)</f>
        <v>1.0049916454590858E-13</v>
      </c>
      <c r="DQ131" s="14">
        <f t="shared" si="97"/>
        <v>1.5089081593838289E-12</v>
      </c>
      <c r="DR131" s="22">
        <f t="shared" si="70"/>
        <v>2.8030510891776262E-12</v>
      </c>
      <c r="DS131" s="62">
        <f t="shared" si="71"/>
        <v>283.57463709857132</v>
      </c>
      <c r="DT131" s="62">
        <f ca="1">AVERAGE(OFFSET($DS$3,0,0,'Données projet'!$E$14+1,1))-AVERAGE(OFFSET($H$3,0,0,'Données projet'!$E$14+1,1))</f>
        <v>338.33525241236157</v>
      </c>
      <c r="DU131" s="62">
        <f t="shared" si="98"/>
        <v>373.47257029791717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62.89441082011308</v>
      </c>
      <c r="EB131" s="23">
        <f>EXP(-LN(2)/25)*EB130+(1-EXP(-LN(2)/25))/(LN(2)/25)*Calculateur!DW131*Calculateur!DY131*VLOOKUP('Données projet'!$B$14,Paramètres!$A$1:$I$89,3,0)*0.475*44/12</f>
        <v>6.4499130817865584</v>
      </c>
      <c r="EC131" s="23">
        <f>EXP(-LN(2)/2)*EC130+(1-EXP(-LN(2)/2))/(LN(2)/2)*DW131*DZ131*VLOOKUP('Données projet'!$B$14,Paramètres!$A$1:$I$89,3,0)*0.475*44/12</f>
        <v>8.6020178669018153E-10</v>
      </c>
      <c r="ED131" s="24">
        <f t="shared" si="72"/>
        <v>69.344323902759839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-2.8421709430404007E-14</v>
      </c>
      <c r="EK131" s="18">
        <f>EJ131*VLOOKUP('Données projet'!$B$15,Paramètres!$A$1:$I$89,3,0)*VLOOKUP('Données projet'!$B$15,Paramètres!$A$1:$I$89,5,0)</f>
        <v>-2.2168933355715127E-14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144.92790055195192</v>
      </c>
      <c r="EP131" s="62">
        <f t="shared" si="100"/>
        <v>151.00642748754026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15.828144453153175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15.828144453153175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-1.7053025658242404E-13</v>
      </c>
      <c r="O132" s="14">
        <f>N132*VLOOKUP('Données projet'!$B$9,Paramètres!$A$1:$I$89,3,0)*VLOOKUP('Données projet'!$B$9,Paramètres!$A$1:$I$89,5,0)</f>
        <v>-1.383341441396624E-13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259.10606516000064</v>
      </c>
      <c r="T132" s="62">
        <f t="shared" si="88"/>
        <v>316.57989180609252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26.050012635892639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26.050012635892639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186.83226999296298</v>
      </c>
      <c r="AO132" s="62">
        <f t="shared" si="90"/>
        <v>232.70925470547317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31.176330404373349</v>
      </c>
      <c r="AV132" s="23">
        <f>EXP(-LN(2)/25)*AV131+(1-EXP(-LN(2)/25))/(LN(2)/25)*Calculateur!AQ132*Calculateur!AS132*VLOOKUP('Données projet'!$B$10,Paramètres!$A$1:$I$89,3,0)*0.475*44/12</f>
        <v>1.9770480237797281</v>
      </c>
      <c r="AW132" s="23">
        <f>EXP(-LN(2)/2)*AW131+(1-EXP(-LN(2)/2))/(LN(2)/2)*AQ132*AT132*VLOOKUP('Données projet'!$B$10,Paramètres!$A$1:$I$89,3,0)*0.475*44/12</f>
        <v>3.0907331486892954E-10</v>
      </c>
      <c r="AX132" s="23">
        <f t="shared" ref="AX132:AX153" si="114">SUM(AU132:AW132)</f>
        <v>33.153378428462148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-2.2737367544323206E-13</v>
      </c>
      <c r="BE132" s="14">
        <f>BD132*VLOOKUP('Données projet'!$B$11,Paramètres!$A$1:$I$89,3,0)*VLOOKUP('Données projet'!$B$11,Paramètres!$A$1:$I$89,5,0)</f>
        <v>-2.0572770154103635E-13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435.70500547084868</v>
      </c>
      <c r="BJ132" s="62">
        <f t="shared" si="92"/>
        <v>297.32483725004136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101.39690316095572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101.39690316095572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-2.2737367544323206E-13</v>
      </c>
      <c r="BZ132" s="14">
        <f>BY132*VLOOKUP('Données projet'!$B$12,Paramètres!$A$1:$I$89,3,0)*VLOOKUP('Données projet'!$B$12,Paramètres!$A$1:$I$89,5,0)</f>
        <v>-2.5893314159475268E-13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530.15080507516973</v>
      </c>
      <c r="CE132" s="62">
        <f t="shared" si="94"/>
        <v>358.10331902702217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127.62024018534089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127.62024018534089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-4.8771653382573282E-14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182.98212193167009</v>
      </c>
      <c r="CZ132" s="62">
        <f t="shared" si="96"/>
        <v>195.9200038944301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28.026135943975554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28.026135943975554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2.2737367544323206E-13</v>
      </c>
      <c r="DP132" s="18">
        <f>DO132*VLOOKUP('Données projet'!$B$14,Paramètres!$A$1:$I$89,3,0)*VLOOKUP('Données projet'!$B$14,Paramètres!$A$1:$I$89,5,0)</f>
        <v>1.0049916454590858E-13</v>
      </c>
      <c r="DQ132" s="14">
        <f t="shared" si="97"/>
        <v>1.5089081593838289E-12</v>
      </c>
      <c r="DR132" s="22">
        <f t="shared" ref="DR132:DR153" si="124">(DP132+DQ132)*0.475*44/12</f>
        <v>2.8030510891776262E-12</v>
      </c>
      <c r="DS132" s="62">
        <f t="shared" ref="DS132:DS195" si="125">DR132+(DJ132+DK132)*44/12</f>
        <v>283.74392866106814</v>
      </c>
      <c r="DT132" s="62">
        <f ca="1">AVERAGE(OFFSET($DS$3,0,0,'Données projet'!$E$14+1,1))-AVERAGE(OFFSET($H$3,0,0,'Données projet'!$E$14+1,1))</f>
        <v>338.33525241236157</v>
      </c>
      <c r="DU132" s="62">
        <f t="shared" si="98"/>
        <v>373.47257029791717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61.661089785733353</v>
      </c>
      <c r="EB132" s="23">
        <f>EXP(-LN(2)/25)*EB131+(1-EXP(-LN(2)/25))/(LN(2)/25)*Calculateur!DW132*Calculateur!DY132*VLOOKUP('Données projet'!$B$14,Paramètres!$A$1:$I$89,3,0)*0.475*44/12</f>
        <v>6.2735398693789177</v>
      </c>
      <c r="EC132" s="23">
        <f>EXP(-LN(2)/2)*EC131+(1-EXP(-LN(2)/2))/(LN(2)/2)*DW132*DZ132*VLOOKUP('Données projet'!$B$14,Paramètres!$A$1:$I$89,3,0)*0.475*44/12</f>
        <v>6.0825451655741141E-10</v>
      </c>
      <c r="ED132" s="24">
        <f t="shared" ref="ED132:ED153" si="126">SUM(EA132:EC132)</f>
        <v>67.934629655720528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-2.8421709430404007E-14</v>
      </c>
      <c r="EK132" s="18">
        <f>EJ132*VLOOKUP('Données projet'!$B$15,Paramètres!$A$1:$I$89,3,0)*VLOOKUP('Données projet'!$B$15,Paramètres!$A$1:$I$89,5,0)</f>
        <v>-2.2168933355715127E-14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144.92790055195192</v>
      </c>
      <c r="EP132" s="62">
        <f t="shared" si="100"/>
        <v>151.00642748754026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15.517764194641684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15.517764194641684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-1.7053025658242404E-13</v>
      </c>
      <c r="O133" s="14">
        <f>N133*VLOOKUP('Données projet'!$B$9,Paramètres!$A$1:$I$89,3,0)*VLOOKUP('Données projet'!$B$9,Paramètres!$A$1:$I$89,5,0)</f>
        <v>-1.383341441396624E-13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259.10606516000064</v>
      </c>
      <c r="T133" s="62">
        <f t="shared" ref="T133:T196" si="142">$T$3</f>
        <v>316.57989180609252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25.53918777704159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25.53918777704159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186.83226999296298</v>
      </c>
      <c r="AO133" s="62">
        <f t="shared" ref="AO133:AO196" si="144">$AO$3</f>
        <v>232.70925470547317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30.564981580827492</v>
      </c>
      <c r="AV133" s="23">
        <f>EXP(-LN(2)/25)*AV132+(1-EXP(-LN(2)/25))/(LN(2)/25)*Calculateur!AQ133*Calculateur!AS133*VLOOKUP('Données projet'!$B$10,Paramètres!$A$1:$I$89,3,0)*0.475*44/12</f>
        <v>1.9229855416010344</v>
      </c>
      <c r="AW133" s="23">
        <f>EXP(-LN(2)/2)*AW132+(1-EXP(-LN(2)/2))/(LN(2)/2)*AQ133*AT133*VLOOKUP('Données projet'!$B$10,Paramètres!$A$1:$I$89,3,0)*0.475*44/12</f>
        <v>2.1854783682762507E-10</v>
      </c>
      <c r="AX133" s="23">
        <f t="shared" si="114"/>
        <v>32.487967122647078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-2.2737367544323206E-13</v>
      </c>
      <c r="BE133" s="14">
        <f>BD133*VLOOKUP('Données projet'!$B$11,Paramètres!$A$1:$I$89,3,0)*VLOOKUP('Données projet'!$B$11,Paramètres!$A$1:$I$89,5,0)</f>
        <v>-2.0572770154103635E-13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435.70500547084868</v>
      </c>
      <c r="BJ133" s="62">
        <f t="shared" ref="BJ133:BJ196" si="146">$BJ$3</f>
        <v>297.32483725004136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99.408571735973524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99.408571735973524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-2.2737367544323206E-13</v>
      </c>
      <c r="BZ133" s="14">
        <f>BY133*VLOOKUP('Données projet'!$B$12,Paramètres!$A$1:$I$89,3,0)*VLOOKUP('Données projet'!$B$12,Paramètres!$A$1:$I$89,5,0)</f>
        <v>-2.5893314159475268E-13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530.15080507516973</v>
      </c>
      <c r="CE133" s="62">
        <f t="shared" ref="CE133:CE196" si="148">$CE$3</f>
        <v>358.10331902702217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125.11768511596674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125.11768511596674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-4.8771653382573282E-14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182.98212193167009</v>
      </c>
      <c r="CZ133" s="62">
        <f t="shared" ref="CZ133:CZ196" si="150">$CZ$3</f>
        <v>195.9200038944301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27.4765605123692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27.4765605123692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2.2737367544323206E-13</v>
      </c>
      <c r="DP133" s="18">
        <f>DO133*VLOOKUP('Données projet'!$B$14,Paramètres!$A$1:$I$89,3,0)*VLOOKUP('Données projet'!$B$14,Paramètres!$A$1:$I$89,5,0)</f>
        <v>1.0049916454590858E-13</v>
      </c>
      <c r="DQ133" s="14">
        <f t="shared" ref="DQ133:DQ153" si="151">EXP(-1.0587+0.8836*LN(DP133)+0.284)</f>
        <v>1.5089081593838289E-12</v>
      </c>
      <c r="DR133" s="22">
        <f t="shared" si="124"/>
        <v>2.8030510891776262E-12</v>
      </c>
      <c r="DS133" s="62">
        <f t="shared" si="125"/>
        <v>283.9102833934349</v>
      </c>
      <c r="DT133" s="62">
        <f ca="1">AVERAGE(OFFSET($DS$3,0,0,'Données projet'!$E$14+1,1))-AVERAGE(OFFSET($H$3,0,0,'Données projet'!$E$14+1,1))</f>
        <v>338.33525241236157</v>
      </c>
      <c r="DU133" s="62">
        <f t="shared" ref="DU133:DU196" si="152">$DU$3</f>
        <v>373.47257029791717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60.451953424586257</v>
      </c>
      <c r="EB133" s="23">
        <f>EXP(-LN(2)/25)*EB132+(1-EXP(-LN(2)/25))/(LN(2)/25)*Calculateur!DW133*Calculateur!DY133*VLOOKUP('Données projet'!$B$14,Paramètres!$A$1:$I$89,3,0)*0.475*44/12</f>
        <v>6.1019895917396276</v>
      </c>
      <c r="EC133" s="23">
        <f>EXP(-LN(2)/2)*EC132+(1-EXP(-LN(2)/2))/(LN(2)/2)*DW133*DZ133*VLOOKUP('Données projet'!$B$14,Paramètres!$A$1:$I$89,3,0)*0.475*44/12</f>
        <v>4.3010089334509077E-10</v>
      </c>
      <c r="ED133" s="24">
        <f t="shared" si="126"/>
        <v>66.553943016755994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-2.8421709430404007E-14</v>
      </c>
      <c r="EK133" s="18">
        <f>EJ133*VLOOKUP('Données projet'!$B$15,Paramètres!$A$1:$I$89,3,0)*VLOOKUP('Données projet'!$B$15,Paramètres!$A$1:$I$89,5,0)</f>
        <v>-2.2168933355715127E-14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144.92790055195192</v>
      </c>
      <c r="EP133" s="62">
        <f t="shared" ref="EP133:EP196" si="154">$EP$3</f>
        <v>151.00642748754026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15.213470303686337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15.213470303686337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-1.7053025658242404E-13</v>
      </c>
      <c r="O134" s="14">
        <f>N134*VLOOKUP('Données projet'!$B$9,Paramètres!$A$1:$I$89,3,0)*VLOOKUP('Données projet'!$B$9,Paramètres!$A$1:$I$89,5,0)</f>
        <v>-1.383341441396624E-13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259.10606516000064</v>
      </c>
      <c r="T134" s="62">
        <f t="shared" si="142"/>
        <v>316.57989180609252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25.038379882100212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25.038379882100212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186.83226999296298</v>
      </c>
      <c r="AO134" s="62">
        <f t="shared" si="144"/>
        <v>232.70925470547317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29.965620934825406</v>
      </c>
      <c r="AV134" s="23">
        <f>EXP(-LN(2)/25)*AV133+(1-EXP(-LN(2)/25))/(LN(2)/25)*Calculateur!AQ134*Calculateur!AS134*VLOOKUP('Données projet'!$B$10,Paramètres!$A$1:$I$89,3,0)*0.475*44/12</f>
        <v>1.8704014008405396</v>
      </c>
      <c r="AW134" s="23">
        <f>EXP(-LN(2)/2)*AW133+(1-EXP(-LN(2)/2))/(LN(2)/2)*AQ134*AT134*VLOOKUP('Données projet'!$B$10,Paramètres!$A$1:$I$89,3,0)*0.475*44/12</f>
        <v>1.5453665743446477E-10</v>
      </c>
      <c r="AX134" s="23">
        <f t="shared" si="114"/>
        <v>31.836022335820481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-2.2737367544323206E-13</v>
      </c>
      <c r="BE134" s="14">
        <f>BD134*VLOOKUP('Données projet'!$B$11,Paramètres!$A$1:$I$89,3,0)*VLOOKUP('Données projet'!$B$11,Paramètres!$A$1:$I$89,5,0)</f>
        <v>-2.0572770154103635E-13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435.70500547084868</v>
      </c>
      <c r="BJ134" s="62">
        <f t="shared" si="146"/>
        <v>297.32483725004136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97.459230277472813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97.459230277472813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-2.2737367544323206E-13</v>
      </c>
      <c r="BZ134" s="14">
        <f>BY134*VLOOKUP('Données projet'!$B$12,Paramètres!$A$1:$I$89,3,0)*VLOOKUP('Données projet'!$B$12,Paramètres!$A$1:$I$89,5,0)</f>
        <v>-2.5893314159475268E-13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530.15080507516973</v>
      </c>
      <c r="CE134" s="62">
        <f t="shared" si="148"/>
        <v>358.10331902702217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122.66420362509514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122.66420362509514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-4.8771653382573282E-14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182.98212193167009</v>
      </c>
      <c r="CZ134" s="62">
        <f t="shared" si="150"/>
        <v>195.9200038944301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26.937761919768736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26.937761919768736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2.2737367544323206E-13</v>
      </c>
      <c r="DP134" s="18">
        <f>DO134*VLOOKUP('Données projet'!$B$14,Paramètres!$A$1:$I$89,3,0)*VLOOKUP('Données projet'!$B$14,Paramètres!$A$1:$I$89,5,0)</f>
        <v>1.0049916454590858E-13</v>
      </c>
      <c r="DQ134" s="14">
        <f t="shared" si="151"/>
        <v>1.5089081593838289E-12</v>
      </c>
      <c r="DR134" s="22">
        <f t="shared" si="124"/>
        <v>2.8030510891776262E-12</v>
      </c>
      <c r="DS134" s="62">
        <f t="shared" si="125"/>
        <v>284.07375224310852</v>
      </c>
      <c r="DT134" s="62">
        <f ca="1">AVERAGE(OFFSET($DS$3,0,0,'Données projet'!$E$14+1,1))-AVERAGE(OFFSET($H$3,0,0,'Données projet'!$E$14+1,1))</f>
        <v>338.33525241236157</v>
      </c>
      <c r="DU134" s="62">
        <f t="shared" si="152"/>
        <v>373.47257029791717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59.266527489980895</v>
      </c>
      <c r="EB134" s="23">
        <f>EXP(-LN(2)/25)*EB133+(1-EXP(-LN(2)/25))/(LN(2)/25)*Calculateur!DW134*Calculateur!DY134*VLOOKUP('Données projet'!$B$14,Paramètres!$A$1:$I$89,3,0)*0.475*44/12</f>
        <v>5.935130365463821</v>
      </c>
      <c r="EC134" s="23">
        <f>EXP(-LN(2)/2)*EC133+(1-EXP(-LN(2)/2))/(LN(2)/2)*DW134*DZ134*VLOOKUP('Données projet'!$B$14,Paramètres!$A$1:$I$89,3,0)*0.475*44/12</f>
        <v>3.0412725827870571E-10</v>
      </c>
      <c r="ED134" s="24">
        <f t="shared" si="126"/>
        <v>65.201657855748849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-2.8421709430404007E-14</v>
      </c>
      <c r="EK134" s="18">
        <f>EJ134*VLOOKUP('Données projet'!$B$15,Paramètres!$A$1:$I$89,3,0)*VLOOKUP('Données projet'!$B$15,Paramètres!$A$1:$I$89,5,0)</f>
        <v>-2.2168933355715127E-14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144.92790055195192</v>
      </c>
      <c r="EP134" s="62">
        <f t="shared" si="154"/>
        <v>151.00642748754026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14.915143430331678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14.915143430331678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-1.7053025658242404E-13</v>
      </c>
      <c r="O135" s="14">
        <f>N135*VLOOKUP('Données projet'!$B$9,Paramètres!$A$1:$I$89,3,0)*VLOOKUP('Données projet'!$B$9,Paramètres!$A$1:$I$89,5,0)</f>
        <v>-1.383341441396624E-13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259.10606516000064</v>
      </c>
      <c r="T135" s="62">
        <f t="shared" si="142"/>
        <v>316.57989180609252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24.547392524515981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24.547392524515981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186.83226999296298</v>
      </c>
      <c r="AO135" s="62">
        <f t="shared" si="144"/>
        <v>232.70925470547317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29.378013385517523</v>
      </c>
      <c r="AV135" s="23">
        <f>EXP(-LN(2)/25)*AV134+(1-EXP(-LN(2)/25))/(LN(2)/25)*Calculateur!AQ135*Calculateur!AS135*VLOOKUP('Données projet'!$B$10,Paramètres!$A$1:$I$89,3,0)*0.475*44/12</f>
        <v>1.8192551761744202</v>
      </c>
      <c r="AW135" s="23">
        <f>EXP(-LN(2)/2)*AW134+(1-EXP(-LN(2)/2))/(LN(2)/2)*AQ135*AT135*VLOOKUP('Données projet'!$B$10,Paramètres!$A$1:$I$89,3,0)*0.475*44/12</f>
        <v>1.0927391841381253E-10</v>
      </c>
      <c r="AX135" s="23">
        <f t="shared" si="114"/>
        <v>31.197268561801216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-2.2737367544323206E-13</v>
      </c>
      <c r="BE135" s="14">
        <f>BD135*VLOOKUP('Données projet'!$B$11,Paramètres!$A$1:$I$89,3,0)*VLOOKUP('Données projet'!$B$11,Paramètres!$A$1:$I$89,5,0)</f>
        <v>-2.0572770154103635E-13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435.70500547084868</v>
      </c>
      <c r="BJ135" s="62">
        <f t="shared" si="146"/>
        <v>297.32483725004136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95.548114215992413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95.548114215992413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-2.2737367544323206E-13</v>
      </c>
      <c r="BZ135" s="14">
        <f>BY135*VLOOKUP('Données projet'!$B$12,Paramètres!$A$1:$I$89,3,0)*VLOOKUP('Données projet'!$B$12,Paramètres!$A$1:$I$89,5,0)</f>
        <v>-2.5893314159475268E-13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530.15080507516973</v>
      </c>
      <c r="CE135" s="62">
        <f t="shared" si="148"/>
        <v>358.10331902702217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120.25883340978359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120.25883340978359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-4.8771653382573282E-14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182.98212193167009</v>
      </c>
      <c r="CZ135" s="62">
        <f t="shared" si="150"/>
        <v>195.9200038944301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26.409528838934474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26.409528838934474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2.2737367544323206E-13</v>
      </c>
      <c r="DP135" s="18">
        <f>DO135*VLOOKUP('Données projet'!$B$14,Paramètres!$A$1:$I$89,3,0)*VLOOKUP('Données projet'!$B$14,Paramètres!$A$1:$I$89,5,0)</f>
        <v>1.0049916454590858E-13</v>
      </c>
      <c r="DQ135" s="14">
        <f t="shared" si="151"/>
        <v>1.5089081593838289E-12</v>
      </c>
      <c r="DR135" s="22">
        <f t="shared" si="124"/>
        <v>2.8030510891776262E-12</v>
      </c>
      <c r="DS135" s="62">
        <f t="shared" si="125"/>
        <v>284.23438527370195</v>
      </c>
      <c r="DT135" s="62">
        <f ca="1">AVERAGE(OFFSET($DS$3,0,0,'Données projet'!$E$14+1,1))-AVERAGE(OFFSET($H$3,0,0,'Données projet'!$E$14+1,1))</f>
        <v>338.33525241236157</v>
      </c>
      <c r="DU135" s="62">
        <f t="shared" si="152"/>
        <v>373.47257029791717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58.104347034914717</v>
      </c>
      <c r="EB135" s="23">
        <f>EXP(-LN(2)/25)*EB134+(1-EXP(-LN(2)/25))/(LN(2)/25)*Calculateur!DW135*Calculateur!DY135*VLOOKUP('Données projet'!$B$14,Paramètres!$A$1:$I$89,3,0)*0.475*44/12</f>
        <v>5.7728339135052718</v>
      </c>
      <c r="EC135" s="23">
        <f>EXP(-LN(2)/2)*EC134+(1-EXP(-LN(2)/2))/(LN(2)/2)*DW135*DZ135*VLOOKUP('Données projet'!$B$14,Paramètres!$A$1:$I$89,3,0)*0.475*44/12</f>
        <v>2.1505044667254538E-10</v>
      </c>
      <c r="ED135" s="24">
        <f t="shared" si="126"/>
        <v>63.877180948635043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-2.8421709430404007E-14</v>
      </c>
      <c r="EK135" s="18">
        <f>EJ135*VLOOKUP('Données projet'!$B$15,Paramètres!$A$1:$I$89,3,0)*VLOOKUP('Données projet'!$B$15,Paramètres!$A$1:$I$89,5,0)</f>
        <v>-2.2168933355715127E-14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144.92790055195192</v>
      </c>
      <c r="EP135" s="62">
        <f t="shared" si="154"/>
        <v>151.00642748754026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14.62266656500208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14.62266656500208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-1.7053025658242404E-13</v>
      </c>
      <c r="O136" s="14">
        <f>N136*VLOOKUP('Données projet'!$B$9,Paramètres!$A$1:$I$89,3,0)*VLOOKUP('Données projet'!$B$9,Paramètres!$A$1:$I$89,5,0)</f>
        <v>-1.383341441396624E-13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259.10606516000064</v>
      </c>
      <c r="T136" s="62">
        <f t="shared" si="142"/>
        <v>316.57989180609252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24.066033129541257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24.066033129541257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186.83226999296298</v>
      </c>
      <c r="AO136" s="62">
        <f t="shared" si="144"/>
        <v>232.70925470547317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28.801928461846352</v>
      </c>
      <c r="AV136" s="23">
        <f>EXP(-LN(2)/25)*AV135+(1-EXP(-LN(2)/25))/(LN(2)/25)*Calculateur!AQ136*Calculateur!AS136*VLOOKUP('Données projet'!$B$10,Paramètres!$A$1:$I$89,3,0)*0.475*44/12</f>
        <v>1.769507547711459</v>
      </c>
      <c r="AW136" s="23">
        <f>EXP(-LN(2)/2)*AW135+(1-EXP(-LN(2)/2))/(LN(2)/2)*AQ136*AT136*VLOOKUP('Données projet'!$B$10,Paramètres!$A$1:$I$89,3,0)*0.475*44/12</f>
        <v>7.7268328717232385E-11</v>
      </c>
      <c r="AX136" s="23">
        <f t="shared" si="114"/>
        <v>30.571436009635079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-2.2737367544323206E-13</v>
      </c>
      <c r="BE136" s="14">
        <f>BD136*VLOOKUP('Données projet'!$B$11,Paramètres!$A$1:$I$89,3,0)*VLOOKUP('Données projet'!$B$11,Paramètres!$A$1:$I$89,5,0)</f>
        <v>-2.0572770154103635E-13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435.70500547084868</v>
      </c>
      <c r="BJ136" s="62">
        <f t="shared" si="146"/>
        <v>297.32483725004136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93.674473974811946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93.674473974811946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-2.2737367544323206E-13</v>
      </c>
      <c r="BZ136" s="14">
        <f>BY136*VLOOKUP('Données projet'!$B$12,Paramètres!$A$1:$I$89,3,0)*VLOOKUP('Données projet'!$B$12,Paramètres!$A$1:$I$89,5,0)</f>
        <v>-2.5893314159475268E-13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530.15080507516973</v>
      </c>
      <c r="CE136" s="62">
        <f t="shared" si="148"/>
        <v>358.10331902702217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117.90063103726334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117.90063103726334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-4.8771653382573282E-14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182.98212193167009</v>
      </c>
      <c r="CZ136" s="62">
        <f t="shared" si="150"/>
        <v>195.9200038944301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25.891654086625007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25.891654086625007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2.2737367544323206E-13</v>
      </c>
      <c r="DP136" s="18">
        <f>DO136*VLOOKUP('Données projet'!$B$14,Paramètres!$A$1:$I$89,3,0)*VLOOKUP('Données projet'!$B$14,Paramètres!$A$1:$I$89,5,0)</f>
        <v>1.0049916454590858E-13</v>
      </c>
      <c r="DQ136" s="14">
        <f t="shared" si="151"/>
        <v>1.5089081593838289E-12</v>
      </c>
      <c r="DR136" s="22">
        <f t="shared" si="124"/>
        <v>2.8030510891776262E-12</v>
      </c>
      <c r="DS136" s="62">
        <f t="shared" si="125"/>
        <v>284.39223168033618</v>
      </c>
      <c r="DT136" s="62">
        <f ca="1">AVERAGE(OFFSET($DS$3,0,0,'Données projet'!$E$14+1,1))-AVERAGE(OFFSET($H$3,0,0,'Données projet'!$E$14+1,1))</f>
        <v>338.33525241236157</v>
      </c>
      <c r="DU136" s="62">
        <f t="shared" si="152"/>
        <v>373.47257029791717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56.964956229712307</v>
      </c>
      <c r="EB136" s="23">
        <f>EXP(-LN(2)/25)*EB135+(1-EXP(-LN(2)/25))/(LN(2)/25)*Calculateur!DW136*Calculateur!DY136*VLOOKUP('Données projet'!$B$14,Paramètres!$A$1:$I$89,3,0)*0.475*44/12</f>
        <v>5.6149754665603284</v>
      </c>
      <c r="EC136" s="23">
        <f>EXP(-LN(2)/2)*EC135+(1-EXP(-LN(2)/2))/(LN(2)/2)*DW136*DZ136*VLOOKUP('Données projet'!$B$14,Paramètres!$A$1:$I$89,3,0)*0.475*44/12</f>
        <v>1.5206362913935285E-10</v>
      </c>
      <c r="ED136" s="24">
        <f t="shared" si="126"/>
        <v>62.579931696424701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-2.8421709430404007E-14</v>
      </c>
      <c r="EK136" s="18">
        <f>EJ136*VLOOKUP('Données projet'!$B$15,Paramètres!$A$1:$I$89,3,0)*VLOOKUP('Données projet'!$B$15,Paramètres!$A$1:$I$89,5,0)</f>
        <v>-2.2168933355715127E-14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144.92790055195192</v>
      </c>
      <c r="EP136" s="62">
        <f t="shared" si="154"/>
        <v>151.00642748754026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14.335924992608321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14.335924992608321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-1.7053025658242404E-13</v>
      </c>
      <c r="O137" s="14">
        <f>N137*VLOOKUP('Données projet'!$B$9,Paramètres!$A$1:$I$89,3,0)*VLOOKUP('Données projet'!$B$9,Paramètres!$A$1:$I$89,5,0)</f>
        <v>-1.383341441396624E-13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259.10606516000064</v>
      </c>
      <c r="T137" s="62">
        <f t="shared" si="142"/>
        <v>316.57989180609252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23.594112898701749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23.594112898701749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186.83226999296298</v>
      </c>
      <c r="AO137" s="62">
        <f t="shared" si="144"/>
        <v>232.70925470547317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28.237140212151264</v>
      </c>
      <c r="AV137" s="23">
        <f>EXP(-LN(2)/25)*AV136+(1-EXP(-LN(2)/25))/(LN(2)/25)*Calculateur!AQ137*Calculateur!AS137*VLOOKUP('Données projet'!$B$10,Paramètres!$A$1:$I$89,3,0)*0.475*44/12</f>
        <v>1.7211202707649316</v>
      </c>
      <c r="AW137" s="23">
        <f>EXP(-LN(2)/2)*AW136+(1-EXP(-LN(2)/2))/(LN(2)/2)*AQ137*AT137*VLOOKUP('Données projet'!$B$10,Paramètres!$A$1:$I$89,3,0)*0.475*44/12</f>
        <v>5.4636959206906267E-11</v>
      </c>
      <c r="AX137" s="23">
        <f t="shared" si="114"/>
        <v>29.958260482970832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-2.2737367544323206E-13</v>
      </c>
      <c r="BE137" s="14">
        <f>BD137*VLOOKUP('Données projet'!$B$11,Paramètres!$A$1:$I$89,3,0)*VLOOKUP('Données projet'!$B$11,Paramètres!$A$1:$I$89,5,0)</f>
        <v>-2.0572770154103635E-13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435.70500547084868</v>
      </c>
      <c r="BJ137" s="62">
        <f t="shared" si="146"/>
        <v>297.32483725004136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91.83757467595332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91.83757467595332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-2.2737367544323206E-13</v>
      </c>
      <c r="BZ137" s="14">
        <f>BY137*VLOOKUP('Données projet'!$B$12,Paramètres!$A$1:$I$89,3,0)*VLOOKUP('Données projet'!$B$12,Paramètres!$A$1:$I$89,5,0)</f>
        <v>-2.5893314159475268E-13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530.15080507516973</v>
      </c>
      <c r="CE137" s="62">
        <f t="shared" si="148"/>
        <v>358.10331902702217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115.58867157490678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115.58867157490678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-4.8771653382573282E-14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182.98212193167009</v>
      </c>
      <c r="CZ137" s="62">
        <f t="shared" si="150"/>
        <v>195.9200038944301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25.383934542335918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25.383934542335918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2.2737367544323206E-13</v>
      </c>
      <c r="DP137" s="18">
        <f>DO137*VLOOKUP('Données projet'!$B$14,Paramètres!$A$1:$I$89,3,0)*VLOOKUP('Données projet'!$B$14,Paramètres!$A$1:$I$89,5,0)</f>
        <v>1.0049916454590858E-13</v>
      </c>
      <c r="DQ137" s="14">
        <f t="shared" si="151"/>
        <v>1.5089081593838289E-12</v>
      </c>
      <c r="DR137" s="22">
        <f t="shared" si="124"/>
        <v>2.8030510891776262E-12</v>
      </c>
      <c r="DS137" s="62">
        <f t="shared" si="125"/>
        <v>284.54733980470706</v>
      </c>
      <c r="DT137" s="62">
        <f ca="1">AVERAGE(OFFSET($DS$3,0,0,'Données projet'!$E$14+1,1))-AVERAGE(OFFSET($H$3,0,0,'Données projet'!$E$14+1,1))</f>
        <v>338.33525241236157</v>
      </c>
      <c r="DU137" s="62">
        <f t="shared" si="152"/>
        <v>373.47257029791717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55.847908183240143</v>
      </c>
      <c r="EB137" s="23">
        <f>EXP(-LN(2)/25)*EB136+(1-EXP(-LN(2)/25))/(LN(2)/25)*Calculateur!DW137*Calculateur!DY137*VLOOKUP('Données projet'!$B$14,Paramètres!$A$1:$I$89,3,0)*0.475*44/12</f>
        <v>5.4614336671485093</v>
      </c>
      <c r="EC137" s="23">
        <f>EXP(-LN(2)/2)*EC136+(1-EXP(-LN(2)/2))/(LN(2)/2)*DW137*DZ137*VLOOKUP('Données projet'!$B$14,Paramètres!$A$1:$I$89,3,0)*0.475*44/12</f>
        <v>1.0752522333627269E-10</v>
      </c>
      <c r="ED137" s="24">
        <f t="shared" si="126"/>
        <v>61.309341850496182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-2.8421709430404007E-14</v>
      </c>
      <c r="EK137" s="18">
        <f>EJ137*VLOOKUP('Données projet'!$B$15,Paramètres!$A$1:$I$89,3,0)*VLOOKUP('Données projet'!$B$15,Paramètres!$A$1:$I$89,5,0)</f>
        <v>-2.2168933355715127E-14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144.92790055195192</v>
      </c>
      <c r="EP137" s="62">
        <f t="shared" si="154"/>
        <v>151.00642748754026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14.054806247554113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14.054806247554113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-1.7053025658242404E-13</v>
      </c>
      <c r="O138" s="14">
        <f>N138*VLOOKUP('Données projet'!$B$9,Paramètres!$A$1:$I$89,3,0)*VLOOKUP('Données projet'!$B$9,Paramètres!$A$1:$I$89,5,0)</f>
        <v>-1.383341441396624E-13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259.10606516000064</v>
      </c>
      <c r="T138" s="62">
        <f t="shared" si="142"/>
        <v>316.57989180609252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23.131446735746085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23.131446735746085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186.83226999296298</v>
      </c>
      <c r="AO138" s="62">
        <f t="shared" si="144"/>
        <v>232.70925470547317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27.683427115545882</v>
      </c>
      <c r="AV138" s="23">
        <f>EXP(-LN(2)/25)*AV137+(1-EXP(-LN(2)/25))/(LN(2)/25)*Calculateur!AQ138*Calculateur!AS138*VLOOKUP('Données projet'!$B$10,Paramètres!$A$1:$I$89,3,0)*0.475*44/12</f>
        <v>1.6740561464510832</v>
      </c>
      <c r="AW138" s="23">
        <f>EXP(-LN(2)/2)*AW137+(1-EXP(-LN(2)/2))/(LN(2)/2)*AQ138*AT138*VLOOKUP('Données projet'!$B$10,Paramètres!$A$1:$I$89,3,0)*0.475*44/12</f>
        <v>3.8634164358616193E-11</v>
      </c>
      <c r="AX138" s="23">
        <f t="shared" si="114"/>
        <v>29.357483262035601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-2.2737367544323206E-13</v>
      </c>
      <c r="BE138" s="14">
        <f>BD138*VLOOKUP('Données projet'!$B$11,Paramètres!$A$1:$I$89,3,0)*VLOOKUP('Données projet'!$B$11,Paramètres!$A$1:$I$89,5,0)</f>
        <v>-2.0572770154103635E-13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435.70500547084868</v>
      </c>
      <c r="BJ138" s="62">
        <f t="shared" si="146"/>
        <v>297.32483725004136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90.036695851947371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90.036695851947371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-2.2737367544323206E-13</v>
      </c>
      <c r="BZ138" s="14">
        <f>BY138*VLOOKUP('Données projet'!$B$12,Paramètres!$A$1:$I$89,3,0)*VLOOKUP('Données projet'!$B$12,Paramètres!$A$1:$I$89,5,0)</f>
        <v>-2.5893314159475268E-13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530.15080507516973</v>
      </c>
      <c r="CE138" s="62">
        <f t="shared" si="148"/>
        <v>358.10331902702217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113.32204822745102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113.32204822745102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-4.8771653382573282E-14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182.98212193167009</v>
      </c>
      <c r="CZ138" s="62">
        <f t="shared" si="150"/>
        <v>195.9200038944301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24.886171068631995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24.886171068631995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2.2737367544323206E-13</v>
      </c>
      <c r="DP138" s="18">
        <f>DO138*VLOOKUP('Données projet'!$B$14,Paramètres!$A$1:$I$89,3,0)*VLOOKUP('Données projet'!$B$14,Paramètres!$A$1:$I$89,5,0)</f>
        <v>1.0049916454590858E-13</v>
      </c>
      <c r="DQ138" s="14">
        <f t="shared" si="151"/>
        <v>1.5089081593838289E-12</v>
      </c>
      <c r="DR138" s="22">
        <f t="shared" si="124"/>
        <v>2.8030510891776262E-12</v>
      </c>
      <c r="DS138" s="62">
        <f t="shared" si="125"/>
        <v>284.69975714988993</v>
      </c>
      <c r="DT138" s="62">
        <f ca="1">AVERAGE(OFFSET($DS$3,0,0,'Données projet'!$E$14+1,1))-AVERAGE(OFFSET($H$3,0,0,'Données projet'!$E$14+1,1))</f>
        <v>338.33525241236157</v>
      </c>
      <c r="DU138" s="62">
        <f t="shared" si="152"/>
        <v>373.47257029791717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54.752764767627269</v>
      </c>
      <c r="EB138" s="23">
        <f>EXP(-LN(2)/25)*EB137+(1-EXP(-LN(2)/25))/(LN(2)/25)*Calculateur!DW138*Calculateur!DY138*VLOOKUP('Données projet'!$B$14,Paramètres!$A$1:$I$89,3,0)*0.475*44/12</f>
        <v>5.312090476316019</v>
      </c>
      <c r="EC138" s="23">
        <f>EXP(-LN(2)/2)*EC137+(1-EXP(-LN(2)/2))/(LN(2)/2)*DW138*DZ138*VLOOKUP('Données projet'!$B$14,Paramètres!$A$1:$I$89,3,0)*0.475*44/12</f>
        <v>7.6031814569676427E-11</v>
      </c>
      <c r="ED138" s="24">
        <f t="shared" si="126"/>
        <v>60.06485524401932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-2.8421709430404007E-14</v>
      </c>
      <c r="EK138" s="18">
        <f>EJ138*VLOOKUP('Données projet'!$B$15,Paramètres!$A$1:$I$89,3,0)*VLOOKUP('Données projet'!$B$15,Paramètres!$A$1:$I$89,5,0)</f>
        <v>-2.2168933355715127E-14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144.92790055195192</v>
      </c>
      <c r="EP138" s="62">
        <f t="shared" si="154"/>
        <v>151.00642748754026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13.779200069624915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13.779200069624915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-1.7053025658242404E-13</v>
      </c>
      <c r="O139" s="14">
        <f>N139*VLOOKUP('Données projet'!$B$9,Paramètres!$A$1:$I$89,3,0)*VLOOKUP('Données projet'!$B$9,Paramètres!$A$1:$I$89,5,0)</f>
        <v>-1.383341441396624E-13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259.10606516000064</v>
      </c>
      <c r="T139" s="62">
        <f t="shared" si="142"/>
        <v>316.57989180609252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22.677853174047485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22.677853174047485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186.83226999296298</v>
      </c>
      <c r="AO139" s="62">
        <f t="shared" si="144"/>
        <v>232.70925470547317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27.140571995033291</v>
      </c>
      <c r="AV139" s="23">
        <f>EXP(-LN(2)/25)*AV138+(1-EXP(-LN(2)/25))/(LN(2)/25)*Calculateur!AQ139*Calculateur!AS139*VLOOKUP('Données projet'!$B$10,Paramètres!$A$1:$I$89,3,0)*0.475*44/12</f>
        <v>1.6282789930915917</v>
      </c>
      <c r="AW139" s="23">
        <f>EXP(-LN(2)/2)*AW138+(1-EXP(-LN(2)/2))/(LN(2)/2)*AQ139*AT139*VLOOKUP('Données projet'!$B$10,Paramètres!$A$1:$I$89,3,0)*0.475*44/12</f>
        <v>2.7318479603453134E-11</v>
      </c>
      <c r="AX139" s="23">
        <f t="shared" si="114"/>
        <v>28.768850988152199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-2.2737367544323206E-13</v>
      </c>
      <c r="BE139" s="14">
        <f>BD139*VLOOKUP('Données projet'!$B$11,Paramètres!$A$1:$I$89,3,0)*VLOOKUP('Données projet'!$B$11,Paramètres!$A$1:$I$89,5,0)</f>
        <v>-2.0572770154103635E-13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435.70500547084868</v>
      </c>
      <c r="BJ139" s="62">
        <f t="shared" si="146"/>
        <v>297.32483725004136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88.271131163252548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88.271131163252548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-2.2737367544323206E-13</v>
      </c>
      <c r="BZ139" s="14">
        <f>BY139*VLOOKUP('Données projet'!$B$12,Paramètres!$A$1:$I$89,3,0)*VLOOKUP('Données projet'!$B$12,Paramètres!$A$1:$I$89,5,0)</f>
        <v>-2.5893314159475268E-13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530.15080507516973</v>
      </c>
      <c r="CE139" s="62">
        <f t="shared" si="148"/>
        <v>358.10331902702217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111.09987198133513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111.09987198133513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-4.8771653382573282E-14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182.98212193167009</v>
      </c>
      <c r="CZ139" s="62">
        <f t="shared" si="150"/>
        <v>195.9200038944301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24.398168433041665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24.398168433041665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2.2737367544323206E-13</v>
      </c>
      <c r="DP139" s="18">
        <f>DO139*VLOOKUP('Données projet'!$B$14,Paramètres!$A$1:$I$89,3,0)*VLOOKUP('Données projet'!$B$14,Paramètres!$A$1:$I$89,5,0)</f>
        <v>1.0049916454590858E-13</v>
      </c>
      <c r="DQ139" s="14">
        <f t="shared" si="151"/>
        <v>1.5089081593838289E-12</v>
      </c>
      <c r="DR139" s="22">
        <f t="shared" si="124"/>
        <v>2.8030510891776262E-12</v>
      </c>
      <c r="DS139" s="62">
        <f t="shared" si="125"/>
        <v>284.84953039488801</v>
      </c>
      <c r="DT139" s="62">
        <f ca="1">AVERAGE(OFFSET($DS$3,0,0,'Données projet'!$E$14+1,1))-AVERAGE(OFFSET($H$3,0,0,'Données projet'!$E$14+1,1))</f>
        <v>338.33525241236157</v>
      </c>
      <c r="DU139" s="62">
        <f t="shared" si="152"/>
        <v>373.47257029791717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53.679096446423038</v>
      </c>
      <c r="EB139" s="23">
        <f>EXP(-LN(2)/25)*EB138+(1-EXP(-LN(2)/25))/(LN(2)/25)*Calculateur!DW139*Calculateur!DY139*VLOOKUP('Données projet'!$B$14,Paramètres!$A$1:$I$89,3,0)*0.475*44/12</f>
        <v>5.16683108289046</v>
      </c>
      <c r="EC139" s="23">
        <f>EXP(-LN(2)/2)*EC138+(1-EXP(-LN(2)/2))/(LN(2)/2)*DW139*DZ139*VLOOKUP('Données projet'!$B$14,Paramètres!$A$1:$I$89,3,0)*0.475*44/12</f>
        <v>5.3762611668136346E-11</v>
      </c>
      <c r="ED139" s="24">
        <f t="shared" si="126"/>
        <v>58.845927529367259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-2.8421709430404007E-14</v>
      </c>
      <c r="EK139" s="18">
        <f>EJ139*VLOOKUP('Données projet'!$B$15,Paramètres!$A$1:$I$89,3,0)*VLOOKUP('Données projet'!$B$15,Paramètres!$A$1:$I$89,5,0)</f>
        <v>-2.2168933355715127E-14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144.92790055195192</v>
      </c>
      <c r="EP139" s="62">
        <f t="shared" si="154"/>
        <v>151.00642748754026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13.508998360741739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13.508998360741739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-1.7053025658242404E-13</v>
      </c>
      <c r="O140" s="14">
        <f>N140*VLOOKUP('Données projet'!$B$9,Paramètres!$A$1:$I$89,3,0)*VLOOKUP('Données projet'!$B$9,Paramètres!$A$1:$I$89,5,0)</f>
        <v>-1.383341441396624E-13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259.10606516000064</v>
      </c>
      <c r="T140" s="62">
        <f t="shared" si="142"/>
        <v>316.57989180609252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22.233154305429039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22.233154305429039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186.83226999296298</v>
      </c>
      <c r="AO140" s="62">
        <f t="shared" si="144"/>
        <v>232.70925470547317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26.608361932325021</v>
      </c>
      <c r="AV140" s="23">
        <f>EXP(-LN(2)/25)*AV139+(1-EXP(-LN(2)/25))/(LN(2)/25)*Calculateur!AQ140*Calculateur!AS140*VLOOKUP('Données projet'!$B$10,Paramètres!$A$1:$I$89,3,0)*0.475*44/12</f>
        <v>1.5837536183980314</v>
      </c>
      <c r="AW140" s="23">
        <f>EXP(-LN(2)/2)*AW139+(1-EXP(-LN(2)/2))/(LN(2)/2)*AQ140*AT140*VLOOKUP('Données projet'!$B$10,Paramètres!$A$1:$I$89,3,0)*0.475*44/12</f>
        <v>1.9317082179308096E-11</v>
      </c>
      <c r="AX140" s="23">
        <f t="shared" si="114"/>
        <v>28.192115550742368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-2.2737367544323206E-13</v>
      </c>
      <c r="BE140" s="14">
        <f>BD140*VLOOKUP('Données projet'!$B$11,Paramètres!$A$1:$I$89,3,0)*VLOOKUP('Données projet'!$B$11,Paramètres!$A$1:$I$89,5,0)</f>
        <v>-2.0572770154103635E-13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435.70500547084868</v>
      </c>
      <c r="BJ140" s="62">
        <f t="shared" si="146"/>
        <v>297.32483725004136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86.540188121214911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86.540188121214911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-2.2737367544323206E-13</v>
      </c>
      <c r="BZ140" s="14">
        <f>BY140*VLOOKUP('Données projet'!$B$12,Paramètres!$A$1:$I$89,3,0)*VLOOKUP('Données projet'!$B$12,Paramètres!$A$1:$I$89,5,0)</f>
        <v>-2.5893314159475268E-13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530.15080507516973</v>
      </c>
      <c r="CE140" s="62">
        <f t="shared" si="148"/>
        <v>358.10331902702217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108.92127125601189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108.92127125601189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-4.8771653382573282E-14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182.98212193167009</v>
      </c>
      <c r="CZ140" s="62">
        <f t="shared" si="150"/>
        <v>195.9200038944301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23.919735231483045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23.919735231483045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2.2737367544323206E-13</v>
      </c>
      <c r="DP140" s="18">
        <f>DO140*VLOOKUP('Données projet'!$B$14,Paramètres!$A$1:$I$89,3,0)*VLOOKUP('Données projet'!$B$14,Paramètres!$A$1:$I$89,5,0)</f>
        <v>1.0049916454590858E-13</v>
      </c>
      <c r="DQ140" s="14">
        <f t="shared" si="151"/>
        <v>1.5089081593838289E-12</v>
      </c>
      <c r="DR140" s="22">
        <f t="shared" si="124"/>
        <v>2.8030510891776262E-12</v>
      </c>
      <c r="DS140" s="62">
        <f t="shared" si="125"/>
        <v>284.99670540892816</v>
      </c>
      <c r="DT140" s="62">
        <f ca="1">AVERAGE(OFFSET($DS$3,0,0,'Données projet'!$E$14+1,1))-AVERAGE(OFFSET($H$3,0,0,'Données projet'!$E$14+1,1))</f>
        <v>338.33525241236157</v>
      </c>
      <c r="DU140" s="62">
        <f t="shared" si="152"/>
        <v>373.47257029791717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52.626482106124605</v>
      </c>
      <c r="EB140" s="23">
        <f>EXP(-LN(2)/25)*EB139+(1-EXP(-LN(2)/25))/(LN(2)/25)*Calculateur!DW140*Calculateur!DY140*VLOOKUP('Données projet'!$B$14,Paramètres!$A$1:$I$89,3,0)*0.475*44/12</f>
        <v>5.0255438152169827</v>
      </c>
      <c r="EC140" s="23">
        <f>EXP(-LN(2)/2)*EC139+(1-EXP(-LN(2)/2))/(LN(2)/2)*DW140*DZ140*VLOOKUP('Données projet'!$B$14,Paramètres!$A$1:$I$89,3,0)*0.475*44/12</f>
        <v>3.8015907284838213E-11</v>
      </c>
      <c r="ED140" s="24">
        <f t="shared" si="126"/>
        <v>57.652025921379604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-2.8421709430404007E-14</v>
      </c>
      <c r="EK140" s="18">
        <f>EJ140*VLOOKUP('Données projet'!$B$15,Paramètres!$A$1:$I$89,3,0)*VLOOKUP('Données projet'!$B$15,Paramètres!$A$1:$I$89,5,0)</f>
        <v>-2.2168933355715127E-14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144.92790055195192</v>
      </c>
      <c r="EP140" s="62">
        <f t="shared" si="154"/>
        <v>151.00642748754026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13.244095142562992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13.244095142562992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-1.7053025658242404E-13</v>
      </c>
      <c r="O141" s="14">
        <f>N141*VLOOKUP('Données projet'!$B$9,Paramètres!$A$1:$I$89,3,0)*VLOOKUP('Données projet'!$B$9,Paramètres!$A$1:$I$89,5,0)</f>
        <v>-1.383341441396624E-13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259.10606516000064</v>
      </c>
      <c r="T141" s="62">
        <f t="shared" si="142"/>
        <v>316.57989180609252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21.797175710384675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21.797175710384675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186.83226999296298</v>
      </c>
      <c r="AO141" s="62">
        <f t="shared" si="144"/>
        <v>232.70925470547317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26.086588184330378</v>
      </c>
      <c r="AV141" s="23">
        <f>EXP(-LN(2)/25)*AV140+(1-EXP(-LN(2)/25))/(LN(2)/25)*Calculateur!AQ141*Calculateur!AS141*VLOOKUP('Données projet'!$B$10,Paramètres!$A$1:$I$89,3,0)*0.475*44/12</f>
        <v>1.5404457924169541</v>
      </c>
      <c r="AW141" s="23">
        <f>EXP(-LN(2)/2)*AW140+(1-EXP(-LN(2)/2))/(LN(2)/2)*AQ141*AT141*VLOOKUP('Données projet'!$B$10,Paramètres!$A$1:$I$89,3,0)*0.475*44/12</f>
        <v>1.3659239801726567E-11</v>
      </c>
      <c r="AX141" s="23">
        <f t="shared" si="114"/>
        <v>27.627033976760991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-2.2737367544323206E-13</v>
      </c>
      <c r="BE141" s="14">
        <f>BD141*VLOOKUP('Données projet'!$B$11,Paramètres!$A$1:$I$89,3,0)*VLOOKUP('Données projet'!$B$11,Paramètres!$A$1:$I$89,5,0)</f>
        <v>-2.0572770154103635E-13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435.70500547084868</v>
      </c>
      <c r="BJ141" s="62">
        <f t="shared" si="146"/>
        <v>297.32483725004136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84.843187816460627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84.843187816460627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-2.2737367544323206E-13</v>
      </c>
      <c r="BZ141" s="14">
        <f>BY141*VLOOKUP('Données projet'!$B$12,Paramètres!$A$1:$I$89,3,0)*VLOOKUP('Données projet'!$B$12,Paramètres!$A$1:$I$89,5,0)</f>
        <v>-2.5893314159475268E-13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530.15080507516973</v>
      </c>
      <c r="CE141" s="62">
        <f t="shared" si="148"/>
        <v>358.10331902702217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106.78539156209702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106.78539156209702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-4.8771653382573282E-14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182.98212193167009</v>
      </c>
      <c r="CZ141" s="62">
        <f t="shared" si="150"/>
        <v>195.9200038944301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23.450683813191549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23.450683813191549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2.2737367544323206E-13</v>
      </c>
      <c r="DP141" s="18">
        <f>DO141*VLOOKUP('Données projet'!$B$14,Paramètres!$A$1:$I$89,3,0)*VLOOKUP('Données projet'!$B$14,Paramètres!$A$1:$I$89,5,0)</f>
        <v>1.0049916454590858E-13</v>
      </c>
      <c r="DQ141" s="14">
        <f t="shared" si="151"/>
        <v>1.5089081593838289E-12</v>
      </c>
      <c r="DR141" s="22">
        <f t="shared" si="124"/>
        <v>2.8030510891776262E-12</v>
      </c>
      <c r="DS141" s="62">
        <f t="shared" si="125"/>
        <v>285.14132726550872</v>
      </c>
      <c r="DT141" s="62">
        <f ca="1">AVERAGE(OFFSET($DS$3,0,0,'Données projet'!$E$14+1,1))-AVERAGE(OFFSET($H$3,0,0,'Données projet'!$E$14+1,1))</f>
        <v>338.33525241236157</v>
      </c>
      <c r="DU141" s="62">
        <f t="shared" si="152"/>
        <v>373.47257029791717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51.594508891008076</v>
      </c>
      <c r="EB141" s="23">
        <f>EXP(-LN(2)/25)*EB140+(1-EXP(-LN(2)/25))/(LN(2)/25)*Calculateur!DW141*Calculateur!DY141*VLOOKUP('Données projet'!$B$14,Paramètres!$A$1:$I$89,3,0)*0.475*44/12</f>
        <v>4.8881200553080113</v>
      </c>
      <c r="EC141" s="23">
        <f>EXP(-LN(2)/2)*EC140+(1-EXP(-LN(2)/2))/(LN(2)/2)*DW141*DZ141*VLOOKUP('Données projet'!$B$14,Paramètres!$A$1:$I$89,3,0)*0.475*44/12</f>
        <v>2.6881305834068173E-11</v>
      </c>
      <c r="ED141" s="24">
        <f t="shared" si="126"/>
        <v>56.482628946342963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-2.8421709430404007E-14</v>
      </c>
      <c r="EK141" s="18">
        <f>EJ141*VLOOKUP('Données projet'!$B$15,Paramètres!$A$1:$I$89,3,0)*VLOOKUP('Données projet'!$B$15,Paramètres!$A$1:$I$89,5,0)</f>
        <v>-2.2168933355715127E-14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144.92790055195192</v>
      </c>
      <c r="EP141" s="62">
        <f t="shared" si="154"/>
        <v>151.00642748754026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12.984386514917723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12.984386514917723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-1.7053025658242404E-13</v>
      </c>
      <c r="O142" s="14">
        <f>N142*VLOOKUP('Données projet'!$B$9,Paramètres!$A$1:$I$89,3,0)*VLOOKUP('Données projet'!$B$9,Paramètres!$A$1:$I$89,5,0)</f>
        <v>-1.383341441396624E-13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259.10606516000064</v>
      </c>
      <c r="T142" s="62">
        <f t="shared" si="142"/>
        <v>316.57989180609252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21.369746389668446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21.369746389668446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186.83226999296298</v>
      </c>
      <c r="AO142" s="62">
        <f t="shared" si="144"/>
        <v>232.70925470547317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25.575046101283345</v>
      </c>
      <c r="AV142" s="23">
        <f>EXP(-LN(2)/25)*AV141+(1-EXP(-LN(2)/25))/(LN(2)/25)*Calculateur!AQ142*Calculateur!AS142*VLOOKUP('Données projet'!$B$10,Paramètres!$A$1:$I$89,3,0)*0.475*44/12</f>
        <v>1.4983222212147891</v>
      </c>
      <c r="AW142" s="23">
        <f>EXP(-LN(2)/2)*AW141+(1-EXP(-LN(2)/2))/(LN(2)/2)*AQ142*AT142*VLOOKUP('Données projet'!$B$10,Paramètres!$A$1:$I$89,3,0)*0.475*44/12</f>
        <v>9.6585410896540482E-12</v>
      </c>
      <c r="AX142" s="23">
        <f t="shared" si="114"/>
        <v>27.073368322507793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-2.2737367544323206E-13</v>
      </c>
      <c r="BE142" s="14">
        <f>BD142*VLOOKUP('Données projet'!$B$11,Paramètres!$A$1:$I$89,3,0)*VLOOKUP('Données projet'!$B$11,Paramètres!$A$1:$I$89,5,0)</f>
        <v>-2.0572770154103635E-13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435.70500547084868</v>
      </c>
      <c r="BJ142" s="62">
        <f t="shared" si="146"/>
        <v>297.32483725004136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83.179464652614584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83.179464652614584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-2.2737367544323206E-13</v>
      </c>
      <c r="BZ142" s="14">
        <f>BY142*VLOOKUP('Données projet'!$B$12,Paramètres!$A$1:$I$89,3,0)*VLOOKUP('Données projet'!$B$12,Paramètres!$A$1:$I$89,5,0)</f>
        <v>-2.5893314159475268E-13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530.15080507516973</v>
      </c>
      <c r="CE142" s="62">
        <f t="shared" si="148"/>
        <v>358.10331902702217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104.69139516622184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104.69139516622184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-4.8771653382573282E-14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182.98212193167009</v>
      </c>
      <c r="CZ142" s="62">
        <f t="shared" si="150"/>
        <v>195.9200038944301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22.990830207119636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22.990830207119636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2.2737367544323206E-13</v>
      </c>
      <c r="DP142" s="18">
        <f>DO142*VLOOKUP('Données projet'!$B$14,Paramètres!$A$1:$I$89,3,0)*VLOOKUP('Données projet'!$B$14,Paramètres!$A$1:$I$89,5,0)</f>
        <v>1.0049916454590858E-13</v>
      </c>
      <c r="DQ142" s="14">
        <f t="shared" si="151"/>
        <v>1.5089081593838289E-12</v>
      </c>
      <c r="DR142" s="22">
        <f t="shared" si="124"/>
        <v>2.8030510891776262E-12</v>
      </c>
      <c r="DS142" s="62">
        <f t="shared" si="125"/>
        <v>285.28344025620368</v>
      </c>
      <c r="DT142" s="62">
        <f ca="1">AVERAGE(OFFSET($DS$3,0,0,'Données projet'!$E$14+1,1))-AVERAGE(OFFSET($H$3,0,0,'Données projet'!$E$14+1,1))</f>
        <v>338.33525241236157</v>
      </c>
      <c r="DU142" s="62">
        <f t="shared" si="152"/>
        <v>373.47257029791717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50.582772041198474</v>
      </c>
      <c r="EB142" s="23">
        <f>EXP(-LN(2)/25)*EB141+(1-EXP(-LN(2)/25))/(LN(2)/25)*Calculateur!DW142*Calculateur!DY142*VLOOKUP('Données projet'!$B$14,Paramètres!$A$1:$I$89,3,0)*0.475*44/12</f>
        <v>4.7544541553405519</v>
      </c>
      <c r="EC142" s="23">
        <f>EXP(-LN(2)/2)*EC141+(1-EXP(-LN(2)/2))/(LN(2)/2)*DW142*DZ142*VLOOKUP('Données projet'!$B$14,Paramètres!$A$1:$I$89,3,0)*0.475*44/12</f>
        <v>1.9007953642419107E-11</v>
      </c>
      <c r="ED142" s="24">
        <f t="shared" si="126"/>
        <v>55.337226196558035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-2.8421709430404007E-14</v>
      </c>
      <c r="EK142" s="18">
        <f>EJ142*VLOOKUP('Données projet'!$B$15,Paramètres!$A$1:$I$89,3,0)*VLOOKUP('Données projet'!$B$15,Paramètres!$A$1:$I$89,5,0)</f>
        <v>-2.2168933355715127E-14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144.92790055195192</v>
      </c>
      <c r="EP142" s="62">
        <f t="shared" si="154"/>
        <v>151.00642748754026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12.729770615053956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12.729770615053956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-1.7053025658242404E-13</v>
      </c>
      <c r="O143" s="14">
        <f>N143*VLOOKUP('Données projet'!$B$9,Paramètres!$A$1:$I$89,3,0)*VLOOKUP('Données projet'!$B$9,Paramètres!$A$1:$I$89,5,0)</f>
        <v>-1.383341441396624E-13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259.10606516000064</v>
      </c>
      <c r="T143" s="62">
        <f t="shared" si="142"/>
        <v>316.57989180609252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20.95069869722532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20.95069869722532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186.83226999296298</v>
      </c>
      <c r="AO143" s="62">
        <f t="shared" si="144"/>
        <v>232.70925470547317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25.073535046475005</v>
      </c>
      <c r="AV143" s="23">
        <f>EXP(-LN(2)/25)*AV142+(1-EXP(-LN(2)/25))/(LN(2)/25)*Calculateur!AQ143*Calculateur!AS143*VLOOKUP('Données projet'!$B$10,Paramètres!$A$1:$I$89,3,0)*0.475*44/12</f>
        <v>1.4573505212823294</v>
      </c>
      <c r="AW143" s="23">
        <f>EXP(-LN(2)/2)*AW142+(1-EXP(-LN(2)/2))/(LN(2)/2)*AQ143*AT143*VLOOKUP('Données projet'!$B$10,Paramètres!$A$1:$I$89,3,0)*0.475*44/12</f>
        <v>6.8296199008632834E-12</v>
      </c>
      <c r="AX143" s="23">
        <f t="shared" si="114"/>
        <v>26.530885567764162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-2.2737367544323206E-13</v>
      </c>
      <c r="BE143" s="14">
        <f>BD143*VLOOKUP('Données projet'!$B$11,Paramètres!$A$1:$I$89,3,0)*VLOOKUP('Données projet'!$B$11,Paramètres!$A$1:$I$89,5,0)</f>
        <v>-2.0572770154103635E-13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435.70500547084868</v>
      </c>
      <c r="BJ143" s="62">
        <f t="shared" si="146"/>
        <v>297.32483725004136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81.548366085240644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81.548366085240644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-2.2737367544323206E-13</v>
      </c>
      <c r="BZ143" s="14">
        <f>BY143*VLOOKUP('Données projet'!$B$12,Paramètres!$A$1:$I$89,3,0)*VLOOKUP('Données projet'!$B$12,Paramètres!$A$1:$I$89,5,0)</f>
        <v>-2.5893314159475268E-13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530.15080507516973</v>
      </c>
      <c r="CE143" s="62">
        <f t="shared" si="148"/>
        <v>358.10331902702217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102.63846076245808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102.63846076245808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-4.8771653382573282E-14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182.98212193167009</v>
      </c>
      <c r="CZ143" s="62">
        <f t="shared" si="150"/>
        <v>195.9200038944301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22.539994049779789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22.539994049779789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2.2737367544323206E-13</v>
      </c>
      <c r="DP143" s="18">
        <f>DO143*VLOOKUP('Données projet'!$B$14,Paramètres!$A$1:$I$89,3,0)*VLOOKUP('Données projet'!$B$14,Paramètres!$A$1:$I$89,5,0)</f>
        <v>1.0049916454590858E-13</v>
      </c>
      <c r="DQ143" s="14">
        <f t="shared" si="151"/>
        <v>1.5089081593838289E-12</v>
      </c>
      <c r="DR143" s="22">
        <f t="shared" si="124"/>
        <v>2.8030510891776262E-12</v>
      </c>
      <c r="DS143" s="62">
        <f t="shared" si="125"/>
        <v>285.42308790422715</v>
      </c>
      <c r="DT143" s="62">
        <f ca="1">AVERAGE(OFFSET($DS$3,0,0,'Données projet'!$E$14+1,1))-AVERAGE(OFFSET($H$3,0,0,'Données projet'!$E$14+1,1))</f>
        <v>338.33525241236157</v>
      </c>
      <c r="DU143" s="62">
        <f t="shared" si="152"/>
        <v>373.47257029791717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49.590874733915093</v>
      </c>
      <c r="EB143" s="23">
        <f>EXP(-LN(2)/25)*EB142+(1-EXP(-LN(2)/25))/(LN(2)/25)*Calculateur!DW143*Calculateur!DY143*VLOOKUP('Données projet'!$B$14,Paramètres!$A$1:$I$89,3,0)*0.475*44/12</f>
        <v>4.6244433564368865</v>
      </c>
      <c r="EC143" s="23">
        <f>EXP(-LN(2)/2)*EC142+(1-EXP(-LN(2)/2))/(LN(2)/2)*DW143*DZ143*VLOOKUP('Données projet'!$B$14,Paramètres!$A$1:$I$89,3,0)*0.475*44/12</f>
        <v>1.3440652917034086E-11</v>
      </c>
      <c r="ED143" s="24">
        <f t="shared" si="126"/>
        <v>54.215318090365422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-2.8421709430404007E-14</v>
      </c>
      <c r="EK143" s="18">
        <f>EJ143*VLOOKUP('Données projet'!$B$15,Paramètres!$A$1:$I$89,3,0)*VLOOKUP('Données projet'!$B$15,Paramètres!$A$1:$I$89,5,0)</f>
        <v>-2.2168933355715127E-14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144.92790055195192</v>
      </c>
      <c r="EP143" s="62">
        <f t="shared" si="154"/>
        <v>151.00642748754026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12.480147577686154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12.480147577686154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-1.7053025658242404E-13</v>
      </c>
      <c r="O144" s="14">
        <f>N144*VLOOKUP('Données projet'!$B$9,Paramètres!$A$1:$I$89,3,0)*VLOOKUP('Données projet'!$B$9,Paramètres!$A$1:$I$89,5,0)</f>
        <v>-1.383341441396624E-13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259.10606516000064</v>
      </c>
      <c r="T144" s="62">
        <f t="shared" si="142"/>
        <v>316.57989180609252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20.539868274437147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20.539868274437147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186.83226999296298</v>
      </c>
      <c r="AO144" s="62">
        <f t="shared" si="144"/>
        <v>232.70925470547317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24.581858317559917</v>
      </c>
      <c r="AV144" s="23">
        <f>EXP(-LN(2)/25)*AV143+(1-EXP(-LN(2)/25))/(LN(2)/25)*Calculateur!AQ144*Calculateur!AS144*VLOOKUP('Données projet'!$B$10,Paramètres!$A$1:$I$89,3,0)*0.475*44/12</f>
        <v>1.4174991946391311</v>
      </c>
      <c r="AW144" s="23">
        <f>EXP(-LN(2)/2)*AW143+(1-EXP(-LN(2)/2))/(LN(2)/2)*AQ144*AT144*VLOOKUP('Données projet'!$B$10,Paramètres!$A$1:$I$89,3,0)*0.475*44/12</f>
        <v>4.8292705448270241E-12</v>
      </c>
      <c r="AX144" s="23">
        <f t="shared" si="114"/>
        <v>25.999357512203876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-2.2737367544323206E-13</v>
      </c>
      <c r="BE144" s="14">
        <f>BD144*VLOOKUP('Données projet'!$B$11,Paramètres!$A$1:$I$89,3,0)*VLOOKUP('Données projet'!$B$11,Paramètres!$A$1:$I$89,5,0)</f>
        <v>-2.0572770154103635E-13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435.70500547084868</v>
      </c>
      <c r="BJ144" s="62">
        <f t="shared" si="146"/>
        <v>297.32483725004136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79.949252365901017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79.949252365901017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-2.2737367544323206E-13</v>
      </c>
      <c r="BZ144" s="14">
        <f>BY144*VLOOKUP('Données projet'!$B$12,Paramètres!$A$1:$I$89,3,0)*VLOOKUP('Données projet'!$B$12,Paramètres!$A$1:$I$89,5,0)</f>
        <v>-2.5893314159475268E-13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530.15080507516973</v>
      </c>
      <c r="CE144" s="62">
        <f t="shared" si="148"/>
        <v>358.10331902702217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100.62578315018578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100.62578315018578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-4.8771653382573282E-14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182.98212193167009</v>
      </c>
      <c r="CZ144" s="62">
        <f t="shared" si="150"/>
        <v>195.9200038944301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22.097998514502471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22.097998514502471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2.2737367544323206E-13</v>
      </c>
      <c r="DP144" s="18">
        <f>DO144*VLOOKUP('Données projet'!$B$14,Paramètres!$A$1:$I$89,3,0)*VLOOKUP('Données projet'!$B$14,Paramètres!$A$1:$I$89,5,0)</f>
        <v>1.0049916454590858E-13</v>
      </c>
      <c r="DQ144" s="14">
        <f t="shared" si="151"/>
        <v>1.5089081593838289E-12</v>
      </c>
      <c r="DR144" s="22">
        <f t="shared" si="124"/>
        <v>2.8030510891776262E-12</v>
      </c>
      <c r="DS144" s="62">
        <f t="shared" si="125"/>
        <v>285.56031297776281</v>
      </c>
      <c r="DT144" s="62">
        <f ca="1">AVERAGE(OFFSET($DS$3,0,0,'Données projet'!$E$14+1,1))-AVERAGE(OFFSET($H$3,0,0,'Données projet'!$E$14+1,1))</f>
        <v>338.33525241236157</v>
      </c>
      <c r="DU144" s="62">
        <f t="shared" si="152"/>
        <v>373.47257029791717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48.61842792782992</v>
      </c>
      <c r="EB144" s="23">
        <f>EXP(-LN(2)/25)*EB143+(1-EXP(-LN(2)/25))/(LN(2)/25)*Calculateur!DW144*Calculateur!DY144*VLOOKUP('Données projet'!$B$14,Paramètres!$A$1:$I$89,3,0)*0.475*44/12</f>
        <v>4.4979877096662131</v>
      </c>
      <c r="EC144" s="23">
        <f>EXP(-LN(2)/2)*EC143+(1-EXP(-LN(2)/2))/(LN(2)/2)*DW144*DZ144*VLOOKUP('Données projet'!$B$14,Paramètres!$A$1:$I$89,3,0)*0.475*44/12</f>
        <v>9.5039768212095533E-12</v>
      </c>
      <c r="ED144" s="24">
        <f t="shared" si="126"/>
        <v>53.116415637505639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-2.8421709430404007E-14</v>
      </c>
      <c r="EK144" s="18">
        <f>EJ144*VLOOKUP('Données projet'!$B$15,Paramètres!$A$1:$I$89,3,0)*VLOOKUP('Données projet'!$B$15,Paramètres!$A$1:$I$89,5,0)</f>
        <v>-2.2168933355715127E-14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144.92790055195192</v>
      </c>
      <c r="EP144" s="62">
        <f t="shared" si="154"/>
        <v>151.00642748754026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12.235419495826115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12.235419495826115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-1.7053025658242404E-13</v>
      </c>
      <c r="O145" s="14">
        <f>N145*VLOOKUP('Données projet'!$B$9,Paramètres!$A$1:$I$89,3,0)*VLOOKUP('Données projet'!$B$9,Paramètres!$A$1:$I$89,5,0)</f>
        <v>-1.383341441396624E-13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259.10606516000064</v>
      </c>
      <c r="T145" s="62">
        <f t="shared" si="142"/>
        <v>316.57989180609252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20.137093985658037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20.137093985658037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186.83226999296298</v>
      </c>
      <c r="AO145" s="62">
        <f t="shared" si="144"/>
        <v>232.70925470547317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24.099823069405659</v>
      </c>
      <c r="AV145" s="23">
        <f>EXP(-LN(2)/25)*AV144+(1-EXP(-LN(2)/25))/(LN(2)/25)*Calculateur!AQ145*Calculateur!AS145*VLOOKUP('Données projet'!$B$10,Paramètres!$A$1:$I$89,3,0)*0.475*44/12</f>
        <v>1.3787376046186812</v>
      </c>
      <c r="AW145" s="23">
        <f>EXP(-LN(2)/2)*AW144+(1-EXP(-LN(2)/2))/(LN(2)/2)*AQ145*AT145*VLOOKUP('Données projet'!$B$10,Paramètres!$A$1:$I$89,3,0)*0.475*44/12</f>
        <v>3.4148099504316417E-12</v>
      </c>
      <c r="AX145" s="23">
        <f t="shared" si="114"/>
        <v>25.478560674027754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-2.2737367544323206E-13</v>
      </c>
      <c r="BE145" s="14">
        <f>BD145*VLOOKUP('Données projet'!$B$11,Paramètres!$A$1:$I$89,3,0)*VLOOKUP('Données projet'!$B$11,Paramètres!$A$1:$I$89,5,0)</f>
        <v>-2.0572770154103635E-13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435.70500547084868</v>
      </c>
      <c r="BJ145" s="62">
        <f t="shared" si="146"/>
        <v>297.32483725004136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78.381496291234569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78.381496291234569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-2.2737367544323206E-13</v>
      </c>
      <c r="BZ145" s="14">
        <f>BY145*VLOOKUP('Données projet'!$B$12,Paramètres!$A$1:$I$89,3,0)*VLOOKUP('Données projet'!$B$12,Paramètres!$A$1:$I$89,5,0)</f>
        <v>-2.5893314159475268E-13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530.15080507516973</v>
      </c>
      <c r="CE145" s="62">
        <f t="shared" si="148"/>
        <v>358.10331902702217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98.652572918278011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98.652572918278011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-4.8771653382573282E-14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182.98212193167009</v>
      </c>
      <c r="CZ145" s="62">
        <f t="shared" si="150"/>
        <v>195.9200038944301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21.664670242081286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21.664670242081286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2.2737367544323206E-13</v>
      </c>
      <c r="DP145" s="18">
        <f>DO145*VLOOKUP('Données projet'!$B$14,Paramètres!$A$1:$I$89,3,0)*VLOOKUP('Données projet'!$B$14,Paramètres!$A$1:$I$89,5,0)</f>
        <v>1.0049916454590858E-13</v>
      </c>
      <c r="DQ145" s="14">
        <f t="shared" si="151"/>
        <v>1.5089081593838289E-12</v>
      </c>
      <c r="DR145" s="22">
        <f t="shared" si="124"/>
        <v>2.8030510891776262E-12</v>
      </c>
      <c r="DS145" s="62">
        <f t="shared" si="125"/>
        <v>285.69515750306186</v>
      </c>
      <c r="DT145" s="62">
        <f ca="1">AVERAGE(OFFSET($DS$3,0,0,'Données projet'!$E$14+1,1))-AVERAGE(OFFSET($H$3,0,0,'Données projet'!$E$14+1,1))</f>
        <v>338.33525241236157</v>
      </c>
      <c r="DU145" s="62">
        <f t="shared" si="152"/>
        <v>373.47257029791717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47.665050210478093</v>
      </c>
      <c r="EB145" s="23">
        <f>EXP(-LN(2)/25)*EB144+(1-EXP(-LN(2)/25))/(LN(2)/25)*Calculateur!DW145*Calculateur!DY145*VLOOKUP('Données projet'!$B$14,Paramètres!$A$1:$I$89,3,0)*0.475*44/12</f>
        <v>4.3749899992064973</v>
      </c>
      <c r="EC145" s="23">
        <f>EXP(-LN(2)/2)*EC144+(1-EXP(-LN(2)/2))/(LN(2)/2)*DW145*DZ145*VLOOKUP('Données projet'!$B$14,Paramètres!$A$1:$I$89,3,0)*0.475*44/12</f>
        <v>6.7203264585170432E-12</v>
      </c>
      <c r="ED145" s="24">
        <f t="shared" si="126"/>
        <v>52.040040209691313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-2.8421709430404007E-14</v>
      </c>
      <c r="EK145" s="18">
        <f>EJ145*VLOOKUP('Données projet'!$B$15,Paramètres!$A$1:$I$89,3,0)*VLOOKUP('Données projet'!$B$15,Paramètres!$A$1:$I$89,5,0)</f>
        <v>-2.2168933355715127E-14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144.92790055195192</v>
      </c>
      <c r="EP145" s="62">
        <f t="shared" si="154"/>
        <v>151.00642748754026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11.995490382381959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11.995490382381959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-1.7053025658242404E-13</v>
      </c>
      <c r="O146" s="14">
        <f>N146*VLOOKUP('Données projet'!$B$9,Paramètres!$A$1:$I$89,3,0)*VLOOKUP('Données projet'!$B$9,Paramètres!$A$1:$I$89,5,0)</f>
        <v>-1.383341441396624E-13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259.10606516000064</v>
      </c>
      <c r="T146" s="62">
        <f t="shared" si="142"/>
        <v>316.57989180609252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19.742217855013827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19.742217855013827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186.83226999296298</v>
      </c>
      <c r="AO146" s="62">
        <f t="shared" si="144"/>
        <v>232.70925470547317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23.627240238455236</v>
      </c>
      <c r="AV146" s="23">
        <f>EXP(-LN(2)/25)*AV145+(1-EXP(-LN(2)/25))/(LN(2)/25)*Calculateur!AQ146*Calculateur!AS146*VLOOKUP('Données projet'!$B$10,Paramètres!$A$1:$I$89,3,0)*0.475*44/12</f>
        <v>1.3410359523157238</v>
      </c>
      <c r="AW146" s="23">
        <f>EXP(-LN(2)/2)*AW145+(1-EXP(-LN(2)/2))/(LN(2)/2)*AQ146*AT146*VLOOKUP('Données projet'!$B$10,Paramètres!$A$1:$I$89,3,0)*0.475*44/12</f>
        <v>2.414635272413512E-12</v>
      </c>
      <c r="AX146" s="23">
        <f t="shared" si="114"/>
        <v>24.968276190773377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-2.2737367544323206E-13</v>
      </c>
      <c r="BE146" s="14">
        <f>BD146*VLOOKUP('Données projet'!$B$11,Paramètres!$A$1:$I$89,3,0)*VLOOKUP('Données projet'!$B$11,Paramètres!$A$1:$I$89,5,0)</f>
        <v>-2.0572770154103635E-13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435.70500547084868</v>
      </c>
      <c r="BJ146" s="62">
        <f t="shared" si="146"/>
        <v>297.32483725004136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76.844482956955545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76.844482956955545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-2.2737367544323206E-13</v>
      </c>
      <c r="BZ146" s="14">
        <f>BY146*VLOOKUP('Données projet'!$B$12,Paramètres!$A$1:$I$89,3,0)*VLOOKUP('Données projet'!$B$12,Paramètres!$A$1:$I$89,5,0)</f>
        <v>-2.5893314159475268E-13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530.15080507516973</v>
      </c>
      <c r="CE146" s="62">
        <f t="shared" si="148"/>
        <v>358.10331902702217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96.718056135478562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96.718056135478562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-4.8771653382573282E-14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182.98212193167009</v>
      </c>
      <c r="CZ146" s="62">
        <f t="shared" si="150"/>
        <v>195.9200038944301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21.239839272778131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21.239839272778131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2.2737367544323206E-13</v>
      </c>
      <c r="DP146" s="18">
        <f>DO146*VLOOKUP('Données projet'!$B$14,Paramètres!$A$1:$I$89,3,0)*VLOOKUP('Données projet'!$B$14,Paramètres!$A$1:$I$89,5,0)</f>
        <v>1.0049916454590858E-13</v>
      </c>
      <c r="DQ146" s="14">
        <f t="shared" si="151"/>
        <v>1.5089081593838289E-12</v>
      </c>
      <c r="DR146" s="22">
        <f t="shared" si="124"/>
        <v>2.8030510891776262E-12</v>
      </c>
      <c r="DS146" s="62">
        <f t="shared" si="125"/>
        <v>285.82766277731423</v>
      </c>
      <c r="DT146" s="62">
        <f ca="1">AVERAGE(OFFSET($DS$3,0,0,'Données projet'!$E$14+1,1))-AVERAGE(OFFSET($H$3,0,0,'Données projet'!$E$14+1,1))</f>
        <v>338.33525241236157</v>
      </c>
      <c r="DU146" s="62">
        <f t="shared" si="152"/>
        <v>373.47257029791717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46.730367648660547</v>
      </c>
      <c r="EB146" s="23">
        <f>EXP(-LN(2)/25)*EB145+(1-EXP(-LN(2)/25))/(LN(2)/25)*Calculateur!DW146*Calculateur!DY146*VLOOKUP('Données projet'!$B$14,Paramètres!$A$1:$I$89,3,0)*0.475*44/12</f>
        <v>4.2553556676074704</v>
      </c>
      <c r="EC146" s="23">
        <f>EXP(-LN(2)/2)*EC145+(1-EXP(-LN(2)/2))/(LN(2)/2)*DW146*DZ146*VLOOKUP('Données projet'!$B$14,Paramètres!$A$1:$I$89,3,0)*0.475*44/12</f>
        <v>4.7519884106047767E-12</v>
      </c>
      <c r="ED146" s="24">
        <f t="shared" si="126"/>
        <v>50.985723316272768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-2.8421709430404007E-14</v>
      </c>
      <c r="EK146" s="18">
        <f>EJ146*VLOOKUP('Données projet'!$B$15,Paramètres!$A$1:$I$89,3,0)*VLOOKUP('Données projet'!$B$15,Paramètres!$A$1:$I$89,5,0)</f>
        <v>-2.2168933355715127E-14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144.92790055195192</v>
      </c>
      <c r="EP146" s="62">
        <f t="shared" si="154"/>
        <v>151.00642748754026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11.760266132510136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11.760266132510136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-1.7053025658242404E-13</v>
      </c>
      <c r="O147" s="14">
        <f>N147*VLOOKUP('Données projet'!$B$9,Paramètres!$A$1:$I$89,3,0)*VLOOKUP('Données projet'!$B$9,Paramètres!$A$1:$I$89,5,0)</f>
        <v>-1.383341441396624E-13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259.10606516000064</v>
      </c>
      <c r="T147" s="62">
        <f t="shared" si="142"/>
        <v>316.57989180609252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19.355085004440891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19.355085004440891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186.83226999296298</v>
      </c>
      <c r="AO147" s="62">
        <f t="shared" si="144"/>
        <v>232.70925470547317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23.163924468572688</v>
      </c>
      <c r="AV147" s="23">
        <f>EXP(-LN(2)/25)*AV146+(1-EXP(-LN(2)/25))/(LN(2)/25)*Calculateur!AQ147*Calculateur!AS147*VLOOKUP('Données projet'!$B$10,Paramètres!$A$1:$I$89,3,0)*0.475*44/12</f>
        <v>1.3043652536776347</v>
      </c>
      <c r="AW147" s="23">
        <f>EXP(-LN(2)/2)*AW146+(1-EXP(-LN(2)/2))/(LN(2)/2)*AQ147*AT147*VLOOKUP('Données projet'!$B$10,Paramètres!$A$1:$I$89,3,0)*0.475*44/12</f>
        <v>1.7074049752158209E-12</v>
      </c>
      <c r="AX147" s="23">
        <f t="shared" si="114"/>
        <v>24.468289722252031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-2.2737367544323206E-13</v>
      </c>
      <c r="BE147" s="14">
        <f>BD147*VLOOKUP('Données projet'!$B$11,Paramètres!$A$1:$I$89,3,0)*VLOOKUP('Données projet'!$B$11,Paramètres!$A$1:$I$89,5,0)</f>
        <v>-2.0572770154103635E-13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435.70500547084868</v>
      </c>
      <c r="BJ147" s="62">
        <f t="shared" si="146"/>
        <v>297.32483725004136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75.337609516676167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75.337609516676167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-2.2737367544323206E-13</v>
      </c>
      <c r="BZ147" s="14">
        <f>BY147*VLOOKUP('Données projet'!$B$12,Paramètres!$A$1:$I$89,3,0)*VLOOKUP('Données projet'!$B$12,Paramètres!$A$1:$I$89,5,0)</f>
        <v>-2.5893314159475268E-13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530.15080507516973</v>
      </c>
      <c r="CE147" s="62">
        <f t="shared" si="148"/>
        <v>358.10331902702217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94.82147404685108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94.82147404685108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-4.8771653382573282E-14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182.98212193167009</v>
      </c>
      <c r="CZ147" s="62">
        <f t="shared" si="150"/>
        <v>195.9200038944301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20.823338979661706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20.823338979661706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2.2737367544323206E-13</v>
      </c>
      <c r="DP147" s="18">
        <f>DO147*VLOOKUP('Données projet'!$B$14,Paramètres!$A$1:$I$89,3,0)*VLOOKUP('Données projet'!$B$14,Paramètres!$A$1:$I$89,5,0)</f>
        <v>1.0049916454590858E-13</v>
      </c>
      <c r="DQ147" s="14">
        <f t="shared" si="151"/>
        <v>1.5089081593838289E-12</v>
      </c>
      <c r="DR147" s="22">
        <f t="shared" si="124"/>
        <v>2.8030510891776262E-12</v>
      </c>
      <c r="DS147" s="62">
        <f t="shared" si="125"/>
        <v>285.95786938129567</v>
      </c>
      <c r="DT147" s="62">
        <f ca="1">AVERAGE(OFFSET($DS$3,0,0,'Données projet'!$E$14+1,1))-AVERAGE(OFFSET($H$3,0,0,'Données projet'!$E$14+1,1))</f>
        <v>338.33525241236157</v>
      </c>
      <c r="DU147" s="62">
        <f t="shared" si="152"/>
        <v>373.47257029791717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45.814013641780171</v>
      </c>
      <c r="EB147" s="23">
        <f>EXP(-LN(2)/25)*EB146+(1-EXP(-LN(2)/25))/(LN(2)/25)*Calculateur!DW147*Calculateur!DY147*VLOOKUP('Données projet'!$B$14,Paramètres!$A$1:$I$89,3,0)*0.475*44/12</f>
        <v>4.1389927430973152</v>
      </c>
      <c r="EC147" s="23">
        <f>EXP(-LN(2)/2)*EC146+(1-EXP(-LN(2)/2))/(LN(2)/2)*DW147*DZ147*VLOOKUP('Données projet'!$B$14,Paramètres!$A$1:$I$89,3,0)*0.475*44/12</f>
        <v>3.3601632292585216E-12</v>
      </c>
      <c r="ED147" s="24">
        <f t="shared" si="126"/>
        <v>49.953006384880844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-2.8421709430404007E-14</v>
      </c>
      <c r="EK147" s="18">
        <f>EJ147*VLOOKUP('Données projet'!$B$15,Paramètres!$A$1:$I$89,3,0)*VLOOKUP('Données projet'!$B$15,Paramètres!$A$1:$I$89,5,0)</f>
        <v>-2.2168933355715127E-14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144.92790055195192</v>
      </c>
      <c r="EP147" s="62">
        <f t="shared" si="154"/>
        <v>151.00642748754026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11.529654486705672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11.529654486705672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-1.7053025658242404E-13</v>
      </c>
      <c r="O148" s="14">
        <f>N148*VLOOKUP('Données projet'!$B$9,Paramètres!$A$1:$I$89,3,0)*VLOOKUP('Données projet'!$B$9,Paramètres!$A$1:$I$89,5,0)</f>
        <v>-1.383341441396624E-13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259.10606516000064</v>
      </c>
      <c r="T148" s="62">
        <f t="shared" si="142"/>
        <v>316.57989180609252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18.975543592939967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18.975543592939967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186.83226999296298</v>
      </c>
      <c r="AO148" s="62">
        <f t="shared" si="144"/>
        <v>232.70925470547317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22.709694038342821</v>
      </c>
      <c r="AV148" s="23">
        <f>EXP(-LN(2)/25)*AV147+(1-EXP(-LN(2)/25))/(LN(2)/25)*Calculateur!AQ148*Calculateur!AS148*VLOOKUP('Données projet'!$B$10,Paramètres!$A$1:$I$89,3,0)*0.475*44/12</f>
        <v>1.2686973172222322</v>
      </c>
      <c r="AW148" s="23">
        <f>EXP(-LN(2)/2)*AW147+(1-EXP(-LN(2)/2))/(LN(2)/2)*AQ148*AT148*VLOOKUP('Données projet'!$B$10,Paramètres!$A$1:$I$89,3,0)*0.475*44/12</f>
        <v>1.207317636206756E-12</v>
      </c>
      <c r="AX148" s="23">
        <f t="shared" si="114"/>
        <v>23.978391355566263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-2.2737367544323206E-13</v>
      </c>
      <c r="BE148" s="14">
        <f>BD148*VLOOKUP('Données projet'!$B$11,Paramètres!$A$1:$I$89,3,0)*VLOOKUP('Données projet'!$B$11,Paramètres!$A$1:$I$89,5,0)</f>
        <v>-2.0572770154103635E-13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435.70500547084868</v>
      </c>
      <c r="BJ148" s="62">
        <f t="shared" si="146"/>
        <v>297.32483725004136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73.860284945458631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73.860284945458631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-2.2737367544323206E-13</v>
      </c>
      <c r="BZ148" s="14">
        <f>BY148*VLOOKUP('Données projet'!$B$12,Paramètres!$A$1:$I$89,3,0)*VLOOKUP('Données projet'!$B$12,Paramètres!$A$1:$I$89,5,0)</f>
        <v>-2.5893314159475268E-13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530.15080507516973</v>
      </c>
      <c r="CE148" s="62">
        <f t="shared" si="148"/>
        <v>358.10331902702217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92.962082776180722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92.962082776180722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-4.8771653382573282E-14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182.98212193167009</v>
      </c>
      <c r="CZ148" s="62">
        <f t="shared" si="150"/>
        <v>195.9200038944301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20.4150060032532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20.4150060032532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2.2737367544323206E-13</v>
      </c>
      <c r="DP148" s="18">
        <f>DO148*VLOOKUP('Données projet'!$B$14,Paramètres!$A$1:$I$89,3,0)*VLOOKUP('Données projet'!$B$14,Paramètres!$A$1:$I$89,5,0)</f>
        <v>1.0049916454590858E-13</v>
      </c>
      <c r="DQ148" s="14">
        <f t="shared" si="151"/>
        <v>1.5089081593838289E-12</v>
      </c>
      <c r="DR148" s="22">
        <f t="shared" si="124"/>
        <v>2.8030510891776262E-12</v>
      </c>
      <c r="DS148" s="62">
        <f t="shared" si="125"/>
        <v>286.08581719179637</v>
      </c>
      <c r="DT148" s="62">
        <f ca="1">AVERAGE(OFFSET($DS$3,0,0,'Données projet'!$E$14+1,1))-AVERAGE(OFFSET($H$3,0,0,'Données projet'!$E$14+1,1))</f>
        <v>338.33525241236157</v>
      </c>
      <c r="DU148" s="62">
        <f t="shared" si="152"/>
        <v>373.47257029791717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44.915628778053964</v>
      </c>
      <c r="EB148" s="23">
        <f>EXP(-LN(2)/25)*EB147+(1-EXP(-LN(2)/25))/(LN(2)/25)*Calculateur!DW148*Calculateur!DY148*VLOOKUP('Données projet'!$B$14,Paramètres!$A$1:$I$89,3,0)*0.475*44/12</f>
        <v>4.0258117688771504</v>
      </c>
      <c r="EC148" s="23">
        <f>EXP(-LN(2)/2)*EC147+(1-EXP(-LN(2)/2))/(LN(2)/2)*DW148*DZ148*VLOOKUP('Données projet'!$B$14,Paramètres!$A$1:$I$89,3,0)*0.475*44/12</f>
        <v>2.3759942053023883E-12</v>
      </c>
      <c r="ED148" s="24">
        <f t="shared" si="126"/>
        <v>48.941440546933485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-2.8421709430404007E-14</v>
      </c>
      <c r="EK148" s="18">
        <f>EJ148*VLOOKUP('Données projet'!$B$15,Paramètres!$A$1:$I$89,3,0)*VLOOKUP('Données projet'!$B$15,Paramètres!$A$1:$I$89,5,0)</f>
        <v>-2.2168933355715127E-14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144.92790055195192</v>
      </c>
      <c r="EP148" s="62">
        <f t="shared" si="154"/>
        <v>151.00642748754026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11.30356499461622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11.30356499461622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-1.7053025658242404E-13</v>
      </c>
      <c r="O149" s="14">
        <f>N149*VLOOKUP('Données projet'!$B$9,Paramètres!$A$1:$I$89,3,0)*VLOOKUP('Données projet'!$B$9,Paramètres!$A$1:$I$89,5,0)</f>
        <v>-1.383341441396624E-13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259.10606516000064</v>
      </c>
      <c r="T149" s="62">
        <f t="shared" si="142"/>
        <v>316.57989180609252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18.603444757021176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18.603444757021176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186.83226999296298</v>
      </c>
      <c r="AO149" s="62">
        <f t="shared" si="144"/>
        <v>232.70925470547317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22.264370789796555</v>
      </c>
      <c r="AV149" s="23">
        <f>EXP(-LN(2)/25)*AV148+(1-EXP(-LN(2)/25))/(LN(2)/25)*Calculateur!AQ149*Calculateur!AS149*VLOOKUP('Données projet'!$B$10,Paramètres!$A$1:$I$89,3,0)*0.475*44/12</f>
        <v>1.234004722364898</v>
      </c>
      <c r="AW149" s="23">
        <f>EXP(-LN(2)/2)*AW148+(1-EXP(-LN(2)/2))/(LN(2)/2)*AQ149*AT149*VLOOKUP('Données projet'!$B$10,Paramètres!$A$1:$I$89,3,0)*0.475*44/12</f>
        <v>8.5370248760791043E-13</v>
      </c>
      <c r="AX149" s="23">
        <f t="shared" si="114"/>
        <v>23.498375512162305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-2.2737367544323206E-13</v>
      </c>
      <c r="BE149" s="14">
        <f>BD149*VLOOKUP('Données projet'!$B$11,Paramètres!$A$1:$I$89,3,0)*VLOOKUP('Données projet'!$B$11,Paramètres!$A$1:$I$89,5,0)</f>
        <v>-2.0572770154103635E-13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435.70500547084868</v>
      </c>
      <c r="BJ149" s="62">
        <f t="shared" si="146"/>
        <v>297.32483725004136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72.411929808003649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72.411929808003649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-2.2737367544323206E-13</v>
      </c>
      <c r="BZ149" s="14">
        <f>BY149*VLOOKUP('Données projet'!$B$12,Paramètres!$A$1:$I$89,3,0)*VLOOKUP('Données projet'!$B$12,Paramètres!$A$1:$I$89,5,0)</f>
        <v>-2.5893314159475268E-13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530.15080507516973</v>
      </c>
      <c r="CE149" s="62">
        <f t="shared" si="148"/>
        <v>358.10331902702217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91.139153034211532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91.139153034211532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-4.8771653382573282E-14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182.98212193167009</v>
      </c>
      <c r="CZ149" s="62">
        <f t="shared" si="150"/>
        <v>195.9200038944301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20.014680187453543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20.014680187453543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2.2737367544323206E-13</v>
      </c>
      <c r="DP149" s="18">
        <f>DO149*VLOOKUP('Données projet'!$B$14,Paramètres!$A$1:$I$89,3,0)*VLOOKUP('Données projet'!$B$14,Paramètres!$A$1:$I$89,5,0)</f>
        <v>1.0049916454590858E-13</v>
      </c>
      <c r="DQ149" s="14">
        <f t="shared" si="151"/>
        <v>1.5089081593838289E-12</v>
      </c>
      <c r="DR149" s="22">
        <f t="shared" si="124"/>
        <v>2.8030510891776262E-12</v>
      </c>
      <c r="DS149" s="62">
        <f t="shared" si="125"/>
        <v>286.21154539383343</v>
      </c>
      <c r="DT149" s="62">
        <f ca="1">AVERAGE(OFFSET($DS$3,0,0,'Données projet'!$E$14+1,1))-AVERAGE(OFFSET($H$3,0,0,'Données projet'!$E$14+1,1))</f>
        <v>338.33525241236157</v>
      </c>
      <c r="DU149" s="62">
        <f t="shared" si="152"/>
        <v>373.47257029791717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44.034860693544765</v>
      </c>
      <c r="EB149" s="23">
        <f>EXP(-LN(2)/25)*EB148+(1-EXP(-LN(2)/25))/(LN(2)/25)*Calculateur!DW149*Calculateur!DY149*VLOOKUP('Données projet'!$B$14,Paramètres!$A$1:$I$89,3,0)*0.475*44/12</f>
        <v>3.9157257343489649</v>
      </c>
      <c r="EC149" s="23">
        <f>EXP(-LN(2)/2)*EC148+(1-EXP(-LN(2)/2))/(LN(2)/2)*DW149*DZ149*VLOOKUP('Données projet'!$B$14,Paramètres!$A$1:$I$89,3,0)*0.475*44/12</f>
        <v>1.6800816146292608E-12</v>
      </c>
      <c r="ED149" s="24">
        <f t="shared" si="126"/>
        <v>47.950586427895409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-2.8421709430404007E-14</v>
      </c>
      <c r="EK149" s="18">
        <f>EJ149*VLOOKUP('Données projet'!$B$15,Paramètres!$A$1:$I$89,3,0)*VLOOKUP('Données projet'!$B$15,Paramètres!$A$1:$I$89,5,0)</f>
        <v>-2.2168933355715127E-14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144.92790055195192</v>
      </c>
      <c r="EP149" s="62">
        <f t="shared" si="154"/>
        <v>151.00642748754026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11.081908979565668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11.081908979565668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-1.7053025658242404E-13</v>
      </c>
      <c r="O150" s="14">
        <f>N150*VLOOKUP('Données projet'!$B$9,Paramètres!$A$1:$I$89,3,0)*VLOOKUP('Données projet'!$B$9,Paramètres!$A$1:$I$89,5,0)</f>
        <v>-1.383341441396624E-13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259.10606516000064</v>
      </c>
      <c r="T150" s="62">
        <f t="shared" si="142"/>
        <v>316.57989180609252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18.238642552316872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18.238642552316872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186.83226999296298</v>
      </c>
      <c r="AO150" s="62">
        <f t="shared" si="144"/>
        <v>232.70925470547317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21.827780058533921</v>
      </c>
      <c r="AV150" s="23">
        <f>EXP(-LN(2)/25)*AV149+(1-EXP(-LN(2)/25))/(LN(2)/25)*Calculateur!AQ150*Calculateur!AS150*VLOOKUP('Données projet'!$B$10,Paramètres!$A$1:$I$89,3,0)*0.475*44/12</f>
        <v>1.2002607983383418</v>
      </c>
      <c r="AW150" s="23">
        <f>EXP(-LN(2)/2)*AW149+(1-EXP(-LN(2)/2))/(LN(2)/2)*AQ150*AT150*VLOOKUP('Données projet'!$B$10,Paramètres!$A$1:$I$89,3,0)*0.475*44/12</f>
        <v>6.0365881810337801E-13</v>
      </c>
      <c r="AX150" s="23">
        <f t="shared" si="114"/>
        <v>23.028040856872867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-2.2737367544323206E-13</v>
      </c>
      <c r="BE150" s="14">
        <f>BD150*VLOOKUP('Données projet'!$B$11,Paramètres!$A$1:$I$89,3,0)*VLOOKUP('Données projet'!$B$11,Paramètres!$A$1:$I$89,5,0)</f>
        <v>-2.0572770154103635E-13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435.70500547084868</v>
      </c>
      <c r="BJ150" s="62">
        <f t="shared" si="146"/>
        <v>297.32483725004136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70.991976031384766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70.991976031384766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-2.2737367544323206E-13</v>
      </c>
      <c r="BZ150" s="14">
        <f>BY150*VLOOKUP('Données projet'!$B$12,Paramètres!$A$1:$I$89,3,0)*VLOOKUP('Données projet'!$B$12,Paramètres!$A$1:$I$89,5,0)</f>
        <v>-2.5893314159475268E-13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530.15080507516973</v>
      </c>
      <c r="CE150" s="62">
        <f t="shared" si="148"/>
        <v>358.10331902702217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89.351969832604993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89.351969832604993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-4.8771653382573282E-14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182.98212193167009</v>
      </c>
      <c r="CZ150" s="62">
        <f t="shared" si="150"/>
        <v>195.9200038944301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19.622204516727077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19.622204516727077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2.2737367544323206E-13</v>
      </c>
      <c r="DP150" s="18">
        <f>DO150*VLOOKUP('Données projet'!$B$14,Paramètres!$A$1:$I$89,3,0)*VLOOKUP('Données projet'!$B$14,Paramètres!$A$1:$I$89,5,0)</f>
        <v>1.0049916454590858E-13</v>
      </c>
      <c r="DQ150" s="14">
        <f t="shared" si="151"/>
        <v>1.5089081593838289E-12</v>
      </c>
      <c r="DR150" s="22">
        <f t="shared" si="124"/>
        <v>2.8030510891776262E-12</v>
      </c>
      <c r="DS150" s="62">
        <f t="shared" si="125"/>
        <v>286.3350924926512</v>
      </c>
      <c r="DT150" s="62">
        <f ca="1">AVERAGE(OFFSET($DS$3,0,0,'Données projet'!$E$14+1,1))-AVERAGE(OFFSET($H$3,0,0,'Données projet'!$E$14+1,1))</f>
        <v>338.33525241236157</v>
      </c>
      <c r="DU150" s="62">
        <f t="shared" si="152"/>
        <v>373.47257029791717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43.171363933957309</v>
      </c>
      <c r="EB150" s="23">
        <f>EXP(-LN(2)/25)*EB149+(1-EXP(-LN(2)/25))/(LN(2)/25)*Calculateur!DW150*Calculateur!DY150*VLOOKUP('Données projet'!$B$14,Paramètres!$A$1:$I$89,3,0)*0.475*44/12</f>
        <v>3.8086500082241255</v>
      </c>
      <c r="EC150" s="23">
        <f>EXP(-LN(2)/2)*EC149+(1-EXP(-LN(2)/2))/(LN(2)/2)*DW150*DZ150*VLOOKUP('Données projet'!$B$14,Paramètres!$A$1:$I$89,3,0)*0.475*44/12</f>
        <v>1.1879971026511942E-12</v>
      </c>
      <c r="ED150" s="24">
        <f t="shared" si="126"/>
        <v>46.980013942182623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-2.8421709430404007E-14</v>
      </c>
      <c r="EK150" s="18">
        <f>EJ150*VLOOKUP('Données projet'!$B$15,Paramètres!$A$1:$I$89,3,0)*VLOOKUP('Données projet'!$B$15,Paramètres!$A$1:$I$89,5,0)</f>
        <v>-2.2168933355715127E-14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144.92790055195192</v>
      </c>
      <c r="EP150" s="62">
        <f t="shared" si="154"/>
        <v>151.00642748754026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10.864599503773437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10.864599503773437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-1.7053025658242404E-13</v>
      </c>
      <c r="O151" s="14">
        <f>N151*VLOOKUP('Données projet'!$B$9,Paramètres!$A$1:$I$89,3,0)*VLOOKUP('Données projet'!$B$9,Paramètres!$A$1:$I$89,5,0)</f>
        <v>-1.383341441396624E-13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259.10606516000064</v>
      </c>
      <c r="T151" s="62">
        <f t="shared" si="142"/>
        <v>316.57989180609252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17.880993896339444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17.880993896339444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186.83226999296298</v>
      </c>
      <c r="AO151" s="62">
        <f t="shared" si="144"/>
        <v>232.70925470547317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21.399750605217296</v>
      </c>
      <c r="AV151" s="23">
        <f>EXP(-LN(2)/25)*AV150+(1-EXP(-LN(2)/25))/(LN(2)/25)*Calculateur!AQ151*Calculateur!AS151*VLOOKUP('Données projet'!$B$10,Paramètres!$A$1:$I$89,3,0)*0.475*44/12</f>
        <v>1.1674396036888077</v>
      </c>
      <c r="AW151" s="23">
        <f>EXP(-LN(2)/2)*AW150+(1-EXP(-LN(2)/2))/(LN(2)/2)*AQ151*AT151*VLOOKUP('Données projet'!$B$10,Paramètres!$A$1:$I$89,3,0)*0.475*44/12</f>
        <v>4.2685124380395521E-13</v>
      </c>
      <c r="AX151" s="23">
        <f t="shared" si="114"/>
        <v>22.567190208906531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-2.2737367544323206E-13</v>
      </c>
      <c r="BE151" s="14">
        <f>BD151*VLOOKUP('Données projet'!$B$11,Paramètres!$A$1:$I$89,3,0)*VLOOKUP('Données projet'!$B$11,Paramètres!$A$1:$I$89,5,0)</f>
        <v>-2.0572770154103635E-13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435.70500547084868</v>
      </c>
      <c r="BJ151" s="62">
        <f t="shared" si="146"/>
        <v>297.32483725004136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69.599866682239082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69.599866682239082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-2.2737367544323206E-13</v>
      </c>
      <c r="BZ151" s="14">
        <f>BY151*VLOOKUP('Données projet'!$B$12,Paramètres!$A$1:$I$89,3,0)*VLOOKUP('Données projet'!$B$12,Paramètres!$A$1:$I$89,5,0)</f>
        <v>-2.5893314159475268E-13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530.15080507516973</v>
      </c>
      <c r="CE151" s="62">
        <f t="shared" si="148"/>
        <v>358.10331902702217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87.599832203507844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87.599832203507844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-4.8771653382573282E-14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182.98212193167009</v>
      </c>
      <c r="CZ151" s="62">
        <f t="shared" si="150"/>
        <v>195.9200038944301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19.237425054517036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19.237425054517036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2.2737367544323206E-13</v>
      </c>
      <c r="DP151" s="18">
        <f>DO151*VLOOKUP('Données projet'!$B$14,Paramètres!$A$1:$I$89,3,0)*VLOOKUP('Données projet'!$B$14,Paramètres!$A$1:$I$89,5,0)</f>
        <v>1.0049916454590858E-13</v>
      </c>
      <c r="DQ151" s="14">
        <f t="shared" si="151"/>
        <v>1.5089081593838289E-12</v>
      </c>
      <c r="DR151" s="22">
        <f t="shared" si="124"/>
        <v>2.8030510891776262E-12</v>
      </c>
      <c r="DS151" s="62">
        <f t="shared" si="125"/>
        <v>286.45649632551448</v>
      </c>
      <c r="DT151" s="62">
        <f ca="1">AVERAGE(OFFSET($DS$3,0,0,'Données projet'!$E$14+1,1))-AVERAGE(OFFSET($H$3,0,0,'Données projet'!$E$14+1,1))</f>
        <v>338.33525241236157</v>
      </c>
      <c r="DU151" s="62">
        <f t="shared" si="152"/>
        <v>373.47257029791717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42.324799819144346</v>
      </c>
      <c r="EB151" s="23">
        <f>EXP(-LN(2)/25)*EB150+(1-EXP(-LN(2)/25))/(LN(2)/25)*Calculateur!DW151*Calculateur!DY151*VLOOKUP('Données projet'!$B$14,Paramètres!$A$1:$I$89,3,0)*0.475*44/12</f>
        <v>3.7045022734610376</v>
      </c>
      <c r="EC151" s="23">
        <f>EXP(-LN(2)/2)*EC150+(1-EXP(-LN(2)/2))/(LN(2)/2)*DW151*DZ151*VLOOKUP('Données projet'!$B$14,Paramètres!$A$1:$I$89,3,0)*0.475*44/12</f>
        <v>8.400408073146304E-13</v>
      </c>
      <c r="ED151" s="24">
        <f t="shared" si="126"/>
        <v>46.029302092606223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-2.8421709430404007E-14</v>
      </c>
      <c r="EK151" s="18">
        <f>EJ151*VLOOKUP('Données projet'!$B$15,Paramètres!$A$1:$I$89,3,0)*VLOOKUP('Données projet'!$B$15,Paramètres!$A$1:$I$89,5,0)</f>
        <v>-2.2168933355715127E-14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144.92790055195192</v>
      </c>
      <c r="EP151" s="62">
        <f t="shared" si="154"/>
        <v>151.00642748754026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10.651551334255799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10.651551334255799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-1.7053025658242404E-13</v>
      </c>
      <c r="O152" s="14">
        <f>N152*VLOOKUP('Données projet'!$B$9,Paramètres!$A$1:$I$89,3,0)*VLOOKUP('Données projet'!$B$9,Paramètres!$A$1:$I$89,5,0)</f>
        <v>-1.383341441396624E-13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259.10606516000064</v>
      </c>
      <c r="T152" s="62">
        <f t="shared" si="142"/>
        <v>316.57989180609252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17.530358512361595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17.530358512361595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186.83226999296298</v>
      </c>
      <c r="AO152" s="62">
        <f t="shared" si="144"/>
        <v>232.70925470547317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20.980114548408022</v>
      </c>
      <c r="AV152" s="23">
        <f>EXP(-LN(2)/25)*AV151+(1-EXP(-LN(2)/25))/(LN(2)/25)*Calculateur!AQ152*Calculateur!AS152*VLOOKUP('Données projet'!$B$10,Paramètres!$A$1:$I$89,3,0)*0.475*44/12</f>
        <v>1.1355159063329567</v>
      </c>
      <c r="AW152" s="23">
        <f>EXP(-LN(2)/2)*AW151+(1-EXP(-LN(2)/2))/(LN(2)/2)*AQ152*AT152*VLOOKUP('Données projet'!$B$10,Paramètres!$A$1:$I$89,3,0)*0.475*44/12</f>
        <v>3.0182940905168901E-13</v>
      </c>
      <c r="AX152" s="23">
        <f t="shared" si="114"/>
        <v>22.115630454741279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-2.2737367544323206E-13</v>
      </c>
      <c r="BE152" s="14">
        <f>BD152*VLOOKUP('Données projet'!$B$11,Paramètres!$A$1:$I$89,3,0)*VLOOKUP('Données projet'!$B$11,Paramètres!$A$1:$I$89,5,0)</f>
        <v>-2.0572770154103635E-13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435.70500547084868</v>
      </c>
      <c r="BJ152" s="62">
        <f t="shared" si="146"/>
        <v>297.32483725004136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68.235055748327284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68.235055748327284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-2.2737367544323206E-13</v>
      </c>
      <c r="BZ152" s="14">
        <f>BY152*VLOOKUP('Données projet'!$B$12,Paramètres!$A$1:$I$89,3,0)*VLOOKUP('Données projet'!$B$12,Paramètres!$A$1:$I$89,5,0)</f>
        <v>-2.5893314159475268E-13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530.15080507516973</v>
      </c>
      <c r="CE152" s="62">
        <f t="shared" si="148"/>
        <v>358.10331902702217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85.882052924618861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85.882052924618861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-4.8771653382573282E-14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182.98212193167009</v>
      </c>
      <c r="CZ152" s="62">
        <f t="shared" si="150"/>
        <v>195.9200038944301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18.860190882868636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18.860190882868636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2.2737367544323206E-13</v>
      </c>
      <c r="DP152" s="18">
        <f>DO152*VLOOKUP('Données projet'!$B$14,Paramètres!$A$1:$I$89,3,0)*VLOOKUP('Données projet'!$B$14,Paramètres!$A$1:$I$89,5,0)</f>
        <v>1.0049916454590858E-13</v>
      </c>
      <c r="DQ152" s="14">
        <f t="shared" si="151"/>
        <v>1.5089081593838289E-12</v>
      </c>
      <c r="DR152" s="22">
        <f t="shared" si="124"/>
        <v>2.8030510891776262E-12</v>
      </c>
      <c r="DS152" s="62">
        <f t="shared" si="125"/>
        <v>286.57579407329587</v>
      </c>
      <c r="DT152" s="62">
        <f ca="1">AVERAGE(OFFSET($DS$3,0,0,'Données projet'!$E$14+1,1))-AVERAGE(OFFSET($H$3,0,0,'Données projet'!$E$14+1,1))</f>
        <v>338.33525241236157</v>
      </c>
      <c r="DU152" s="62">
        <f t="shared" si="152"/>
        <v>373.47257029791717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41.49483631026974</v>
      </c>
      <c r="EB152" s="23">
        <f>EXP(-LN(2)/25)*EB151+(1-EXP(-LN(2)/25))/(LN(2)/25)*Calculateur!DW152*Calculateur!DY152*VLOOKUP('Données projet'!$B$14,Paramètres!$A$1:$I$89,3,0)*0.475*44/12</f>
        <v>3.6032024639819378</v>
      </c>
      <c r="EC152" s="23">
        <f>EXP(-LN(2)/2)*EC151+(1-EXP(-LN(2)/2))/(LN(2)/2)*DW152*DZ152*VLOOKUP('Données projet'!$B$14,Paramètres!$A$1:$I$89,3,0)*0.475*44/12</f>
        <v>5.9399855132559708E-13</v>
      </c>
      <c r="ED152" s="24">
        <f t="shared" si="126"/>
        <v>45.098038774252274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-2.8421709430404007E-14</v>
      </c>
      <c r="EK152" s="18">
        <f>EJ152*VLOOKUP('Données projet'!$B$15,Paramètres!$A$1:$I$89,3,0)*VLOOKUP('Données projet'!$B$15,Paramètres!$A$1:$I$89,5,0)</f>
        <v>-2.2168933355715127E-14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144.92790055195192</v>
      </c>
      <c r="EP152" s="62">
        <f t="shared" si="154"/>
        <v>151.00642748754026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10.44268090939585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10.44268090939585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-1.7053025658242404E-13</v>
      </c>
      <c r="O153" s="14">
        <f>N153*VLOOKUP('Données projet'!$B$9,Paramètres!$A$1:$I$89,3,0)*VLOOKUP('Données projet'!$B$9,Paramètres!$A$1:$I$89,5,0)</f>
        <v>-1.383341441396624E-13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259.10606516000064</v>
      </c>
      <c r="T153" s="62">
        <f t="shared" si="142"/>
        <v>316.57989180609252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17.186598874397085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17.186598874397085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186.83226999296298</v>
      </c>
      <c r="AO153" s="62">
        <f t="shared" si="144"/>
        <v>232.70925470547317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20.568707298720057</v>
      </c>
      <c r="AV153" s="23">
        <f>EXP(-LN(2)/25)*AV152+(1-EXP(-LN(2)/25))/(LN(2)/25)*Calculateur!AQ153*Calculateur!AS153*VLOOKUP('Données projet'!$B$10,Paramètres!$A$1:$I$89,3,0)*0.475*44/12</f>
        <v>1.1044651641600958</v>
      </c>
      <c r="AW153" s="23">
        <f>EXP(-LN(2)/2)*AW152+(1-EXP(-LN(2)/2))/(LN(2)/2)*AQ153*AT153*VLOOKUP('Données projet'!$B$10,Paramètres!$A$1:$I$89,3,0)*0.475*44/12</f>
        <v>2.1342562190197761E-13</v>
      </c>
      <c r="AX153" s="23">
        <f t="shared" si="114"/>
        <v>21.673172462880366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-2.2737367544323206E-13</v>
      </c>
      <c r="BE153" s="14">
        <f>BD153*VLOOKUP('Données projet'!$B$11,Paramètres!$A$1:$I$89,3,0)*VLOOKUP('Données projet'!$B$11,Paramètres!$A$1:$I$89,5,0)</f>
        <v>-2.0572770154103635E-13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435.70500547084868</v>
      </c>
      <c r="BJ153" s="62">
        <f t="shared" si="146"/>
        <v>297.32483725004136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66.897007924377036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66.897007924377036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-2.2737367544323206E-13</v>
      </c>
      <c r="BZ153" s="14">
        <f>BY153*VLOOKUP('Données projet'!$B$12,Paramètres!$A$1:$I$89,3,0)*VLOOKUP('Données projet'!$B$12,Paramètres!$A$1:$I$89,5,0)</f>
        <v>-2.5893314159475268E-13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530.15080507516973</v>
      </c>
      <c r="CE153" s="62">
        <f t="shared" si="148"/>
        <v>358.10331902702217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84.197958249646987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84.197958249646987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-4.8771653382573282E-14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182.98212193167009</v>
      </c>
      <c r="CZ153" s="62">
        <f t="shared" si="150"/>
        <v>195.9200038944301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18.490354043236138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18.490354043236138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2.2737367544323206E-13</v>
      </c>
      <c r="DP153" s="18">
        <f>DO153*VLOOKUP('Données projet'!$B$14,Paramètres!$A$1:$I$89,3,0)*VLOOKUP('Données projet'!$B$14,Paramètres!$A$1:$I$89,5,0)</f>
        <v>1.0049916454590858E-13</v>
      </c>
      <c r="DQ153" s="14">
        <f t="shared" si="151"/>
        <v>1.5089081593838289E-12</v>
      </c>
      <c r="DR153" s="22">
        <f t="shared" si="124"/>
        <v>2.8030510891776262E-12</v>
      </c>
      <c r="DS153" s="62">
        <f t="shared" si="125"/>
        <v>286.69302227186313</v>
      </c>
      <c r="DT153" s="62">
        <f ca="1">AVERAGE(OFFSET($DS$3,0,0,'Données projet'!$E$14+1,1))-AVERAGE(OFFSET($H$3,0,0,'Données projet'!$E$14+1,1))</f>
        <v>338.33525241236157</v>
      </c>
      <c r="DU153" s="62">
        <f t="shared" si="152"/>
        <v>373.47257029791717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40.681147879576407</v>
      </c>
      <c r="EB153" s="23">
        <f>EXP(-LN(2)/25)*EB152+(1-EXP(-LN(2)/25))/(LN(2)/25)*Calculateur!DW153*Calculateur!DY153*VLOOKUP('Données projet'!$B$14,Paramètres!$A$1:$I$89,3,0)*0.475*44/12</f>
        <v>3.5046727031201694</v>
      </c>
      <c r="EC153" s="23">
        <f>EXP(-LN(2)/2)*EC152+(1-EXP(-LN(2)/2))/(LN(2)/2)*DW153*DZ153*VLOOKUP('Données projet'!$B$14,Paramètres!$A$1:$I$89,3,0)*0.475*44/12</f>
        <v>4.200204036573152E-13</v>
      </c>
      <c r="ED153" s="24">
        <f t="shared" si="126"/>
        <v>44.185820582696998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-2.8421709430404007E-14</v>
      </c>
      <c r="EK153" s="18">
        <f>EJ153*VLOOKUP('Données projet'!$B$15,Paramètres!$A$1:$I$89,3,0)*VLOOKUP('Données projet'!$B$15,Paramètres!$A$1:$I$89,5,0)</f>
        <v>-2.2168933355715127E-14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144.92790055195192</v>
      </c>
      <c r="EP153" s="62">
        <f t="shared" si="154"/>
        <v>151.00642748754026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10.237906306169025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10.237906306169025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-1.7053025658242404E-13</v>
      </c>
      <c r="O154" s="14">
        <f>N154*VLOOKUP('Données projet'!$B$9,Paramètres!$A$1:$I$89,3,0)*VLOOKUP('Données projet'!$B$9,Paramètres!$A$1:$I$89,5,0)</f>
        <v>-1.383341441396624E-13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259.10606516000064</v>
      </c>
      <c r="T154" s="62">
        <f t="shared" si="142"/>
        <v>316.57989180609252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16.84958015326038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16.84958015326038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186.83226999296298</v>
      </c>
      <c r="AO154" s="62">
        <f t="shared" si="144"/>
        <v>232.70925470547317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20.165367494264824</v>
      </c>
      <c r="AV154" s="23">
        <f>EXP(-LN(2)/25)*AV153+(1-EXP(-LN(2)/25))/(LN(2)/25)*Calculateur!AQ154*Calculateur!AS154*VLOOKUP('Données projet'!$B$10,Paramètres!$A$1:$I$89,3,0)*0.475*44/12</f>
        <v>1.0742635061648393</v>
      </c>
      <c r="AW154" s="23">
        <f>EXP(-LN(2)/2)*AW153+(1-EXP(-LN(2)/2))/(LN(2)/2)*AQ154*AT154*VLOOKUP('Données projet'!$B$10,Paramètres!$A$1:$I$89,3,0)*0.475*44/12</f>
        <v>1.509147045258445E-13</v>
      </c>
      <c r="AX154" s="23">
        <f t="shared" ref="AX154:AX203" si="166">SUM(AU154:AW154)</f>
        <v>21.239631000429814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-2.2737367544323206E-13</v>
      </c>
      <c r="BE154" s="14">
        <f>BD154*VLOOKUP('Données projet'!$B$11,Paramètres!$A$1:$I$89,3,0)*VLOOKUP('Données projet'!$B$11,Paramètres!$A$1:$I$89,5,0)</f>
        <v>-2.0572770154103635E-13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435.70500547084868</v>
      </c>
      <c r="BJ154" s="62">
        <f t="shared" si="146"/>
        <v>297.32483725004136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65.585198402125854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65.585198402125854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-2.2737367544323206E-13</v>
      </c>
      <c r="BZ154" s="14">
        <f>BY154*VLOOKUP('Données projet'!$B$12,Paramètres!$A$1:$I$89,3,0)*VLOOKUP('Données projet'!$B$12,Paramètres!$A$1:$I$89,5,0)</f>
        <v>-2.5893314159475268E-13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530.15080507516973</v>
      </c>
      <c r="CE154" s="62">
        <f t="shared" si="148"/>
        <v>358.10331902702217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82.546887644054991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82.546887644054991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-4.8771653382573282E-14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182.98212193167009</v>
      </c>
      <c r="CZ154" s="62">
        <f t="shared" si="150"/>
        <v>195.9200038944301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18.127769478450634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18.127769478450634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2.2737367544323206E-13</v>
      </c>
      <c r="DP154" s="18">
        <f>DO154*VLOOKUP('Données projet'!$B$14,Paramètres!$A$1:$I$89,3,0)*VLOOKUP('Données projet'!$B$14,Paramètres!$A$1:$I$89,5,0)</f>
        <v>1.0049916454590858E-13</v>
      </c>
      <c r="DQ154" s="14">
        <f t="shared" ref="DQ154:DQ203" si="176">EXP(-1.0587+0.8836*LN(DP154)+0.284)</f>
        <v>1.5089081593838289E-12</v>
      </c>
      <c r="DR154" s="22">
        <f t="shared" ref="DR154:DR203" si="177">(DP154+DQ154)*0.475*44/12</f>
        <v>2.8030510891776262E-12</v>
      </c>
      <c r="DS154" s="62">
        <f t="shared" si="125"/>
        <v>286.80821682326814</v>
      </c>
      <c r="DT154" s="62">
        <f ca="1">AVERAGE(OFFSET($DS$3,0,0,'Données projet'!$E$14+1,1))-AVERAGE(OFFSET($H$3,0,0,'Données projet'!$E$14+1,1))</f>
        <v>338.33525241236157</v>
      </c>
      <c r="DU154" s="62">
        <f t="shared" si="152"/>
        <v>373.47257029791717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39.883415382708037</v>
      </c>
      <c r="EB154" s="23">
        <f>EXP(-LN(2)/25)*EB153+(1-EXP(-LN(2)/25))/(LN(2)/25)*Calculateur!DW154*Calculateur!DY154*VLOOKUP('Données projet'!$B$14,Paramètres!$A$1:$I$89,3,0)*0.475*44/12</f>
        <v>3.4088372437506211</v>
      </c>
      <c r="EC154" s="23">
        <f>EXP(-LN(2)/2)*EC153+(1-EXP(-LN(2)/2))/(LN(2)/2)*DW154*DZ154*VLOOKUP('Données projet'!$B$14,Paramètres!$A$1:$I$89,3,0)*0.475*44/12</f>
        <v>2.9699927566279854E-13</v>
      </c>
      <c r="ED154" s="24">
        <f t="shared" ref="ED154:ED203" si="178">SUM(EA154:EC154)</f>
        <v>43.292252626458954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-2.8421709430404007E-14</v>
      </c>
      <c r="EK154" s="18">
        <f>EJ154*VLOOKUP('Données projet'!$B$15,Paramètres!$A$1:$I$89,3,0)*VLOOKUP('Données projet'!$B$15,Paramètres!$A$1:$I$89,5,0)</f>
        <v>-2.2168933355715127E-14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144.92790055195192</v>
      </c>
      <c r="EP154" s="62">
        <f t="shared" si="154"/>
        <v>151.00642748754026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10.037147208011303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10.037147208011303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-1.7053025658242404E-13</v>
      </c>
      <c r="O155" s="14">
        <f>N155*VLOOKUP('Données projet'!$B$9,Paramètres!$A$1:$I$89,3,0)*VLOOKUP('Données projet'!$B$9,Paramètres!$A$1:$I$89,5,0)</f>
        <v>-1.383341441396624E-13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259.10606516000064</v>
      </c>
      <c r="T155" s="62">
        <f t="shared" si="142"/>
        <v>316.57989180609252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16.519170163684045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16.519170163684045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186.83226999296298</v>
      </c>
      <c r="AO155" s="62">
        <f t="shared" si="144"/>
        <v>232.70925470547317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19.769936937361972</v>
      </c>
      <c r="AV155" s="23">
        <f>EXP(-LN(2)/25)*AV154+(1-EXP(-LN(2)/25))/(LN(2)/25)*Calculateur!AQ155*Calculateur!AS155*VLOOKUP('Données projet'!$B$10,Paramètres!$A$1:$I$89,3,0)*0.475*44/12</f>
        <v>1.0448877140956994</v>
      </c>
      <c r="AW155" s="23">
        <f>EXP(-LN(2)/2)*AW154+(1-EXP(-LN(2)/2))/(LN(2)/2)*AQ155*AT155*VLOOKUP('Données projet'!$B$10,Paramètres!$A$1:$I$89,3,0)*0.475*44/12</f>
        <v>1.067128109509888E-13</v>
      </c>
      <c r="AX155" s="23">
        <f t="shared" si="166"/>
        <v>20.81482465145778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-2.2737367544323206E-13</v>
      </c>
      <c r="BE155" s="14">
        <f>BD155*VLOOKUP('Données projet'!$B$11,Paramètres!$A$1:$I$89,3,0)*VLOOKUP('Données projet'!$B$11,Paramètres!$A$1:$I$89,5,0)</f>
        <v>-2.0572770154103635E-13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435.70500547084868</v>
      </c>
      <c r="BJ155" s="62">
        <f t="shared" si="146"/>
        <v>297.32483725004136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64.299112664481228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64.299112664481228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-2.2737367544323206E-13</v>
      </c>
      <c r="BZ155" s="14">
        <f>BY155*VLOOKUP('Données projet'!$B$12,Paramètres!$A$1:$I$89,3,0)*VLOOKUP('Données projet'!$B$12,Paramètres!$A$1:$I$89,5,0)</f>
        <v>-2.5893314159475268E-13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530.15080507516973</v>
      </c>
      <c r="CE155" s="62">
        <f t="shared" si="148"/>
        <v>358.10331902702217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80.928193525985023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80.928193525985023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-4.8771653382573282E-14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182.98212193167009</v>
      </c>
      <c r="CZ155" s="62">
        <f t="shared" si="150"/>
        <v>195.9200038944301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17.772294975825826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17.772294975825826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2.2737367544323206E-13</v>
      </c>
      <c r="DP155" s="18">
        <f>DO155*VLOOKUP('Données projet'!$B$14,Paramètres!$A$1:$I$89,3,0)*VLOOKUP('Données projet'!$B$14,Paramètres!$A$1:$I$89,5,0)</f>
        <v>1.0049916454590858E-13</v>
      </c>
      <c r="DQ155" s="14">
        <f t="shared" si="176"/>
        <v>1.5089081593838289E-12</v>
      </c>
      <c r="DR155" s="22">
        <f t="shared" si="177"/>
        <v>2.8030510891776262E-12</v>
      </c>
      <c r="DS155" s="62">
        <f t="shared" si="125"/>
        <v>286.92141300674268</v>
      </c>
      <c r="DT155" s="62">
        <f ca="1">AVERAGE(OFFSET($DS$3,0,0,'Données projet'!$E$14+1,1))-AVERAGE(OFFSET($H$3,0,0,'Données projet'!$E$14+1,1))</f>
        <v>338.33525241236157</v>
      </c>
      <c r="DU155" s="62">
        <f t="shared" si="152"/>
        <v>373.47257029791717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39.101325933534476</v>
      </c>
      <c r="EB155" s="23">
        <f>EXP(-LN(2)/25)*EB154+(1-EXP(-LN(2)/25))/(LN(2)/25)*Calculateur!DW155*Calculateur!DY155*VLOOKUP('Données projet'!$B$14,Paramètres!$A$1:$I$89,3,0)*0.475*44/12</f>
        <v>3.3156224100573009</v>
      </c>
      <c r="EC155" s="23">
        <f>EXP(-LN(2)/2)*EC154+(1-EXP(-LN(2)/2))/(LN(2)/2)*DW155*DZ155*VLOOKUP('Données projet'!$B$14,Paramètres!$A$1:$I$89,3,0)*0.475*44/12</f>
        <v>2.100102018286576E-13</v>
      </c>
      <c r="ED155" s="24">
        <f t="shared" si="178"/>
        <v>42.41694834359199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-2.8421709430404007E-14</v>
      </c>
      <c r="EK155" s="18">
        <f>EJ155*VLOOKUP('Données projet'!$B$15,Paramètres!$A$1:$I$89,3,0)*VLOOKUP('Données projet'!$B$15,Paramètres!$A$1:$I$89,5,0)</f>
        <v>-2.2168933355715127E-14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144.92790055195192</v>
      </c>
      <c r="EP155" s="62">
        <f t="shared" si="154"/>
        <v>151.00642748754026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9.8403248733174955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9.8403248733174955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-1.7053025658242404E-13</v>
      </c>
      <c r="O156" s="14">
        <f>N156*VLOOKUP('Données projet'!$B$9,Paramètres!$A$1:$I$89,3,0)*VLOOKUP('Données projet'!$B$9,Paramètres!$A$1:$I$89,5,0)</f>
        <v>-1.383341441396624E-13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259.10606516000064</v>
      </c>
      <c r="T156" s="62">
        <f t="shared" si="142"/>
        <v>316.57989180609252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16.19523931247311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16.19523931247311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186.83226999296298</v>
      </c>
      <c r="AO156" s="62">
        <f t="shared" si="144"/>
        <v>232.70925470547317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19.382260532491159</v>
      </c>
      <c r="AV156" s="23">
        <f>EXP(-LN(2)/25)*AV155+(1-EXP(-LN(2)/25))/(LN(2)/25)*Calculateur!AQ156*Calculateur!AS156*VLOOKUP('Données projet'!$B$10,Paramètres!$A$1:$I$89,3,0)*0.475*44/12</f>
        <v>1.0163152046054957</v>
      </c>
      <c r="AW156" s="23">
        <f>EXP(-LN(2)/2)*AW155+(1-EXP(-LN(2)/2))/(LN(2)/2)*AQ156*AT156*VLOOKUP('Données projet'!$B$10,Paramètres!$A$1:$I$89,3,0)*0.475*44/12</f>
        <v>7.5457352262922251E-14</v>
      </c>
      <c r="AX156" s="23">
        <f t="shared" si="166"/>
        <v>20.398575737096731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-2.2737367544323206E-13</v>
      </c>
      <c r="BE156" s="14">
        <f>BD156*VLOOKUP('Données projet'!$B$11,Paramètres!$A$1:$I$89,3,0)*VLOOKUP('Données projet'!$B$11,Paramètres!$A$1:$I$89,5,0)</f>
        <v>-2.0572770154103635E-13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435.70500547084868</v>
      </c>
      <c r="BJ156" s="62">
        <f t="shared" si="146"/>
        <v>297.32483725004136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63.038246283716965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63.038246283716965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-2.2737367544323206E-13</v>
      </c>
      <c r="BZ156" s="14">
        <f>BY156*VLOOKUP('Données projet'!$B$12,Paramètres!$A$1:$I$89,3,0)*VLOOKUP('Données projet'!$B$12,Paramètres!$A$1:$I$89,5,0)</f>
        <v>-2.5893314159475268E-13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530.15080507516973</v>
      </c>
      <c r="CE156" s="62">
        <f t="shared" si="148"/>
        <v>358.10331902702217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79.341241012264476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79.341241012264476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-4.8771653382573282E-14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182.98212193167009</v>
      </c>
      <c r="CZ156" s="62">
        <f t="shared" si="150"/>
        <v>195.9200038944301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17.423791111379451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17.423791111379451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2.2737367544323206E-13</v>
      </c>
      <c r="DP156" s="18">
        <f>DO156*VLOOKUP('Données projet'!$B$14,Paramètres!$A$1:$I$89,3,0)*VLOOKUP('Données projet'!$B$14,Paramètres!$A$1:$I$89,5,0)</f>
        <v>1.0049916454590858E-13</v>
      </c>
      <c r="DQ156" s="14">
        <f t="shared" si="176"/>
        <v>1.5089081593838289E-12</v>
      </c>
      <c r="DR156" s="22">
        <f t="shared" si="177"/>
        <v>2.8030510891776262E-12</v>
      </c>
      <c r="DS156" s="62">
        <f t="shared" si="125"/>
        <v>287.03264548950278</v>
      </c>
      <c r="DT156" s="62">
        <f ca="1">AVERAGE(OFFSET($DS$3,0,0,'Données projet'!$E$14+1,1))-AVERAGE(OFFSET($H$3,0,0,'Données projet'!$E$14+1,1))</f>
        <v>338.33525241236157</v>
      </c>
      <c r="DU156" s="62">
        <f t="shared" si="152"/>
        <v>373.47257029791717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38.334572781431746</v>
      </c>
      <c r="EB156" s="23">
        <f>EXP(-LN(2)/25)*EB155+(1-EXP(-LN(2)/25))/(LN(2)/25)*Calculateur!DW156*Calculateur!DY156*VLOOKUP('Données projet'!$B$14,Paramètres!$A$1:$I$89,3,0)*0.475*44/12</f>
        <v>3.2249565408932792</v>
      </c>
      <c r="EC156" s="23">
        <f>EXP(-LN(2)/2)*EC155+(1-EXP(-LN(2)/2))/(LN(2)/2)*DW156*DZ156*VLOOKUP('Données projet'!$B$14,Paramètres!$A$1:$I$89,3,0)*0.475*44/12</f>
        <v>1.4849963783139927E-13</v>
      </c>
      <c r="ED156" s="24">
        <f t="shared" si="178"/>
        <v>41.559529322325176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-2.8421709430404007E-14</v>
      </c>
      <c r="EK156" s="18">
        <f>EJ156*VLOOKUP('Données projet'!$B$15,Paramètres!$A$1:$I$89,3,0)*VLOOKUP('Données projet'!$B$15,Paramètres!$A$1:$I$89,5,0)</f>
        <v>-2.2168933355715127E-14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144.92790055195192</v>
      </c>
      <c r="EP156" s="62">
        <f t="shared" si="154"/>
        <v>151.00642748754026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9.6473621045572635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9.6473621045572635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-1.7053025658242404E-13</v>
      </c>
      <c r="O157" s="14">
        <f>N157*VLOOKUP('Données projet'!$B$9,Paramètres!$A$1:$I$89,3,0)*VLOOKUP('Données projet'!$B$9,Paramètres!$A$1:$I$89,5,0)</f>
        <v>-1.383341441396624E-13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259.10606516000064</v>
      </c>
      <c r="T157" s="62">
        <f t="shared" si="142"/>
        <v>316.57989180609252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15.877660547676109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15.877660547676109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186.83226999296298</v>
      </c>
      <c r="AO157" s="62">
        <f t="shared" si="144"/>
        <v>232.70925470547317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19.002186225460605</v>
      </c>
      <c r="AV157" s="23">
        <f>EXP(-LN(2)/25)*AV156+(1-EXP(-LN(2)/25))/(LN(2)/25)*Calculateur!AQ157*Calculateur!AS157*VLOOKUP('Données projet'!$B$10,Paramètres!$A$1:$I$89,3,0)*0.475*44/12</f>
        <v>0.98852401188986472</v>
      </c>
      <c r="AW157" s="23">
        <f>EXP(-LN(2)/2)*AW156+(1-EXP(-LN(2)/2))/(LN(2)/2)*AQ157*AT157*VLOOKUP('Données projet'!$B$10,Paramètres!$A$1:$I$89,3,0)*0.475*44/12</f>
        <v>5.3356405475494402E-14</v>
      </c>
      <c r="AX157" s="23">
        <f t="shared" si="166"/>
        <v>19.990710237350523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-2.2737367544323206E-13</v>
      </c>
      <c r="BE157" s="14">
        <f>BD157*VLOOKUP('Données projet'!$B$11,Paramètres!$A$1:$I$89,3,0)*VLOOKUP('Données projet'!$B$11,Paramètres!$A$1:$I$89,5,0)</f>
        <v>-2.0572770154103635E-13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435.70500547084868</v>
      </c>
      <c r="BJ157" s="62">
        <f t="shared" si="146"/>
        <v>297.32483725004136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61.802104723626933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61.802104723626933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-2.2737367544323206E-13</v>
      </c>
      <c r="BZ157" s="14">
        <f>BY157*VLOOKUP('Données projet'!$B$12,Paramètres!$A$1:$I$89,3,0)*VLOOKUP('Données projet'!$B$12,Paramètres!$A$1:$I$89,5,0)</f>
        <v>-2.5893314159475268E-13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530.15080507516973</v>
      </c>
      <c r="CE157" s="62">
        <f t="shared" si="148"/>
        <v>358.10331902702217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77.785407669392541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77.785407669392541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-4.8771653382573282E-14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182.98212193167009</v>
      </c>
      <c r="CZ157" s="62">
        <f t="shared" si="150"/>
        <v>195.9200038944301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17.082121195148503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17.082121195148503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2.2737367544323206E-13</v>
      </c>
      <c r="DP157" s="18">
        <f>DO157*VLOOKUP('Données projet'!$B$14,Paramètres!$A$1:$I$89,3,0)*VLOOKUP('Données projet'!$B$14,Paramètres!$A$1:$I$89,5,0)</f>
        <v>1.0049916454590858E-13</v>
      </c>
      <c r="DQ157" s="14">
        <f t="shared" si="176"/>
        <v>1.5089081593838289E-12</v>
      </c>
      <c r="DR157" s="22">
        <f t="shared" si="177"/>
        <v>2.8030510891776262E-12</v>
      </c>
      <c r="DS157" s="62">
        <f t="shared" si="125"/>
        <v>287.14194833736553</v>
      </c>
      <c r="DT157" s="62">
        <f ca="1">AVERAGE(OFFSET($DS$3,0,0,'Données projet'!$E$14+1,1))-AVERAGE(OFFSET($H$3,0,0,'Données projet'!$E$14+1,1))</f>
        <v>338.33525241236157</v>
      </c>
      <c r="DU157" s="62">
        <f t="shared" si="152"/>
        <v>373.47257029791717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37.582855190968509</v>
      </c>
      <c r="EB157" s="23">
        <f>EXP(-LN(2)/25)*EB156+(1-EXP(-LN(2)/25))/(LN(2)/25)*Calculateur!DW157*Calculateur!DY157*VLOOKUP('Données projet'!$B$14,Paramètres!$A$1:$I$89,3,0)*0.475*44/12</f>
        <v>3.1367699346894589</v>
      </c>
      <c r="EC157" s="23">
        <f>EXP(-LN(2)/2)*EC156+(1-EXP(-LN(2)/2))/(LN(2)/2)*DW157*DZ157*VLOOKUP('Données projet'!$B$14,Paramètres!$A$1:$I$89,3,0)*0.475*44/12</f>
        <v>1.050051009143288E-13</v>
      </c>
      <c r="ED157" s="24">
        <f t="shared" si="178"/>
        <v>40.719625125658077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-2.8421709430404007E-14</v>
      </c>
      <c r="EK157" s="18">
        <f>EJ157*VLOOKUP('Données projet'!$B$15,Paramètres!$A$1:$I$89,3,0)*VLOOKUP('Données projet'!$B$15,Paramètres!$A$1:$I$89,5,0)</f>
        <v>-2.2168933355715127E-14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144.92790055195192</v>
      </c>
      <c r="EP157" s="62">
        <f t="shared" si="154"/>
        <v>151.00642748754026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9.4581832179967513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9.4581832179967513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-1.7053025658242404E-13</v>
      </c>
      <c r="O158" s="14">
        <f>N158*VLOOKUP('Données projet'!$B$9,Paramètres!$A$1:$I$89,3,0)*VLOOKUP('Données projet'!$B$9,Paramètres!$A$1:$I$89,5,0)</f>
        <v>-1.383341441396624E-13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259.10606516000064</v>
      </c>
      <c r="T158" s="62">
        <f t="shared" si="142"/>
        <v>316.57989180609252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15.566309308752858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15.566309308752858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186.83226999296298</v>
      </c>
      <c r="AO158" s="62">
        <f t="shared" si="144"/>
        <v>232.70925470547317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18.629564943768482</v>
      </c>
      <c r="AV158" s="23">
        <f>EXP(-LN(2)/25)*AV157+(1-EXP(-LN(2)/25))/(LN(2)/25)*Calculateur!AQ158*Calculateur!AS158*VLOOKUP('Données projet'!$B$10,Paramètres!$A$1:$I$89,3,0)*0.475*44/12</f>
        <v>0.96149277080051787</v>
      </c>
      <c r="AW158" s="23">
        <f>EXP(-LN(2)/2)*AW157+(1-EXP(-LN(2)/2))/(LN(2)/2)*AQ158*AT158*VLOOKUP('Données projet'!$B$10,Paramètres!$A$1:$I$89,3,0)*0.475*44/12</f>
        <v>3.7728676131461126E-14</v>
      </c>
      <c r="AX158" s="23">
        <f t="shared" si="166"/>
        <v>19.59105771456904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-2.2737367544323206E-13</v>
      </c>
      <c r="BE158" s="14">
        <f>BD158*VLOOKUP('Données projet'!$B$11,Paramètres!$A$1:$I$89,3,0)*VLOOKUP('Données projet'!$B$11,Paramètres!$A$1:$I$89,5,0)</f>
        <v>-2.0572770154103635E-13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435.70500547084868</v>
      </c>
      <c r="BJ158" s="62">
        <f t="shared" si="146"/>
        <v>297.32483725004136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60.590203145558363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60.590203145558363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-2.2737367544323206E-13</v>
      </c>
      <c r="BZ158" s="14">
        <f>BY158*VLOOKUP('Données projet'!$B$12,Paramètres!$A$1:$I$89,3,0)*VLOOKUP('Données projet'!$B$12,Paramètres!$A$1:$I$89,5,0)</f>
        <v>-2.5893314159475268E-13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530.15080507516973</v>
      </c>
      <c r="CE158" s="62">
        <f t="shared" si="148"/>
        <v>358.10331902702217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76.260083269409691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76.260083269409691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-4.8771653382573282E-14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182.98212193167009</v>
      </c>
      <c r="CZ158" s="62">
        <f t="shared" si="150"/>
        <v>195.9200038944301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16.747151217576771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16.747151217576771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2.2737367544323206E-13</v>
      </c>
      <c r="DP158" s="18">
        <f>DO158*VLOOKUP('Données projet'!$B$14,Paramètres!$A$1:$I$89,3,0)*VLOOKUP('Données projet'!$B$14,Paramètres!$A$1:$I$89,5,0)</f>
        <v>1.0049916454590858E-13</v>
      </c>
      <c r="DQ158" s="14">
        <f t="shared" si="176"/>
        <v>1.5089081593838289E-12</v>
      </c>
      <c r="DR158" s="22">
        <f t="shared" si="177"/>
        <v>2.8030510891776262E-12</v>
      </c>
      <c r="DS158" s="62">
        <f t="shared" si="125"/>
        <v>287.24935502518247</v>
      </c>
      <c r="DT158" s="62">
        <f ca="1">AVERAGE(OFFSET($DS$3,0,0,'Données projet'!$E$14+1,1))-AVERAGE(OFFSET($H$3,0,0,'Données projet'!$E$14+1,1))</f>
        <v>338.33525241236157</v>
      </c>
      <c r="DU158" s="62">
        <f t="shared" si="152"/>
        <v>373.47257029791717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36.845878323951794</v>
      </c>
      <c r="EB158" s="23">
        <f>EXP(-LN(2)/25)*EB157+(1-EXP(-LN(2)/25))/(LN(2)/25)*Calculateur!DW158*Calculateur!DY158*VLOOKUP('Données projet'!$B$14,Paramètres!$A$1:$I$89,3,0)*0.475*44/12</f>
        <v>3.0509947958698138</v>
      </c>
      <c r="EC158" s="23">
        <f>EXP(-LN(2)/2)*EC157+(1-EXP(-LN(2)/2))/(LN(2)/2)*DW158*DZ158*VLOOKUP('Données projet'!$B$14,Paramètres!$A$1:$I$89,3,0)*0.475*44/12</f>
        <v>7.4249818915699635E-14</v>
      </c>
      <c r="ED158" s="24">
        <f t="shared" si="178"/>
        <v>39.896873119821677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-2.8421709430404007E-14</v>
      </c>
      <c r="EK158" s="18">
        <f>EJ158*VLOOKUP('Données projet'!$B$15,Paramètres!$A$1:$I$89,3,0)*VLOOKUP('Données projet'!$B$15,Paramètres!$A$1:$I$89,5,0)</f>
        <v>-2.2168933355715127E-14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144.92790055195192</v>
      </c>
      <c r="EP158" s="62">
        <f t="shared" si="154"/>
        <v>151.00642748754026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9.2727140140139639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9.2727140140139639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-1.7053025658242404E-13</v>
      </c>
      <c r="O159" s="14">
        <f>N159*VLOOKUP('Données projet'!$B$9,Paramètres!$A$1:$I$89,3,0)*VLOOKUP('Données projet'!$B$9,Paramètres!$A$1:$I$89,5,0)</f>
        <v>-1.383341441396624E-13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259.10606516000064</v>
      </c>
      <c r="T159" s="62">
        <f t="shared" si="142"/>
        <v>316.57989180609252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15.261063477719388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15.261063477719388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186.83226999296298</v>
      </c>
      <c r="AO159" s="62">
        <f t="shared" si="144"/>
        <v>232.70925470547317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18.264250538133805</v>
      </c>
      <c r="AV159" s="23">
        <f>EXP(-LN(2)/25)*AV158+(1-EXP(-LN(2)/25))/(LN(2)/25)*Calculateur!AQ159*Calculateur!AS159*VLOOKUP('Données projet'!$B$10,Paramètres!$A$1:$I$89,3,0)*0.475*44/12</f>
        <v>0.93520070042027037</v>
      </c>
      <c r="AW159" s="23">
        <f>EXP(-LN(2)/2)*AW158+(1-EXP(-LN(2)/2))/(LN(2)/2)*AQ159*AT159*VLOOKUP('Données projet'!$B$10,Paramètres!$A$1:$I$89,3,0)*0.475*44/12</f>
        <v>2.6678202737747201E-14</v>
      </c>
      <c r="AX159" s="23">
        <f t="shared" si="166"/>
        <v>19.199451238554104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-2.2737367544323206E-13</v>
      </c>
      <c r="BE159" s="14">
        <f>BD159*VLOOKUP('Données projet'!$B$11,Paramètres!$A$1:$I$89,3,0)*VLOOKUP('Données projet'!$B$11,Paramètres!$A$1:$I$89,5,0)</f>
        <v>-2.0572770154103635E-13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435.70500547084868</v>
      </c>
      <c r="BJ159" s="62">
        <f t="shared" si="146"/>
        <v>297.32483725004136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59.402066218248741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59.402066218248741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-2.2737367544323206E-13</v>
      </c>
      <c r="BZ159" s="14">
        <f>BY159*VLOOKUP('Données projet'!$B$12,Paramètres!$A$1:$I$89,3,0)*VLOOKUP('Données projet'!$B$12,Paramètres!$A$1:$I$89,5,0)</f>
        <v>-2.5893314159475268E-13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530.15080507516973</v>
      </c>
      <c r="CE159" s="62">
        <f t="shared" si="148"/>
        <v>358.10331902702217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74.764669550554473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74.764669550554473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-4.8771653382573282E-14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182.98212193167009</v>
      </c>
      <c r="CZ159" s="62">
        <f t="shared" si="150"/>
        <v>195.9200038944301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16.418749796953712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16.418749796953712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2.2737367544323206E-13</v>
      </c>
      <c r="DP159" s="18">
        <f>DO159*VLOOKUP('Données projet'!$B$14,Paramètres!$A$1:$I$89,3,0)*VLOOKUP('Données projet'!$B$14,Paramètres!$A$1:$I$89,5,0)</f>
        <v>1.0049916454590858E-13</v>
      </c>
      <c r="DQ159" s="14">
        <f t="shared" si="176"/>
        <v>1.5089081593838289E-12</v>
      </c>
      <c r="DR159" s="22">
        <f t="shared" si="177"/>
        <v>2.8030510891776262E-12</v>
      </c>
      <c r="DS159" s="62">
        <f t="shared" si="125"/>
        <v>287.3548984470911</v>
      </c>
      <c r="DT159" s="62">
        <f ca="1">AVERAGE(OFFSET($DS$3,0,0,'Données projet'!$E$14+1,1))-AVERAGE(OFFSET($H$3,0,0,'Données projet'!$E$14+1,1))</f>
        <v>338.33525241236157</v>
      </c>
      <c r="DU159" s="62">
        <f t="shared" si="152"/>
        <v>373.47257029791717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36.123353123785776</v>
      </c>
      <c r="EB159" s="23">
        <f>EXP(-LN(2)/25)*EB158+(1-EXP(-LN(2)/25))/(LN(2)/25)*Calculateur!DW159*Calculateur!DY159*VLOOKUP('Données projet'!$B$14,Paramètres!$A$1:$I$89,3,0)*0.475*44/12</f>
        <v>2.9675651827319105</v>
      </c>
      <c r="EC159" s="23">
        <f>EXP(-LN(2)/2)*EC158+(1-EXP(-LN(2)/2))/(LN(2)/2)*DW159*DZ159*VLOOKUP('Données projet'!$B$14,Paramètres!$A$1:$I$89,3,0)*0.475*44/12</f>
        <v>5.25025504571644E-14</v>
      </c>
      <c r="ED159" s="24">
        <f t="shared" si="178"/>
        <v>39.090918306517736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-2.8421709430404007E-14</v>
      </c>
      <c r="EK159" s="18">
        <f>EJ159*VLOOKUP('Données projet'!$B$15,Paramètres!$A$1:$I$89,3,0)*VLOOKUP('Données projet'!$B$15,Paramètres!$A$1:$I$89,5,0)</f>
        <v>-2.2168933355715127E-14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144.92790055195192</v>
      </c>
      <c r="EP159" s="62">
        <f t="shared" si="154"/>
        <v>151.00642748754026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9.0908817479962352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9.0908817479962352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-1.7053025658242404E-13</v>
      </c>
      <c r="O160" s="14">
        <f>N160*VLOOKUP('Données projet'!$B$9,Paramètres!$A$1:$I$89,3,0)*VLOOKUP('Données projet'!$B$9,Paramètres!$A$1:$I$89,5,0)</f>
        <v>-1.383341441396624E-13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259.10606516000064</v>
      </c>
      <c r="T160" s="62">
        <f t="shared" si="142"/>
        <v>316.57989180609252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14.961803331250911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14.961803331250911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186.83226999296298</v>
      </c>
      <c r="AO160" s="62">
        <f t="shared" si="144"/>
        <v>232.70925470547317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17.906099725173835</v>
      </c>
      <c r="AV160" s="23">
        <f>EXP(-LN(2)/25)*AV159+(1-EXP(-LN(2)/25))/(LN(2)/25)*Calculateur!AQ160*Calculateur!AS160*VLOOKUP('Données projet'!$B$10,Paramètres!$A$1:$I$89,3,0)*0.475*44/12</f>
        <v>0.90962758808721067</v>
      </c>
      <c r="AW160" s="23">
        <f>EXP(-LN(2)/2)*AW159+(1-EXP(-LN(2)/2))/(LN(2)/2)*AQ160*AT160*VLOOKUP('Données projet'!$B$10,Paramètres!$A$1:$I$89,3,0)*0.475*44/12</f>
        <v>1.8864338065730563E-14</v>
      </c>
      <c r="AX160" s="23">
        <f t="shared" si="166"/>
        <v>18.815727313261064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-2.2737367544323206E-13</v>
      </c>
      <c r="BE160" s="14">
        <f>BD160*VLOOKUP('Données projet'!$B$11,Paramètres!$A$1:$I$89,3,0)*VLOOKUP('Données projet'!$B$11,Paramètres!$A$1:$I$89,5,0)</f>
        <v>-2.0572770154103635E-13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435.70500547084868</v>
      </c>
      <c r="BJ160" s="62">
        <f t="shared" si="146"/>
        <v>297.32483725004136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58.237227931391693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58.237227931391693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-2.2737367544323206E-13</v>
      </c>
      <c r="BZ160" s="14">
        <f>BY160*VLOOKUP('Données projet'!$B$12,Paramètres!$A$1:$I$89,3,0)*VLOOKUP('Données projet'!$B$12,Paramètres!$A$1:$I$89,5,0)</f>
        <v>-2.5893314159475268E-13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530.15080507516973</v>
      </c>
      <c r="CE160" s="62">
        <f t="shared" si="148"/>
        <v>358.10331902702217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73.298579982613703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73.298579982613703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-4.8771653382573282E-14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182.98212193167009</v>
      </c>
      <c r="CZ160" s="62">
        <f t="shared" si="150"/>
        <v>195.9200038944301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16.096788127883983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16.096788127883983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2.2737367544323206E-13</v>
      </c>
      <c r="DP160" s="18">
        <f>DO160*VLOOKUP('Données projet'!$B$14,Paramètres!$A$1:$I$89,3,0)*VLOOKUP('Données projet'!$B$14,Paramètres!$A$1:$I$89,5,0)</f>
        <v>1.0049916454590858E-13</v>
      </c>
      <c r="DQ160" s="14">
        <f t="shared" si="176"/>
        <v>1.5089081593838289E-12</v>
      </c>
      <c r="DR160" s="22">
        <f t="shared" si="177"/>
        <v>2.8030510891776262E-12</v>
      </c>
      <c r="DS160" s="62">
        <f t="shared" si="125"/>
        <v>287.45861092658936</v>
      </c>
      <c r="DT160" s="62">
        <f ca="1">AVERAGE(OFFSET($DS$3,0,0,'Données projet'!$E$14+1,1))-AVERAGE(OFFSET($H$3,0,0,'Données projet'!$E$14+1,1))</f>
        <v>338.33525241236157</v>
      </c>
      <c r="DU160" s="62">
        <f t="shared" si="152"/>
        <v>373.47257029791717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35.414996202098159</v>
      </c>
      <c r="EB160" s="23">
        <f>EXP(-LN(2)/25)*EB159+(1-EXP(-LN(2)/25))/(LN(2)/25)*Calculateur!DW160*Calculateur!DY160*VLOOKUP('Données projet'!$B$14,Paramètres!$A$1:$I$89,3,0)*0.475*44/12</f>
        <v>2.8864169567526359</v>
      </c>
      <c r="EC160" s="23">
        <f>EXP(-LN(2)/2)*EC159+(1-EXP(-LN(2)/2))/(LN(2)/2)*DW160*DZ160*VLOOKUP('Données projet'!$B$14,Paramètres!$A$1:$I$89,3,0)*0.475*44/12</f>
        <v>3.7124909457849818E-14</v>
      </c>
      <c r="ED160" s="24">
        <f t="shared" si="178"/>
        <v>38.301413158850828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-2.8421709430404007E-14</v>
      </c>
      <c r="EK160" s="18">
        <f>EJ160*VLOOKUP('Données projet'!$B$15,Paramètres!$A$1:$I$89,3,0)*VLOOKUP('Données projet'!$B$15,Paramètres!$A$1:$I$89,5,0)</f>
        <v>-2.2168933355715127E-14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144.92790055195192</v>
      </c>
      <c r="EP160" s="62">
        <f t="shared" si="154"/>
        <v>151.00642748754026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8.9126151018083828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8.9126151018083828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-1.7053025658242404E-13</v>
      </c>
      <c r="O161" s="14">
        <f>N161*VLOOKUP('Données projet'!$B$9,Paramètres!$A$1:$I$89,3,0)*VLOOKUP('Données projet'!$B$9,Paramètres!$A$1:$I$89,5,0)</f>
        <v>-1.383341441396624E-13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259.10606516000064</v>
      </c>
      <c r="T161" s="62">
        <f t="shared" si="142"/>
        <v>316.57989180609252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14.668411493724015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14.668411493724015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186.83226999296298</v>
      </c>
      <c r="AO161" s="62">
        <f t="shared" si="144"/>
        <v>232.70925470547317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17.554972031205587</v>
      </c>
      <c r="AV161" s="23">
        <f>EXP(-LN(2)/25)*AV160+(1-EXP(-LN(2)/25))/(LN(2)/25)*Calculateur!AQ161*Calculateur!AS161*VLOOKUP('Données projet'!$B$10,Paramètres!$A$1:$I$89,3,0)*0.475*44/12</f>
        <v>0.88475377385573006</v>
      </c>
      <c r="AW161" s="23">
        <f>EXP(-LN(2)/2)*AW160+(1-EXP(-LN(2)/2))/(LN(2)/2)*AQ161*AT161*VLOOKUP('Données projet'!$B$10,Paramètres!$A$1:$I$89,3,0)*0.475*44/12</f>
        <v>1.33391013688736E-14</v>
      </c>
      <c r="AX161" s="23">
        <f t="shared" si="166"/>
        <v>18.439725805061332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-2.2737367544323206E-13</v>
      </c>
      <c r="BE161" s="14">
        <f>BD161*VLOOKUP('Données projet'!$B$11,Paramètres!$A$1:$I$89,3,0)*VLOOKUP('Données projet'!$B$11,Paramètres!$A$1:$I$89,5,0)</f>
        <v>-2.0572770154103635E-13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435.70500547084868</v>
      </c>
      <c r="BJ161" s="62">
        <f t="shared" si="146"/>
        <v>297.32483725004136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57.095231412858716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57.095231412858716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-2.2737367544323206E-13</v>
      </c>
      <c r="BZ161" s="14">
        <f>BY161*VLOOKUP('Données projet'!$B$12,Paramètres!$A$1:$I$89,3,0)*VLOOKUP('Données projet'!$B$12,Paramètres!$A$1:$I$89,5,0)</f>
        <v>-2.5893314159475268E-13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530.15080507516973</v>
      </c>
      <c r="CE161" s="62">
        <f t="shared" si="148"/>
        <v>358.10331902702217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71.86123953687391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71.86123953687391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-4.8771653382573282E-14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182.98212193167009</v>
      </c>
      <c r="CZ161" s="62">
        <f t="shared" si="150"/>
        <v>195.9200038944301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15.781139930767482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15.781139930767482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2.2737367544323206E-13</v>
      </c>
      <c r="DP161" s="18">
        <f>DO161*VLOOKUP('Données projet'!$B$14,Paramètres!$A$1:$I$89,3,0)*VLOOKUP('Données projet'!$B$14,Paramètres!$A$1:$I$89,5,0)</f>
        <v>1.0049916454590858E-13</v>
      </c>
      <c r="DQ161" s="14">
        <f t="shared" si="176"/>
        <v>1.5089081593838289E-12</v>
      </c>
      <c r="DR161" s="22">
        <f t="shared" si="177"/>
        <v>2.8030510891776262E-12</v>
      </c>
      <c r="DS161" s="62">
        <f t="shared" si="125"/>
        <v>287.56052422643478</v>
      </c>
      <c r="DT161" s="62">
        <f ca="1">AVERAGE(OFFSET($DS$3,0,0,'Données projet'!$E$14+1,1))-AVERAGE(OFFSET($H$3,0,0,'Données projet'!$E$14+1,1))</f>
        <v>338.33525241236157</v>
      </c>
      <c r="DU161" s="62">
        <f t="shared" si="152"/>
        <v>373.47257029791717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34.720529727589778</v>
      </c>
      <c r="EB161" s="23">
        <f>EXP(-LN(2)/25)*EB160+(1-EXP(-LN(2)/25))/(LN(2)/25)*Calculateur!DW161*Calculateur!DY161*VLOOKUP('Données projet'!$B$14,Paramètres!$A$1:$I$89,3,0)*0.475*44/12</f>
        <v>2.8074877332801642</v>
      </c>
      <c r="EC161" s="23">
        <f>EXP(-LN(2)/2)*EC160+(1-EXP(-LN(2)/2))/(LN(2)/2)*DW161*DZ161*VLOOKUP('Données projet'!$B$14,Paramètres!$A$1:$I$89,3,0)*0.475*44/12</f>
        <v>2.62512752285822E-14</v>
      </c>
      <c r="ED161" s="24">
        <f t="shared" si="178"/>
        <v>37.528017460869968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-2.8421709430404007E-14</v>
      </c>
      <c r="EK161" s="18">
        <f>EJ161*VLOOKUP('Données projet'!$B$15,Paramètres!$A$1:$I$89,3,0)*VLOOKUP('Données projet'!$B$15,Paramètres!$A$1:$I$89,5,0)</f>
        <v>-2.2168933355715127E-14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144.92790055195192</v>
      </c>
      <c r="EP161" s="62">
        <f t="shared" si="154"/>
        <v>151.00642748754026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8.7378441558203566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8.7378441558203566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-1.7053025658242404E-13</v>
      </c>
      <c r="O162" s="14">
        <f>N162*VLOOKUP('Données projet'!$B$9,Paramètres!$A$1:$I$89,3,0)*VLOOKUP('Données projet'!$B$9,Paramètres!$A$1:$I$89,5,0)</f>
        <v>-1.383341441396624E-13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259.10606516000064</v>
      </c>
      <c r="T162" s="62">
        <f t="shared" si="142"/>
        <v>316.57989180609252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14.380772891179671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14.380772891179671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186.83226999296298</v>
      </c>
      <c r="AO162" s="62">
        <f t="shared" si="144"/>
        <v>232.70925470547317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17.210729737149308</v>
      </c>
      <c r="AV162" s="23">
        <f>EXP(-LN(2)/25)*AV161+(1-EXP(-LN(2)/25))/(LN(2)/25)*Calculateur!AQ162*Calculateur!AS162*VLOOKUP('Données projet'!$B$10,Paramètres!$A$1:$I$89,3,0)*0.475*44/12</f>
        <v>0.86056013538246634</v>
      </c>
      <c r="AW162" s="23">
        <f>EXP(-LN(2)/2)*AW161+(1-EXP(-LN(2)/2))/(LN(2)/2)*AQ162*AT162*VLOOKUP('Données projet'!$B$10,Paramètres!$A$1:$I$89,3,0)*0.475*44/12</f>
        <v>9.4321690328652814E-15</v>
      </c>
      <c r="AX162" s="23">
        <f t="shared" si="166"/>
        <v>18.071289872531786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-2.2737367544323206E-13</v>
      </c>
      <c r="BE162" s="14">
        <f>BD162*VLOOKUP('Données projet'!$B$11,Paramètres!$A$1:$I$89,3,0)*VLOOKUP('Données projet'!$B$11,Paramètres!$A$1:$I$89,5,0)</f>
        <v>-2.0572770154103635E-13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435.70500547084868</v>
      </c>
      <c r="BJ162" s="62">
        <f t="shared" si="146"/>
        <v>297.32483725004136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55.97562874950507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55.97562874950507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-2.2737367544323206E-13</v>
      </c>
      <c r="BZ162" s="14">
        <f>BY162*VLOOKUP('Données projet'!$B$12,Paramètres!$A$1:$I$89,3,0)*VLOOKUP('Données projet'!$B$12,Paramètres!$A$1:$I$89,5,0)</f>
        <v>-2.5893314159475268E-13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530.15080507516973</v>
      </c>
      <c r="CE162" s="62">
        <f t="shared" si="148"/>
        <v>358.10331902702217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70.452084460583976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70.452084460583976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-4.8771653382573282E-14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182.98212193167009</v>
      </c>
      <c r="CZ162" s="62">
        <f t="shared" si="150"/>
        <v>195.9200038944301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15.471681402270047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15.471681402270047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2.2737367544323206E-13</v>
      </c>
      <c r="DP162" s="18">
        <f>DO162*VLOOKUP('Données projet'!$B$14,Paramètres!$A$1:$I$89,3,0)*VLOOKUP('Données projet'!$B$14,Paramètres!$A$1:$I$89,5,0)</f>
        <v>1.0049916454590858E-13</v>
      </c>
      <c r="DQ162" s="14">
        <f t="shared" si="176"/>
        <v>1.5089081593838289E-12</v>
      </c>
      <c r="DR162" s="22">
        <f t="shared" si="177"/>
        <v>2.8030510891776262E-12</v>
      </c>
      <c r="DS162" s="62">
        <f t="shared" si="125"/>
        <v>287.66066955837175</v>
      </c>
      <c r="DT162" s="62">
        <f ca="1">AVERAGE(OFFSET($DS$3,0,0,'Données projet'!$E$14+1,1))-AVERAGE(OFFSET($H$3,0,0,'Données projet'!$E$14+1,1))</f>
        <v>338.33525241236157</v>
      </c>
      <c r="DU162" s="62">
        <f t="shared" si="152"/>
        <v>373.47257029791717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34.039681317063781</v>
      </c>
      <c r="EB162" s="23">
        <f>EXP(-LN(2)/25)*EB161+(1-EXP(-LN(2)/25))/(LN(2)/25)*Calculateur!DW162*Calculateur!DY162*VLOOKUP('Données projet'!$B$14,Paramètres!$A$1:$I$89,3,0)*0.475*44/12</f>
        <v>2.7307168335742547</v>
      </c>
      <c r="EC162" s="23">
        <f>EXP(-LN(2)/2)*EC161+(1-EXP(-LN(2)/2))/(LN(2)/2)*DW162*DZ162*VLOOKUP('Données projet'!$B$14,Paramètres!$A$1:$I$89,3,0)*0.475*44/12</f>
        <v>1.8562454728924909E-14</v>
      </c>
      <c r="ED162" s="24">
        <f t="shared" si="178"/>
        <v>36.770398150638059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-2.8421709430404007E-14</v>
      </c>
      <c r="EK162" s="18">
        <f>EJ162*VLOOKUP('Données projet'!$B$15,Paramètres!$A$1:$I$89,3,0)*VLOOKUP('Données projet'!$B$15,Paramètres!$A$1:$I$89,5,0)</f>
        <v>-2.2168933355715127E-14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144.92790055195192</v>
      </c>
      <c r="EP162" s="62">
        <f t="shared" si="154"/>
        <v>151.00642748754026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8.5665003614834045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8.5665003614834045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-1.7053025658242404E-13</v>
      </c>
      <c r="O163" s="14">
        <f>N163*VLOOKUP('Données projet'!$B$9,Paramètres!$A$1:$I$89,3,0)*VLOOKUP('Données projet'!$B$9,Paramètres!$A$1:$I$89,5,0)</f>
        <v>-1.383341441396624E-13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259.10606516000064</v>
      </c>
      <c r="T163" s="62">
        <f t="shared" si="142"/>
        <v>316.57989180609252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14.098774706188998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14.098774706188998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186.83226999296298</v>
      </c>
      <c r="AO163" s="62">
        <f t="shared" si="144"/>
        <v>232.70925470547317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16.873237824512408</v>
      </c>
      <c r="AV163" s="23">
        <f>EXP(-LN(2)/25)*AV162+(1-EXP(-LN(2)/25))/(LN(2)/25)*Calculateur!AQ163*Calculateur!AS163*VLOOKUP('Données projet'!$B$10,Paramètres!$A$1:$I$89,3,0)*0.475*44/12</f>
        <v>0.83702807322554207</v>
      </c>
      <c r="AW163" s="23">
        <f>EXP(-LN(2)/2)*AW162+(1-EXP(-LN(2)/2))/(LN(2)/2)*AQ163*AT163*VLOOKUP('Données projet'!$B$10,Paramètres!$A$1:$I$89,3,0)*0.475*44/12</f>
        <v>6.6695506844368002E-15</v>
      </c>
      <c r="AX163" s="23">
        <f t="shared" si="166"/>
        <v>17.710265897737958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-2.2737367544323206E-13</v>
      </c>
      <c r="BE163" s="14">
        <f>BD163*VLOOKUP('Données projet'!$B$11,Paramètres!$A$1:$I$89,3,0)*VLOOKUP('Données projet'!$B$11,Paramètres!$A$1:$I$89,5,0)</f>
        <v>-2.0572770154103635E-13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435.70500547084868</v>
      </c>
      <c r="BJ163" s="62">
        <f t="shared" si="146"/>
        <v>297.32483725004136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54.877980811489593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54.877980811489593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-2.2737367544323206E-13</v>
      </c>
      <c r="BZ163" s="14">
        <f>BY163*VLOOKUP('Données projet'!$B$12,Paramètres!$A$1:$I$89,3,0)*VLOOKUP('Données projet'!$B$12,Paramètres!$A$1:$I$89,5,0)</f>
        <v>-2.5893314159475268E-13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530.15080507516973</v>
      </c>
      <c r="CE163" s="62">
        <f t="shared" si="148"/>
        <v>358.10331902702217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69.070562055840355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69.070562055840355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-4.8771653382573282E-14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182.98212193167009</v>
      </c>
      <c r="CZ163" s="62">
        <f t="shared" si="150"/>
        <v>195.9200038944301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15.16829116676538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15.16829116676538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2.2737367544323206E-13</v>
      </c>
      <c r="DP163" s="18">
        <f>DO163*VLOOKUP('Données projet'!$B$14,Paramètres!$A$1:$I$89,3,0)*VLOOKUP('Données projet'!$B$14,Paramètres!$A$1:$I$89,5,0)</f>
        <v>1.0049916454590858E-13</v>
      </c>
      <c r="DQ163" s="14">
        <f t="shared" si="176"/>
        <v>1.5089081593838289E-12</v>
      </c>
      <c r="DR163" s="22">
        <f t="shared" si="177"/>
        <v>2.8030510891776262E-12</v>
      </c>
      <c r="DS163" s="62">
        <f t="shared" si="125"/>
        <v>287.75907759269114</v>
      </c>
      <c r="DT163" s="62">
        <f ca="1">AVERAGE(OFFSET($DS$3,0,0,'Données projet'!$E$14+1,1))-AVERAGE(OFFSET($H$3,0,0,'Données projet'!$E$14+1,1))</f>
        <v>338.33525241236157</v>
      </c>
      <c r="DU163" s="62">
        <f t="shared" si="152"/>
        <v>373.47257029791717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33.372183928591674</v>
      </c>
      <c r="EB163" s="23">
        <f>EXP(-LN(2)/25)*EB162+(1-EXP(-LN(2)/25))/(LN(2)/25)*Calculateur!DW163*Calculateur!DY163*VLOOKUP('Données projet'!$B$14,Paramètres!$A$1:$I$89,3,0)*0.475*44/12</f>
        <v>2.6560452381580095</v>
      </c>
      <c r="EC163" s="23">
        <f>EXP(-LN(2)/2)*EC162+(1-EXP(-LN(2)/2))/(LN(2)/2)*DW163*DZ163*VLOOKUP('Données projet'!$B$14,Paramètres!$A$1:$I$89,3,0)*0.475*44/12</f>
        <v>1.31256376142911E-14</v>
      </c>
      <c r="ED163" s="24">
        <f t="shared" si="178"/>
        <v>36.028229166749696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-2.8421709430404007E-14</v>
      </c>
      <c r="EK163" s="18">
        <f>EJ163*VLOOKUP('Données projet'!$B$15,Paramètres!$A$1:$I$89,3,0)*VLOOKUP('Données projet'!$B$15,Paramètres!$A$1:$I$89,5,0)</f>
        <v>-2.2168933355715127E-14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144.92790055195192</v>
      </c>
      <c r="EP163" s="62">
        <f t="shared" si="154"/>
        <v>151.00642748754026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8.3985165144440046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8.3985165144440046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-1.7053025658242404E-13</v>
      </c>
      <c r="O164" s="14">
        <f>N164*VLOOKUP('Données projet'!$B$9,Paramètres!$A$1:$I$89,3,0)*VLOOKUP('Données projet'!$B$9,Paramètres!$A$1:$I$89,5,0)</f>
        <v>-1.383341441396624E-13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259.10606516000064</v>
      </c>
      <c r="T164" s="62">
        <f t="shared" si="142"/>
        <v>316.57989180609252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13.822306333604082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13.822306333604082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186.83226999296298</v>
      </c>
      <c r="AO164" s="62">
        <f t="shared" si="144"/>
        <v>232.70925470547317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16.542363922432575</v>
      </c>
      <c r="AV164" s="23">
        <f>EXP(-LN(2)/25)*AV163+(1-EXP(-LN(2)/25))/(LN(2)/25)*Calculateur!AQ164*Calculateur!AS164*VLOOKUP('Données projet'!$B$10,Paramètres!$A$1:$I$89,3,0)*0.475*44/12</f>
        <v>0.81413949654579632</v>
      </c>
      <c r="AW164" s="23">
        <f>EXP(-LN(2)/2)*AW163+(1-EXP(-LN(2)/2))/(LN(2)/2)*AQ164*AT164*VLOOKUP('Données projet'!$B$10,Paramètres!$A$1:$I$89,3,0)*0.475*44/12</f>
        <v>4.7160845164326407E-15</v>
      </c>
      <c r="AX164" s="23">
        <f t="shared" si="166"/>
        <v>17.356503418978374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-2.2737367544323206E-13</v>
      </c>
      <c r="BE164" s="14">
        <f>BD164*VLOOKUP('Données projet'!$B$11,Paramètres!$A$1:$I$89,3,0)*VLOOKUP('Données projet'!$B$11,Paramètres!$A$1:$I$89,5,0)</f>
        <v>-2.0572770154103635E-13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435.70500547084868</v>
      </c>
      <c r="BJ164" s="62">
        <f t="shared" si="146"/>
        <v>297.32483725004136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53.801857080039468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53.801857080039468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-2.2737367544323206E-13</v>
      </c>
      <c r="BZ164" s="14">
        <f>BY164*VLOOKUP('Données projet'!$B$12,Paramètres!$A$1:$I$89,3,0)*VLOOKUP('Données projet'!$B$12,Paramètres!$A$1:$I$89,5,0)</f>
        <v>-2.5893314159475268E-13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530.15080507516973</v>
      </c>
      <c r="CE164" s="62">
        <f t="shared" si="148"/>
        <v>358.10331902702217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67.716130462808295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67.716130462808295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-4.8771653382573282E-14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182.98212193167009</v>
      </c>
      <c r="CZ164" s="62">
        <f t="shared" si="150"/>
        <v>195.9200038944301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14.870850228729189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14.870850228729189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2.2737367544323206E-13</v>
      </c>
      <c r="DP164" s="18">
        <f>DO164*VLOOKUP('Données projet'!$B$14,Paramètres!$A$1:$I$89,3,0)*VLOOKUP('Données projet'!$B$14,Paramètres!$A$1:$I$89,5,0)</f>
        <v>1.0049916454590858E-13</v>
      </c>
      <c r="DQ164" s="14">
        <f t="shared" si="176"/>
        <v>1.5089081593838289E-12</v>
      </c>
      <c r="DR164" s="22">
        <f t="shared" si="177"/>
        <v>2.8030510891776262E-12</v>
      </c>
      <c r="DS164" s="62">
        <f t="shared" si="125"/>
        <v>287.85577846762249</v>
      </c>
      <c r="DT164" s="62">
        <f ca="1">AVERAGE(OFFSET($DS$3,0,0,'Données projet'!$E$14+1,1))-AVERAGE(OFFSET($H$3,0,0,'Données projet'!$E$14+1,1))</f>
        <v>338.33525241236157</v>
      </c>
      <c r="DU164" s="62">
        <f t="shared" si="152"/>
        <v>373.47257029791717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32.717775756774294</v>
      </c>
      <c r="EB164" s="23">
        <f>EXP(-LN(2)/25)*EB163+(1-EXP(-LN(2)/25))/(LN(2)/25)*Calculateur!DW164*Calculateur!DY164*VLOOKUP('Données projet'!$B$14,Paramètres!$A$1:$I$89,3,0)*0.475*44/12</f>
        <v>2.58341554144523</v>
      </c>
      <c r="EC164" s="23">
        <f>EXP(-LN(2)/2)*EC163+(1-EXP(-LN(2)/2))/(LN(2)/2)*DW164*DZ164*VLOOKUP('Données projet'!$B$14,Paramètres!$A$1:$I$89,3,0)*0.475*44/12</f>
        <v>9.2812273644624544E-15</v>
      </c>
      <c r="ED164" s="24">
        <f t="shared" si="178"/>
        <v>35.301191298219528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-2.8421709430404007E-14</v>
      </c>
      <c r="EK164" s="18">
        <f>EJ164*VLOOKUP('Données projet'!$B$15,Paramètres!$A$1:$I$89,3,0)*VLOOKUP('Données projet'!$B$15,Paramètres!$A$1:$I$89,5,0)</f>
        <v>-2.2168933355715127E-14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144.92790055195192</v>
      </c>
      <c r="EP164" s="62">
        <f t="shared" si="154"/>
        <v>151.00642748754026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8.2338267281850186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8.2338267281850186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-1.7053025658242404E-13</v>
      </c>
      <c r="O165" s="14">
        <f>N165*VLOOKUP('Données projet'!$B$9,Paramètres!$A$1:$I$89,3,0)*VLOOKUP('Données projet'!$B$9,Paramètres!$A$1:$I$89,5,0)</f>
        <v>-1.383341441396624E-13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259.10606516000064</v>
      </c>
      <c r="T165" s="62">
        <f t="shared" si="142"/>
        <v>316.57989180609252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13.5512593371765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13.5512593371765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186.83226999296298</v>
      </c>
      <c r="AO165" s="62">
        <f t="shared" si="144"/>
        <v>232.70925470547317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16.217978255759377</v>
      </c>
      <c r="AV165" s="23">
        <f>EXP(-LN(2)/25)*AV164+(1-EXP(-LN(2)/25))/(LN(2)/25)*Calculateur!AQ165*Calculateur!AS165*VLOOKUP('Données projet'!$B$10,Paramètres!$A$1:$I$89,3,0)*0.475*44/12</f>
        <v>0.79187680919901615</v>
      </c>
      <c r="AW165" s="23">
        <f>EXP(-LN(2)/2)*AW164+(1-EXP(-LN(2)/2))/(LN(2)/2)*AQ165*AT165*VLOOKUP('Données projet'!$B$10,Paramètres!$A$1:$I$89,3,0)*0.475*44/12</f>
        <v>3.3347753422184001E-15</v>
      </c>
      <c r="AX165" s="23">
        <f t="shared" si="166"/>
        <v>17.009855064958398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-2.2737367544323206E-13</v>
      </c>
      <c r="BE165" s="14">
        <f>BD165*VLOOKUP('Données projet'!$B$11,Paramètres!$A$1:$I$89,3,0)*VLOOKUP('Données projet'!$B$11,Paramètres!$A$1:$I$89,5,0)</f>
        <v>-2.0572770154103635E-13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435.70500547084868</v>
      </c>
      <c r="BJ165" s="62">
        <f t="shared" si="146"/>
        <v>297.32483725004136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52.746835478592416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52.746835478592416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-2.2737367544323206E-13</v>
      </c>
      <c r="BZ165" s="14">
        <f>BY165*VLOOKUP('Données projet'!$B$12,Paramètres!$A$1:$I$89,3,0)*VLOOKUP('Données projet'!$B$12,Paramètres!$A$1:$I$89,5,0)</f>
        <v>-2.5893314159475268E-13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530.15080507516973</v>
      </c>
      <c r="CE165" s="62">
        <f t="shared" si="148"/>
        <v>358.10331902702217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66.388258447193891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66.388258447193891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-4.8771653382573282E-14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182.98212193167009</v>
      </c>
      <c r="CZ165" s="62">
        <f t="shared" si="150"/>
        <v>195.9200038944301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14.57924192606683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14.57924192606683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2.2737367544323206E-13</v>
      </c>
      <c r="DP165" s="18">
        <f>DO165*VLOOKUP('Données projet'!$B$14,Paramètres!$A$1:$I$89,3,0)*VLOOKUP('Données projet'!$B$14,Paramètres!$A$1:$I$89,5,0)</f>
        <v>1.0049916454590858E-13</v>
      </c>
      <c r="DQ165" s="14">
        <f t="shared" si="176"/>
        <v>1.5089081593838289E-12</v>
      </c>
      <c r="DR165" s="22">
        <f t="shared" si="177"/>
        <v>2.8030510891776262E-12</v>
      </c>
      <c r="DS165" s="62">
        <f t="shared" si="125"/>
        <v>287.9508017985645</v>
      </c>
      <c r="DT165" s="62">
        <f ca="1">AVERAGE(OFFSET($DS$3,0,0,'Données projet'!$E$14+1,1))-AVERAGE(OFFSET($H$3,0,0,'Données projet'!$E$14+1,1))</f>
        <v>338.33525241236157</v>
      </c>
      <c r="DU165" s="62">
        <f t="shared" si="152"/>
        <v>373.47257029791717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32.076200130056684</v>
      </c>
      <c r="EB165" s="23">
        <f>EXP(-LN(2)/25)*EB164+(1-EXP(-LN(2)/25))/(LN(2)/25)*Calculateur!DW165*Calculateur!DY165*VLOOKUP('Données projet'!$B$14,Paramètres!$A$1:$I$89,3,0)*0.475*44/12</f>
        <v>2.5127719076084913</v>
      </c>
      <c r="EC165" s="23">
        <f>EXP(-LN(2)/2)*EC164+(1-EXP(-LN(2)/2))/(LN(2)/2)*DW165*DZ165*VLOOKUP('Données projet'!$B$14,Paramètres!$A$1:$I$89,3,0)*0.475*44/12</f>
        <v>6.56281880714555E-15</v>
      </c>
      <c r="ED165" s="24">
        <f t="shared" si="178"/>
        <v>34.588972037665179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-2.8421709430404007E-14</v>
      </c>
      <c r="EK165" s="18">
        <f>EJ165*VLOOKUP('Données projet'!$B$15,Paramètres!$A$1:$I$89,3,0)*VLOOKUP('Données projet'!$B$15,Paramètres!$A$1:$I$89,5,0)</f>
        <v>-2.2168933355715127E-14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144.92790055195192</v>
      </c>
      <c r="EP165" s="62">
        <f t="shared" si="154"/>
        <v>151.00642748754026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8.0723664081837203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8.0723664081837203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-1.7053025658242404E-13</v>
      </c>
      <c r="O166" s="14">
        <f>N166*VLOOKUP('Données projet'!$B$9,Paramètres!$A$1:$I$89,3,0)*VLOOKUP('Données projet'!$B$9,Paramètres!$A$1:$I$89,5,0)</f>
        <v>-1.383341441396624E-13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259.10606516000064</v>
      </c>
      <c r="T166" s="62">
        <f t="shared" si="142"/>
        <v>316.57989180609252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13.285527407026519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13.285527407026519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186.83226999296298</v>
      </c>
      <c r="AO166" s="62">
        <f t="shared" si="144"/>
        <v>232.70925470547317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15.899953594153919</v>
      </c>
      <c r="AV166" s="23">
        <f>EXP(-LN(2)/25)*AV165+(1-EXP(-LN(2)/25))/(LN(2)/25)*Calculateur!AQ166*Calculateur!AS166*VLOOKUP('Données projet'!$B$10,Paramètres!$A$1:$I$89,3,0)*0.475*44/12</f>
        <v>0.7702228962084775</v>
      </c>
      <c r="AW166" s="23">
        <f>EXP(-LN(2)/2)*AW165+(1-EXP(-LN(2)/2))/(LN(2)/2)*AQ166*AT166*VLOOKUP('Données projet'!$B$10,Paramètres!$A$1:$I$89,3,0)*0.475*44/12</f>
        <v>2.3580422582163204E-15</v>
      </c>
      <c r="AX166" s="23">
        <f t="shared" si="166"/>
        <v>16.670176490362401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-2.2737367544323206E-13</v>
      </c>
      <c r="BE166" s="14">
        <f>BD166*VLOOKUP('Données projet'!$B$11,Paramètres!$A$1:$I$89,3,0)*VLOOKUP('Données projet'!$B$11,Paramètres!$A$1:$I$89,5,0)</f>
        <v>-2.0572770154103635E-13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435.70500547084868</v>
      </c>
      <c r="BJ166" s="62">
        <f t="shared" si="146"/>
        <v>297.32483725004136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51.712502207250104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51.712502207250104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-2.2737367544323206E-13</v>
      </c>
      <c r="BZ166" s="14">
        <f>BY166*VLOOKUP('Données projet'!$B$12,Paramètres!$A$1:$I$89,3,0)*VLOOKUP('Données projet'!$B$12,Paramètres!$A$1:$I$89,5,0)</f>
        <v>-2.5893314159475268E-13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530.15080507516973</v>
      </c>
      <c r="CE166" s="62">
        <f t="shared" si="148"/>
        <v>358.10331902702217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65.086425191883734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65.086425191883734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-4.8771653382573282E-14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182.98212193167009</v>
      </c>
      <c r="CZ166" s="62">
        <f t="shared" si="150"/>
        <v>195.9200038944301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14.293351884356177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14.293351884356177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2.2737367544323206E-13</v>
      </c>
      <c r="DP166" s="18">
        <f>DO166*VLOOKUP('Données projet'!$B$14,Paramètres!$A$1:$I$89,3,0)*VLOOKUP('Données projet'!$B$14,Paramètres!$A$1:$I$89,5,0)</f>
        <v>1.0049916454590858E-13</v>
      </c>
      <c r="DQ166" s="14">
        <f t="shared" si="176"/>
        <v>1.5089081593838289E-12</v>
      </c>
      <c r="DR166" s="22">
        <f t="shared" si="177"/>
        <v>2.8030510891776262E-12</v>
      </c>
      <c r="DS166" s="62">
        <f t="shared" si="125"/>
        <v>288.04417668715502</v>
      </c>
      <c r="DT166" s="62">
        <f ca="1">AVERAGE(OFFSET($DS$3,0,0,'Données projet'!$E$14+1,1))-AVERAGE(OFFSET($H$3,0,0,'Données projet'!$E$14+1,1))</f>
        <v>338.33525241236157</v>
      </c>
      <c r="DU166" s="62">
        <f t="shared" si="152"/>
        <v>373.47257029791717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31.447205410056512</v>
      </c>
      <c r="EB166" s="23">
        <f>EXP(-LN(2)/25)*EB165+(1-EXP(-LN(2)/25))/(LN(2)/25)*Calculateur!DW166*Calculateur!DY166*VLOOKUP('Données projet'!$B$14,Paramètres!$A$1:$I$89,3,0)*0.475*44/12</f>
        <v>2.4440600276540057</v>
      </c>
      <c r="EC166" s="23">
        <f>EXP(-LN(2)/2)*EC165+(1-EXP(-LN(2)/2))/(LN(2)/2)*DW166*DZ166*VLOOKUP('Données projet'!$B$14,Paramètres!$A$1:$I$89,3,0)*0.475*44/12</f>
        <v>4.6406136822312272E-15</v>
      </c>
      <c r="ED166" s="24">
        <f t="shared" si="178"/>
        <v>33.891265437710523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-2.8421709430404007E-14</v>
      </c>
      <c r="EK166" s="18">
        <f>EJ166*VLOOKUP('Données projet'!$B$15,Paramètres!$A$1:$I$89,3,0)*VLOOKUP('Données projet'!$B$15,Paramètres!$A$1:$I$89,5,0)</f>
        <v>-2.2168933355715127E-14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144.92790055195192</v>
      </c>
      <c r="EP166" s="62">
        <f t="shared" si="154"/>
        <v>151.00642748754026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7.9140722265765762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7.9140722265765762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-1.7053025658242404E-13</v>
      </c>
      <c r="O167" s="14">
        <f>N167*VLOOKUP('Données projet'!$B$9,Paramètres!$A$1:$I$89,3,0)*VLOOKUP('Données projet'!$B$9,Paramètres!$A$1:$I$89,5,0)</f>
        <v>-1.383341441396624E-13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259.10606516000064</v>
      </c>
      <c r="T167" s="62">
        <f t="shared" si="142"/>
        <v>316.57989180609252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13.025006317946305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13.025006317946305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186.83226999296298</v>
      </c>
      <c r="AO167" s="62">
        <f t="shared" si="144"/>
        <v>232.70925470547317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15.588165202186653</v>
      </c>
      <c r="AV167" s="23">
        <f>EXP(-LN(2)/25)*AV166+(1-EXP(-LN(2)/25))/(LN(2)/25)*Calculateur!AQ167*Calculateur!AS167*VLOOKUP('Données projet'!$B$10,Paramètres!$A$1:$I$89,3,0)*0.475*44/12</f>
        <v>0.74916111060739499</v>
      </c>
      <c r="AW167" s="23">
        <f>EXP(-LN(2)/2)*AW166+(1-EXP(-LN(2)/2))/(LN(2)/2)*AQ167*AT167*VLOOKUP('Données projet'!$B$10,Paramètres!$A$1:$I$89,3,0)*0.475*44/12</f>
        <v>1.6673876711092001E-15</v>
      </c>
      <c r="AX167" s="23">
        <f t="shared" si="166"/>
        <v>16.337326312794048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-2.2737367544323206E-13</v>
      </c>
      <c r="BE167" s="14">
        <f>BD167*VLOOKUP('Données projet'!$B$11,Paramètres!$A$1:$I$89,3,0)*VLOOKUP('Données projet'!$B$11,Paramètres!$A$1:$I$89,5,0)</f>
        <v>-2.0572770154103635E-13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435.70500547084868</v>
      </c>
      <c r="BJ167" s="62">
        <f t="shared" si="146"/>
        <v>297.32483725004136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50.698451580477808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50.698451580477808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-2.2737367544323206E-13</v>
      </c>
      <c r="BZ167" s="14">
        <f>BY167*VLOOKUP('Données projet'!$B$12,Paramètres!$A$1:$I$89,3,0)*VLOOKUP('Données projet'!$B$12,Paramètres!$A$1:$I$89,5,0)</f>
        <v>-2.5893314159475268E-13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530.15080507516973</v>
      </c>
      <c r="CE167" s="62">
        <f t="shared" si="148"/>
        <v>358.10331902702217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63.810120092670331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63.810120092670331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-4.8771653382573282E-14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182.98212193167009</v>
      </c>
      <c r="CZ167" s="62">
        <f t="shared" si="150"/>
        <v>195.9200038944301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14.013067971987763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14.013067971987763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2.2737367544323206E-13</v>
      </c>
      <c r="DP167" s="18">
        <f>DO167*VLOOKUP('Données projet'!$B$14,Paramètres!$A$1:$I$89,3,0)*VLOOKUP('Données projet'!$B$14,Paramètres!$A$1:$I$89,5,0)</f>
        <v>1.0049916454590858E-13</v>
      </c>
      <c r="DQ167" s="14">
        <f t="shared" si="176"/>
        <v>1.5089081593838289E-12</v>
      </c>
      <c r="DR167" s="22">
        <f t="shared" si="177"/>
        <v>2.8030510891776262E-12</v>
      </c>
      <c r="DS167" s="62">
        <f t="shared" si="125"/>
        <v>288.13593173018347</v>
      </c>
      <c r="DT167" s="62">
        <f ca="1">AVERAGE(OFFSET($DS$3,0,0,'Données projet'!$E$14+1,1))-AVERAGE(OFFSET($H$3,0,0,'Données projet'!$E$14+1,1))</f>
        <v>338.33525241236157</v>
      </c>
      <c r="DU167" s="62">
        <f t="shared" si="152"/>
        <v>373.47257029791717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30.830544892866648</v>
      </c>
      <c r="EB167" s="23">
        <f>EXP(-LN(2)/25)*EB166+(1-EXP(-LN(2)/25))/(LN(2)/25)*Calculateur!DW167*Calculateur!DY167*VLOOKUP('Données projet'!$B$14,Paramètres!$A$1:$I$89,3,0)*0.475*44/12</f>
        <v>2.377227077670276</v>
      </c>
      <c r="EC167" s="23">
        <f>EXP(-LN(2)/2)*EC166+(1-EXP(-LN(2)/2))/(LN(2)/2)*DW167*DZ167*VLOOKUP('Données projet'!$B$14,Paramètres!$A$1:$I$89,3,0)*0.475*44/12</f>
        <v>3.281409403572775E-15</v>
      </c>
      <c r="ED167" s="24">
        <f t="shared" si="178"/>
        <v>33.207771970536925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-2.8421709430404007E-14</v>
      </c>
      <c r="EK167" s="18">
        <f>EJ167*VLOOKUP('Données projet'!$B$15,Paramètres!$A$1:$I$89,3,0)*VLOOKUP('Données projet'!$B$15,Paramètres!$A$1:$I$89,5,0)</f>
        <v>-2.2168933355715127E-14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144.92790055195192</v>
      </c>
      <c r="EP167" s="62">
        <f t="shared" si="154"/>
        <v>151.00642748754026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7.7588820973208303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7.7588820973208303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-1.7053025658242404E-13</v>
      </c>
      <c r="O168" s="14">
        <f>N168*VLOOKUP('Données projet'!$B$9,Paramètres!$A$1:$I$89,3,0)*VLOOKUP('Données projet'!$B$9,Paramètres!$A$1:$I$89,5,0)</f>
        <v>-1.383341441396624E-13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259.10606516000064</v>
      </c>
      <c r="T168" s="62">
        <f t="shared" si="142"/>
        <v>316.57989180609252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12.769593888520781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12.769593888520781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186.83226999296298</v>
      </c>
      <c r="AO168" s="62">
        <f t="shared" si="144"/>
        <v>232.70925470547317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15.282490790413725</v>
      </c>
      <c r="AV168" s="23">
        <f>EXP(-LN(2)/25)*AV167+(1-EXP(-LN(2)/25))/(LN(2)/25)*Calculateur!AQ168*Calculateur!AS168*VLOOKUP('Données projet'!$B$10,Paramètres!$A$1:$I$89,3,0)*0.475*44/12</f>
        <v>0.72867526064116517</v>
      </c>
      <c r="AW168" s="23">
        <f>EXP(-LN(2)/2)*AW167+(1-EXP(-LN(2)/2))/(LN(2)/2)*AQ168*AT168*VLOOKUP('Données projet'!$B$10,Paramètres!$A$1:$I$89,3,0)*0.475*44/12</f>
        <v>1.1790211291081602E-15</v>
      </c>
      <c r="AX168" s="23">
        <f t="shared" si="166"/>
        <v>16.011166051054889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-2.2737367544323206E-13</v>
      </c>
      <c r="BE168" s="14">
        <f>BD168*VLOOKUP('Données projet'!$B$11,Paramètres!$A$1:$I$89,3,0)*VLOOKUP('Données projet'!$B$11,Paramètres!$A$1:$I$89,5,0)</f>
        <v>-2.0572770154103635E-13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435.70500547084868</v>
      </c>
      <c r="BJ168" s="62">
        <f t="shared" si="146"/>
        <v>297.32483725004136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49.704285867986712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49.704285867986712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-2.2737367544323206E-13</v>
      </c>
      <c r="BZ168" s="14">
        <f>BY168*VLOOKUP('Données projet'!$B$12,Paramètres!$A$1:$I$89,3,0)*VLOOKUP('Données projet'!$B$12,Paramètres!$A$1:$I$89,5,0)</f>
        <v>-2.5893314159475268E-13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530.15080507516973</v>
      </c>
      <c r="CE168" s="62">
        <f t="shared" si="148"/>
        <v>358.10331902702217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62.558842557983262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62.558842557983262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-4.8771653382573282E-14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182.98212193167009</v>
      </c>
      <c r="CZ168" s="62">
        <f t="shared" si="150"/>
        <v>195.9200038944301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13.738280256184586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13.738280256184586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2.2737367544323206E-13</v>
      </c>
      <c r="DP168" s="18">
        <f>DO168*VLOOKUP('Données projet'!$B$14,Paramètres!$A$1:$I$89,3,0)*VLOOKUP('Données projet'!$B$14,Paramètres!$A$1:$I$89,5,0)</f>
        <v>1.0049916454590858E-13</v>
      </c>
      <c r="DQ168" s="14">
        <f t="shared" si="176"/>
        <v>1.5089081593838289E-12</v>
      </c>
      <c r="DR168" s="22">
        <f t="shared" si="177"/>
        <v>2.8030510891776262E-12</v>
      </c>
      <c r="DS168" s="62">
        <f t="shared" si="125"/>
        <v>288.22609502834894</v>
      </c>
      <c r="DT168" s="62">
        <f ca="1">AVERAGE(OFFSET($DS$3,0,0,'Données projet'!$E$14+1,1))-AVERAGE(OFFSET($H$3,0,0,'Données projet'!$E$14+1,1))</f>
        <v>338.33525241236157</v>
      </c>
      <c r="DU168" s="62">
        <f t="shared" si="152"/>
        <v>373.47257029791717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30.2259767122931</v>
      </c>
      <c r="EB168" s="23">
        <f>EXP(-LN(2)/25)*EB167+(1-EXP(-LN(2)/25))/(LN(2)/25)*Calculateur!DW168*Calculateur!DY168*VLOOKUP('Données projet'!$B$14,Paramètres!$A$1:$I$89,3,0)*0.475*44/12</f>
        <v>2.3122216782184433</v>
      </c>
      <c r="EC168" s="23">
        <f>EXP(-LN(2)/2)*EC167+(1-EXP(-LN(2)/2))/(LN(2)/2)*DW168*DZ168*VLOOKUP('Données projet'!$B$14,Paramètres!$A$1:$I$89,3,0)*0.475*44/12</f>
        <v>2.3203068411156136E-15</v>
      </c>
      <c r="ED168" s="24">
        <f t="shared" si="178"/>
        <v>32.538198390511546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-2.8421709430404007E-14</v>
      </c>
      <c r="EK168" s="18">
        <f>EJ168*VLOOKUP('Données projet'!$B$15,Paramètres!$A$1:$I$89,3,0)*VLOOKUP('Données projet'!$B$15,Paramètres!$A$1:$I$89,5,0)</f>
        <v>-2.2168933355715127E-14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144.92790055195192</v>
      </c>
      <c r="EP168" s="62">
        <f t="shared" si="154"/>
        <v>151.00642748754026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7.6067351518431572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7.6067351518431572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-1.7053025658242404E-13</v>
      </c>
      <c r="O169" s="14">
        <f>N169*VLOOKUP('Données projet'!$B$9,Paramètres!$A$1:$I$89,3,0)*VLOOKUP('Données projet'!$B$9,Paramètres!$A$1:$I$89,5,0)</f>
        <v>-1.383341441396624E-13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259.10606516000064</v>
      </c>
      <c r="T169" s="62">
        <f t="shared" si="142"/>
        <v>316.57989180609252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12.519189941050092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12.519189941050092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186.83226999296298</v>
      </c>
      <c r="AO169" s="62">
        <f t="shared" si="144"/>
        <v>232.70925470547317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14.982810467412682</v>
      </c>
      <c r="AV169" s="23">
        <f>EXP(-LN(2)/25)*AV168+(1-EXP(-LN(2)/25))/(LN(2)/25)*Calculateur!AQ169*Calculateur!AS169*VLOOKUP('Données projet'!$B$10,Paramètres!$A$1:$I$89,3,0)*0.475*44/12</f>
        <v>0.70874959731956599</v>
      </c>
      <c r="AW169" s="23">
        <f>EXP(-LN(2)/2)*AW168+(1-EXP(-LN(2)/2))/(LN(2)/2)*AQ169*AT169*VLOOKUP('Données projet'!$B$10,Paramètres!$A$1:$I$89,3,0)*0.475*44/12</f>
        <v>8.3369383555460003E-16</v>
      </c>
      <c r="AX169" s="23">
        <f t="shared" si="166"/>
        <v>15.691560064732247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-2.2737367544323206E-13</v>
      </c>
      <c r="BE169" s="14">
        <f>BD169*VLOOKUP('Données projet'!$B$11,Paramètres!$A$1:$I$89,3,0)*VLOOKUP('Données projet'!$B$11,Paramètres!$A$1:$I$89,5,0)</f>
        <v>-2.0572770154103635E-13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435.70500547084868</v>
      </c>
      <c r="BJ169" s="62">
        <f t="shared" si="146"/>
        <v>297.32483725004136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48.729615138736357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48.729615138736357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-2.2737367544323206E-13</v>
      </c>
      <c r="BZ169" s="14">
        <f>BY169*VLOOKUP('Données projet'!$B$12,Paramètres!$A$1:$I$89,3,0)*VLOOKUP('Données projet'!$B$12,Paramètres!$A$1:$I$89,5,0)</f>
        <v>-2.5893314159475268E-13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530.15080507516973</v>
      </c>
      <c r="CE169" s="62">
        <f t="shared" si="148"/>
        <v>358.10331902702217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61.332101812547464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61.332101812547464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-4.8771653382573282E-14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182.98212193167009</v>
      </c>
      <c r="CZ169" s="62">
        <f t="shared" si="150"/>
        <v>195.9200038944301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13.468880959884354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13.468880959884354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2.2737367544323206E-13</v>
      </c>
      <c r="DP169" s="18">
        <f>DO169*VLOOKUP('Données projet'!$B$14,Paramètres!$A$1:$I$89,3,0)*VLOOKUP('Données projet'!$B$14,Paramètres!$A$1:$I$89,5,0)</f>
        <v>1.0049916454590858E-13</v>
      </c>
      <c r="DQ169" s="14">
        <f t="shared" si="176"/>
        <v>1.5089081593838289E-12</v>
      </c>
      <c r="DR169" s="22">
        <f t="shared" si="177"/>
        <v>2.8030510891776262E-12</v>
      </c>
      <c r="DS169" s="62">
        <f t="shared" si="125"/>
        <v>288.31469419486621</v>
      </c>
      <c r="DT169" s="62">
        <f ca="1">AVERAGE(OFFSET($DS$3,0,0,'Données projet'!$E$14+1,1))-AVERAGE(OFFSET($H$3,0,0,'Données projet'!$E$14+1,1))</f>
        <v>338.33525241236157</v>
      </c>
      <c r="DU169" s="62">
        <f t="shared" si="152"/>
        <v>373.47257029791717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29.633263744990419</v>
      </c>
      <c r="EB169" s="23">
        <f>EXP(-LN(2)/25)*EB168+(1-EXP(-LN(2)/25))/(LN(2)/25)*Calculateur!DW169*Calculateur!DY169*VLOOKUP('Données projet'!$B$14,Paramètres!$A$1:$I$89,3,0)*0.475*44/12</f>
        <v>2.2489938548331065</v>
      </c>
      <c r="EC169" s="23">
        <f>EXP(-LN(2)/2)*EC168+(1-EXP(-LN(2)/2))/(LN(2)/2)*DW169*DZ169*VLOOKUP('Données projet'!$B$14,Paramètres!$A$1:$I$89,3,0)*0.475*44/12</f>
        <v>1.6407047017863875E-15</v>
      </c>
      <c r="ED169" s="24">
        <f t="shared" si="178"/>
        <v>31.882257599823525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-2.8421709430404007E-14</v>
      </c>
      <c r="EK169" s="18">
        <f>EJ169*VLOOKUP('Données projet'!$B$15,Paramètres!$A$1:$I$89,3,0)*VLOOKUP('Données projet'!$B$15,Paramètres!$A$1:$I$89,5,0)</f>
        <v>-2.2168933355715127E-14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144.92790055195192</v>
      </c>
      <c r="EP169" s="62">
        <f t="shared" si="154"/>
        <v>151.00642748754026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7.4575717151658285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7.4575717151658285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-1.7053025658242404E-13</v>
      </c>
      <c r="O170" s="14">
        <f>N170*VLOOKUP('Données projet'!$B$9,Paramètres!$A$1:$I$89,3,0)*VLOOKUP('Données projet'!$B$9,Paramètres!$A$1:$I$89,5,0)</f>
        <v>-1.383341441396624E-13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259.10606516000064</v>
      </c>
      <c r="T170" s="62">
        <f t="shared" si="142"/>
        <v>316.57989180609252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12.273696262257976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12.273696262257976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186.83226999296298</v>
      </c>
      <c r="AO170" s="62">
        <f t="shared" si="144"/>
        <v>232.70925470547317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14.689006692758742</v>
      </c>
      <c r="AV170" s="23">
        <f>EXP(-LN(2)/25)*AV169+(1-EXP(-LN(2)/25))/(LN(2)/25)*Calculateur!AQ170*Calculateur!AS170*VLOOKUP('Données projet'!$B$10,Paramètres!$A$1:$I$89,3,0)*0.475*44/12</f>
        <v>0.68936880230934106</v>
      </c>
      <c r="AW170" s="23">
        <f>EXP(-LN(2)/2)*AW169+(1-EXP(-LN(2)/2))/(LN(2)/2)*AQ170*AT170*VLOOKUP('Données projet'!$B$10,Paramètres!$A$1:$I$89,3,0)*0.475*44/12</f>
        <v>5.8951056455408009E-16</v>
      </c>
      <c r="AX170" s="23">
        <f t="shared" si="166"/>
        <v>15.378375495068083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-2.2737367544323206E-13</v>
      </c>
      <c r="BE170" s="14">
        <f>BD170*VLOOKUP('Données projet'!$B$11,Paramètres!$A$1:$I$89,3,0)*VLOOKUP('Données projet'!$B$11,Paramètres!$A$1:$I$89,5,0)</f>
        <v>-2.0572770154103635E-13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435.70500547084868</v>
      </c>
      <c r="BJ170" s="62">
        <f t="shared" si="146"/>
        <v>297.32483725004136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47.774057107996157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47.774057107996157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-2.2737367544323206E-13</v>
      </c>
      <c r="BZ170" s="14">
        <f>BY170*VLOOKUP('Données projet'!$B$12,Paramètres!$A$1:$I$89,3,0)*VLOOKUP('Données projet'!$B$12,Paramètres!$A$1:$I$89,5,0)</f>
        <v>-2.5893314159475268E-13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530.15080507516973</v>
      </c>
      <c r="CE170" s="62">
        <f t="shared" si="148"/>
        <v>358.10331902702217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60.129416704891696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60.129416704891696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-4.8771653382573282E-14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182.98212193167009</v>
      </c>
      <c r="CZ170" s="62">
        <f t="shared" si="150"/>
        <v>195.9200038944301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13.204764419467223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13.204764419467223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2.2737367544323206E-13</v>
      </c>
      <c r="DP170" s="18">
        <f>DO170*VLOOKUP('Données projet'!$B$14,Paramètres!$A$1:$I$89,3,0)*VLOOKUP('Données projet'!$B$14,Paramètres!$A$1:$I$89,5,0)</f>
        <v>1.0049916454590858E-13</v>
      </c>
      <c r="DQ170" s="14">
        <f t="shared" si="176"/>
        <v>1.5089081593838289E-12</v>
      </c>
      <c r="DR170" s="22">
        <f t="shared" si="177"/>
        <v>2.8030510891776262E-12</v>
      </c>
      <c r="DS170" s="62">
        <f t="shared" si="125"/>
        <v>288.4017563639224</v>
      </c>
      <c r="DT170" s="62">
        <f ca="1">AVERAGE(OFFSET($DS$3,0,0,'Données projet'!$E$14+1,1))-AVERAGE(OFFSET($H$3,0,0,'Données projet'!$E$14+1,1))</f>
        <v>338.33525241236157</v>
      </c>
      <c r="DU170" s="62">
        <f t="shared" si="152"/>
        <v>373.47257029791717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29.052173517457334</v>
      </c>
      <c r="EB170" s="23">
        <f>EXP(-LN(2)/25)*EB169+(1-EXP(-LN(2)/25))/(LN(2)/25)*Calculateur!DW170*Calculateur!DY170*VLOOKUP('Données projet'!$B$14,Paramètres!$A$1:$I$89,3,0)*0.475*44/12</f>
        <v>2.1874949996032487</v>
      </c>
      <c r="EC170" s="23">
        <f>EXP(-LN(2)/2)*EC169+(1-EXP(-LN(2)/2))/(LN(2)/2)*DW170*DZ170*VLOOKUP('Données projet'!$B$14,Paramètres!$A$1:$I$89,3,0)*0.475*44/12</f>
        <v>1.1601534205578068E-15</v>
      </c>
      <c r="ED170" s="24">
        <f t="shared" si="178"/>
        <v>31.239668517060583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-2.8421709430404007E-14</v>
      </c>
      <c r="EK170" s="18">
        <f>EJ170*VLOOKUP('Données projet'!$B$15,Paramètres!$A$1:$I$89,3,0)*VLOOKUP('Données projet'!$B$15,Paramètres!$A$1:$I$89,5,0)</f>
        <v>-2.2168933355715127E-14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144.92790055195192</v>
      </c>
      <c r="EP170" s="62">
        <f t="shared" si="154"/>
        <v>151.00642748754026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7.3113332825010291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7.3113332825010291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-1.7053025658242404E-13</v>
      </c>
      <c r="O171" s="14">
        <f>N171*VLOOKUP('Données projet'!$B$9,Paramètres!$A$1:$I$89,3,0)*VLOOKUP('Données projet'!$B$9,Paramètres!$A$1:$I$89,5,0)</f>
        <v>-1.383341441396624E-13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259.10606516000064</v>
      </c>
      <c r="T171" s="62">
        <f t="shared" si="142"/>
        <v>316.57989180609252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12.033016564770614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12.033016564770614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186.83226999296298</v>
      </c>
      <c r="AO171" s="62">
        <f t="shared" si="144"/>
        <v>232.70925470547317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14.400964230923158</v>
      </c>
      <c r="AV171" s="23">
        <f>EXP(-LN(2)/25)*AV170+(1-EXP(-LN(2)/25))/(LN(2)/25)*Calculateur!AQ171*Calculateur!AS171*VLOOKUP('Données projet'!$B$10,Paramètres!$A$1:$I$89,3,0)*0.475*44/12</f>
        <v>0.67051797615786235</v>
      </c>
      <c r="AW171" s="23">
        <f>EXP(-LN(2)/2)*AW170+(1-EXP(-LN(2)/2))/(LN(2)/2)*AQ171*AT171*VLOOKUP('Données projet'!$B$10,Paramètres!$A$1:$I$89,3,0)*0.475*44/12</f>
        <v>4.1684691777730001E-16</v>
      </c>
      <c r="AX171" s="23">
        <f t="shared" si="166"/>
        <v>15.07148220708102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-2.2737367544323206E-13</v>
      </c>
      <c r="BE171" s="14">
        <f>BD171*VLOOKUP('Données projet'!$B$11,Paramètres!$A$1:$I$89,3,0)*VLOOKUP('Données projet'!$B$11,Paramètres!$A$1:$I$89,5,0)</f>
        <v>-2.0572770154103635E-13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435.70500547084868</v>
      </c>
      <c r="BJ171" s="62">
        <f t="shared" si="146"/>
        <v>297.32483725004136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46.837236987405923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46.837236987405923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-2.2737367544323206E-13</v>
      </c>
      <c r="BZ171" s="14">
        <f>BY171*VLOOKUP('Données projet'!$B$12,Paramètres!$A$1:$I$89,3,0)*VLOOKUP('Données projet'!$B$12,Paramètres!$A$1:$I$89,5,0)</f>
        <v>-2.5893314159475268E-13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530.15080507516973</v>
      </c>
      <c r="CE171" s="62">
        <f t="shared" si="148"/>
        <v>358.10331902702217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58.950315518631569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58.950315518631569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-4.8771653382573282E-14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182.98212193167009</v>
      </c>
      <c r="CZ171" s="62">
        <f t="shared" si="150"/>
        <v>195.9200038944301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12.945827043312489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12.945827043312489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2.2737367544323206E-13</v>
      </c>
      <c r="DP171" s="18">
        <f>DO171*VLOOKUP('Données projet'!$B$14,Paramètres!$A$1:$I$89,3,0)*VLOOKUP('Données projet'!$B$14,Paramètres!$A$1:$I$89,5,0)</f>
        <v>1.0049916454590858E-13</v>
      </c>
      <c r="DQ171" s="14">
        <f t="shared" si="176"/>
        <v>1.5089081593838289E-12</v>
      </c>
      <c r="DR171" s="22">
        <f t="shared" si="177"/>
        <v>2.8030510891776262E-12</v>
      </c>
      <c r="DS171" s="62">
        <f t="shared" si="125"/>
        <v>288.48730819898731</v>
      </c>
      <c r="DT171" s="62">
        <f ca="1">AVERAGE(OFFSET($DS$3,0,0,'Données projet'!$E$14+1,1))-AVERAGE(OFFSET($H$3,0,0,'Données projet'!$E$14+1,1))</f>
        <v>338.33525241236157</v>
      </c>
      <c r="DU171" s="62">
        <f t="shared" si="152"/>
        <v>373.47257029791717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28.482478114856129</v>
      </c>
      <c r="EB171" s="23">
        <f>EXP(-LN(2)/25)*EB170+(1-EXP(-LN(2)/25))/(LN(2)/25)*Calculateur!DW171*Calculateur!DY171*VLOOKUP('Données projet'!$B$14,Paramètres!$A$1:$I$89,3,0)*0.475*44/12</f>
        <v>2.1276778338037352</v>
      </c>
      <c r="EC171" s="23">
        <f>EXP(-LN(2)/2)*EC170+(1-EXP(-LN(2)/2))/(LN(2)/2)*DW171*DZ171*VLOOKUP('Données projet'!$B$14,Paramètres!$A$1:$I$89,3,0)*0.475*44/12</f>
        <v>8.2035235089319375E-16</v>
      </c>
      <c r="ED171" s="24">
        <f t="shared" si="178"/>
        <v>30.610155948659862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-2.8421709430404007E-14</v>
      </c>
      <c r="EK171" s="18">
        <f>EJ171*VLOOKUP('Données projet'!$B$15,Paramètres!$A$1:$I$89,3,0)*VLOOKUP('Données projet'!$B$15,Paramètres!$A$1:$I$89,5,0)</f>
        <v>-2.2168933355715127E-14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144.92790055195192</v>
      </c>
      <c r="EP171" s="62">
        <f t="shared" si="154"/>
        <v>151.00642748754026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7.1679624963041499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7.1679624963041499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-1.7053025658242404E-13</v>
      </c>
      <c r="O172" s="14">
        <f>N172*VLOOKUP('Données projet'!$B$9,Paramètres!$A$1:$I$89,3,0)*VLOOKUP('Données projet'!$B$9,Paramètres!$A$1:$I$89,5,0)</f>
        <v>-1.383341441396624E-13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259.10606516000064</v>
      </c>
      <c r="T172" s="62">
        <f t="shared" si="142"/>
        <v>316.57989180609252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11.79705644935086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11.79705644935086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186.83226999296298</v>
      </c>
      <c r="AO172" s="62">
        <f t="shared" si="144"/>
        <v>232.70925470547317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14.118570106075616</v>
      </c>
      <c r="AV172" s="23">
        <f>EXP(-LN(2)/25)*AV171+(1-EXP(-LN(2)/25))/(LN(2)/25)*Calculateur!AQ172*Calculateur!AS172*VLOOKUP('Données projet'!$B$10,Paramètres!$A$1:$I$89,3,0)*0.475*44/12</f>
        <v>0.65218262683881778</v>
      </c>
      <c r="AW172" s="23">
        <f>EXP(-LN(2)/2)*AW171+(1-EXP(-LN(2)/2))/(LN(2)/2)*AQ172*AT172*VLOOKUP('Données projet'!$B$10,Paramètres!$A$1:$I$89,3,0)*0.475*44/12</f>
        <v>2.9475528227704004E-16</v>
      </c>
      <c r="AX172" s="23">
        <f t="shared" si="166"/>
        <v>14.770752732914433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-2.2737367544323206E-13</v>
      </c>
      <c r="BE172" s="14">
        <f>BD172*VLOOKUP('Données projet'!$B$11,Paramètres!$A$1:$I$89,3,0)*VLOOKUP('Données projet'!$B$11,Paramètres!$A$1:$I$89,5,0)</f>
        <v>-2.0572770154103635E-13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435.70500547084868</v>
      </c>
      <c r="BJ172" s="62">
        <f t="shared" si="146"/>
        <v>297.32483725004136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45.91878733797661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45.91878733797661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-2.2737367544323206E-13</v>
      </c>
      <c r="BZ172" s="14">
        <f>BY172*VLOOKUP('Données projet'!$B$12,Paramètres!$A$1:$I$89,3,0)*VLOOKUP('Données projet'!$B$12,Paramètres!$A$1:$I$89,5,0)</f>
        <v>-2.5893314159475268E-13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530.15080507516973</v>
      </c>
      <c r="CE172" s="62">
        <f t="shared" si="148"/>
        <v>358.10331902702217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57.794335787453299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57.794335787453299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-4.8771653382573282E-14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182.98212193167009</v>
      </c>
      <c r="CZ172" s="62">
        <f t="shared" si="150"/>
        <v>195.9200038944301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12.691967271167945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12.691967271167945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2.2737367544323206E-13</v>
      </c>
      <c r="DP172" s="18">
        <f>DO172*VLOOKUP('Données projet'!$B$14,Paramètres!$A$1:$I$89,3,0)*VLOOKUP('Données projet'!$B$14,Paramètres!$A$1:$I$89,5,0)</f>
        <v>1.0049916454590858E-13</v>
      </c>
      <c r="DQ172" s="14">
        <f t="shared" si="176"/>
        <v>1.5089081593838289E-12</v>
      </c>
      <c r="DR172" s="22">
        <f t="shared" si="177"/>
        <v>2.8030510891776262E-12</v>
      </c>
      <c r="DS172" s="62">
        <f t="shared" si="125"/>
        <v>288.57137590097921</v>
      </c>
      <c r="DT172" s="62">
        <f ca="1">AVERAGE(OFFSET($DS$3,0,0,'Données projet'!$E$14+1,1))-AVERAGE(OFFSET($H$3,0,0,'Données projet'!$E$14+1,1))</f>
        <v>338.33525241236157</v>
      </c>
      <c r="DU172" s="62">
        <f t="shared" si="152"/>
        <v>373.47257029791717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27.923954091620047</v>
      </c>
      <c r="EB172" s="23">
        <f>EXP(-LN(2)/25)*EB171+(1-EXP(-LN(2)/25))/(LN(2)/25)*Calculateur!DW172*Calculateur!DY172*VLOOKUP('Données projet'!$B$14,Paramètres!$A$1:$I$89,3,0)*0.475*44/12</f>
        <v>2.0694963715486576</v>
      </c>
      <c r="EC172" s="23">
        <f>EXP(-LN(2)/2)*EC171+(1-EXP(-LN(2)/2))/(LN(2)/2)*DW172*DZ172*VLOOKUP('Données projet'!$B$14,Paramètres!$A$1:$I$89,3,0)*0.475*44/12</f>
        <v>5.800767102789034E-16</v>
      </c>
      <c r="ED172" s="24">
        <f t="shared" si="178"/>
        <v>29.993450463168706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-2.8421709430404007E-14</v>
      </c>
      <c r="EK172" s="18">
        <f>EJ172*VLOOKUP('Données projet'!$B$15,Paramètres!$A$1:$I$89,3,0)*VLOOKUP('Données projet'!$B$15,Paramètres!$A$1:$I$89,5,0)</f>
        <v>-2.2168933355715127E-14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144.92790055195192</v>
      </c>
      <c r="EP172" s="62">
        <f t="shared" si="154"/>
        <v>151.00642748754026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7.0274031237770469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7.0274031237770469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-1.7053025658242404E-13</v>
      </c>
      <c r="O173" s="14">
        <f>N173*VLOOKUP('Données projet'!$B$9,Paramètres!$A$1:$I$89,3,0)*VLOOKUP('Données projet'!$B$9,Paramètres!$A$1:$I$89,5,0)</f>
        <v>-1.383341441396624E-13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259.10606516000064</v>
      </c>
      <c r="T173" s="62">
        <f t="shared" si="142"/>
        <v>316.57989180609252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11.565723367873028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11.565723367873028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186.83226999296298</v>
      </c>
      <c r="AO173" s="62">
        <f t="shared" si="144"/>
        <v>232.70925470547317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13.841713557772925</v>
      </c>
      <c r="AV173" s="23">
        <f>EXP(-LN(2)/25)*AV172+(1-EXP(-LN(2)/25))/(LN(2)/25)*Calculateur!AQ173*Calculateur!AS173*VLOOKUP('Données projet'!$B$10,Paramètres!$A$1:$I$89,3,0)*0.475*44/12</f>
        <v>0.63434865861111656</v>
      </c>
      <c r="AW173" s="23">
        <f>EXP(-LN(2)/2)*AW172+(1-EXP(-LN(2)/2))/(LN(2)/2)*AQ173*AT173*VLOOKUP('Données projet'!$B$10,Paramètres!$A$1:$I$89,3,0)*0.475*44/12</f>
        <v>2.0842345888865001E-16</v>
      </c>
      <c r="AX173" s="23">
        <f t="shared" si="166"/>
        <v>14.476062216384042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-2.2737367544323206E-13</v>
      </c>
      <c r="BE173" s="14">
        <f>BD173*VLOOKUP('Données projet'!$B$11,Paramètres!$A$1:$I$89,3,0)*VLOOKUP('Données projet'!$B$11,Paramètres!$A$1:$I$89,5,0)</f>
        <v>-2.0572770154103635E-13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435.70500547084868</v>
      </c>
      <c r="BJ173" s="62">
        <f t="shared" si="146"/>
        <v>297.32483725004136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45.018347925973636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45.018347925973636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-2.2737367544323206E-13</v>
      </c>
      <c r="BZ173" s="14">
        <f>BY173*VLOOKUP('Données projet'!$B$12,Paramètres!$A$1:$I$89,3,0)*VLOOKUP('Données projet'!$B$12,Paramètres!$A$1:$I$89,5,0)</f>
        <v>-2.5893314159475268E-13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530.15080507516973</v>
      </c>
      <c r="CE173" s="62">
        <f t="shared" si="148"/>
        <v>358.10331902702217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56.661024113725418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56.661024113725418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-4.8771653382573282E-14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182.98212193167009</v>
      </c>
      <c r="CZ173" s="62">
        <f t="shared" si="150"/>
        <v>195.9200038944301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12.443085534315983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12.443085534315983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2.2737367544323206E-13</v>
      </c>
      <c r="DP173" s="18">
        <f>DO173*VLOOKUP('Données projet'!$B$14,Paramètres!$A$1:$I$89,3,0)*VLOOKUP('Données projet'!$B$14,Paramètres!$A$1:$I$89,5,0)</f>
        <v>1.0049916454590858E-13</v>
      </c>
      <c r="DQ173" s="14">
        <f t="shared" si="176"/>
        <v>1.5089081593838289E-12</v>
      </c>
      <c r="DR173" s="22">
        <f t="shared" si="177"/>
        <v>2.8030510891776262E-12</v>
      </c>
      <c r="DS173" s="62">
        <f t="shared" si="125"/>
        <v>288.65398521628867</v>
      </c>
      <c r="DT173" s="62">
        <f ca="1">AVERAGE(OFFSET($DS$3,0,0,'Données projet'!$E$14+1,1))-AVERAGE(OFFSET($H$3,0,0,'Données projet'!$E$14+1,1))</f>
        <v>338.33525241236157</v>
      </c>
      <c r="DU173" s="62">
        <f t="shared" si="152"/>
        <v>373.47257029791717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27.37638238381361</v>
      </c>
      <c r="EB173" s="23">
        <f>EXP(-LN(2)/25)*EB172+(1-EXP(-LN(2)/25))/(LN(2)/25)*Calculateur!DW173*Calculateur!DY173*VLOOKUP('Données projet'!$B$14,Paramètres!$A$1:$I$89,3,0)*0.475*44/12</f>
        <v>2.0129058844385752</v>
      </c>
      <c r="EC173" s="23">
        <f>EXP(-LN(2)/2)*EC172+(1-EXP(-LN(2)/2))/(LN(2)/2)*DW173*DZ173*VLOOKUP('Données projet'!$B$14,Paramètres!$A$1:$I$89,3,0)*0.475*44/12</f>
        <v>4.1017617544659688E-16</v>
      </c>
      <c r="ED173" s="24">
        <f t="shared" si="178"/>
        <v>29.389288268252184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-2.8421709430404007E-14</v>
      </c>
      <c r="EK173" s="18">
        <f>EJ173*VLOOKUP('Données projet'!$B$15,Paramètres!$A$1:$I$89,3,0)*VLOOKUP('Données projet'!$B$15,Paramètres!$A$1:$I$89,5,0)</f>
        <v>-2.2168933355715127E-14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144.92790055195192</v>
      </c>
      <c r="EP173" s="62">
        <f t="shared" si="154"/>
        <v>151.00642748754026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6.8896000348124486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6.8896000348124486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-1.7053025658242404E-13</v>
      </c>
      <c r="O174" s="14">
        <f>N174*VLOOKUP('Données projet'!$B$9,Paramètres!$A$1:$I$89,3,0)*VLOOKUP('Données projet'!$B$9,Paramètres!$A$1:$I$89,5,0)</f>
        <v>-1.383341441396624E-13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259.10606516000064</v>
      </c>
      <c r="T174" s="62">
        <f t="shared" si="142"/>
        <v>316.57989180609252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11.338926587023728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11.338926587023728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186.83226999296298</v>
      </c>
      <c r="AO174" s="62">
        <f t="shared" si="144"/>
        <v>232.70925470547317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13.570285997516629</v>
      </c>
      <c r="AV174" s="23">
        <f>EXP(-LN(2)/25)*AV173+(1-EXP(-LN(2)/25))/(LN(2)/25)*Calculateur!AQ174*Calculateur!AS174*VLOOKUP('Données projet'!$B$10,Paramètres!$A$1:$I$89,3,0)*0.475*44/12</f>
        <v>0.61700236118244944</v>
      </c>
      <c r="AW174" s="23">
        <f>EXP(-LN(2)/2)*AW173+(1-EXP(-LN(2)/2))/(LN(2)/2)*AQ174*AT174*VLOOKUP('Données projet'!$B$10,Paramètres!$A$1:$I$89,3,0)*0.475*44/12</f>
        <v>1.4737764113852002E-16</v>
      </c>
      <c r="AX174" s="23">
        <f t="shared" si="166"/>
        <v>14.187288358699078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-2.2737367544323206E-13</v>
      </c>
      <c r="BE174" s="14">
        <f>BD174*VLOOKUP('Données projet'!$B$11,Paramètres!$A$1:$I$89,3,0)*VLOOKUP('Données projet'!$B$11,Paramètres!$A$1:$I$89,5,0)</f>
        <v>-2.0572770154103635E-13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435.70500547084868</v>
      </c>
      <c r="BJ174" s="62">
        <f t="shared" si="146"/>
        <v>297.32483725004136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44.135565581626231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44.135565581626231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-2.2737367544323206E-13</v>
      </c>
      <c r="BZ174" s="14">
        <f>BY174*VLOOKUP('Données projet'!$B$12,Paramètres!$A$1:$I$89,3,0)*VLOOKUP('Données projet'!$B$12,Paramètres!$A$1:$I$89,5,0)</f>
        <v>-2.5893314159475268E-13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530.15080507516973</v>
      </c>
      <c r="CE174" s="62">
        <f t="shared" si="148"/>
        <v>358.10331902702217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55.549935990667471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55.549935990667471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-4.8771653382573282E-14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182.98212193167009</v>
      </c>
      <c r="CZ174" s="62">
        <f t="shared" si="150"/>
        <v>195.9200038944301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12.199084216520818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12.199084216520818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2.2737367544323206E-13</v>
      </c>
      <c r="DP174" s="18">
        <f>DO174*VLOOKUP('Données projet'!$B$14,Paramètres!$A$1:$I$89,3,0)*VLOOKUP('Données projet'!$B$14,Paramètres!$A$1:$I$89,5,0)</f>
        <v>1.0049916454590858E-13</v>
      </c>
      <c r="DQ174" s="14">
        <f t="shared" si="176"/>
        <v>1.5089081593838289E-12</v>
      </c>
      <c r="DR174" s="22">
        <f t="shared" si="177"/>
        <v>2.8030510891776262E-12</v>
      </c>
      <c r="DS174" s="62">
        <f t="shared" si="125"/>
        <v>288.7351614446643</v>
      </c>
      <c r="DT174" s="62">
        <f ca="1">AVERAGE(OFFSET($DS$3,0,0,'Données projet'!$E$14+1,1))-AVERAGE(OFFSET($H$3,0,0,'Données projet'!$E$14+1,1))</f>
        <v>338.33525241236157</v>
      </c>
      <c r="DU174" s="62">
        <f t="shared" si="152"/>
        <v>373.47257029791717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26.839548223211494</v>
      </c>
      <c r="EB174" s="23">
        <f>EXP(-LN(2)/25)*EB173+(1-EXP(-LN(2)/25))/(LN(2)/25)*Calculateur!DW174*Calculateur!DY174*VLOOKUP('Données projet'!$B$14,Paramètres!$A$1:$I$89,3,0)*0.475*44/12</f>
        <v>1.9578628671744824</v>
      </c>
      <c r="EC174" s="23">
        <f>EXP(-LN(2)/2)*EC173+(1-EXP(-LN(2)/2))/(LN(2)/2)*DW174*DZ174*VLOOKUP('Données projet'!$B$14,Paramètres!$A$1:$I$89,3,0)*0.475*44/12</f>
        <v>2.900383551394517E-16</v>
      </c>
      <c r="ED174" s="24">
        <f t="shared" si="178"/>
        <v>28.797411090385978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-2.8421709430404007E-14</v>
      </c>
      <c r="EK174" s="18">
        <f>EJ174*VLOOKUP('Données projet'!$B$15,Paramètres!$A$1:$I$89,3,0)*VLOOKUP('Données projet'!$B$15,Paramètres!$A$1:$I$89,5,0)</f>
        <v>-2.2168933355715127E-14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144.92790055195192</v>
      </c>
      <c r="EP174" s="62">
        <f t="shared" si="154"/>
        <v>151.00642748754026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6.7544991803708605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6.7544991803708605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-1.7053025658242404E-13</v>
      </c>
      <c r="O175" s="14">
        <f>N175*VLOOKUP('Données projet'!$B$9,Paramètres!$A$1:$I$89,3,0)*VLOOKUP('Données projet'!$B$9,Paramètres!$A$1:$I$89,5,0)</f>
        <v>-1.383341441396624E-13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259.10606516000064</v>
      </c>
      <c r="T175" s="62">
        <f t="shared" si="142"/>
        <v>316.57989180609252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11.116577152714507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11.116577152714507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186.83226999296298</v>
      </c>
      <c r="AO175" s="62">
        <f t="shared" si="144"/>
        <v>232.70925470547317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13.304180966162495</v>
      </c>
      <c r="AV175" s="23">
        <f>EXP(-LN(2)/25)*AV174+(1-EXP(-LN(2)/25))/(LN(2)/25)*Calculateur!AQ175*Calculateur!AS175*VLOOKUP('Données projet'!$B$10,Paramètres!$A$1:$I$89,3,0)*0.475*44/12</f>
        <v>0.60013039916917132</v>
      </c>
      <c r="AW175" s="23">
        <f>EXP(-LN(2)/2)*AW174+(1-EXP(-LN(2)/2))/(LN(2)/2)*AQ175*AT175*VLOOKUP('Données projet'!$B$10,Paramètres!$A$1:$I$89,3,0)*0.475*44/12</f>
        <v>1.04211729444325E-16</v>
      </c>
      <c r="AX175" s="23">
        <f t="shared" si="166"/>
        <v>13.904311365331665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-2.2737367544323206E-13</v>
      </c>
      <c r="BE175" s="14">
        <f>BD175*VLOOKUP('Données projet'!$B$11,Paramètres!$A$1:$I$89,3,0)*VLOOKUP('Données projet'!$B$11,Paramètres!$A$1:$I$89,5,0)</f>
        <v>-2.0572770154103635E-13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435.70500547084868</v>
      </c>
      <c r="BJ175" s="62">
        <f t="shared" si="146"/>
        <v>297.32483725004136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43.270094060607413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43.270094060607413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-2.2737367544323206E-13</v>
      </c>
      <c r="BZ175" s="14">
        <f>BY175*VLOOKUP('Données projet'!$B$12,Paramètres!$A$1:$I$89,3,0)*VLOOKUP('Données projet'!$B$12,Paramètres!$A$1:$I$89,5,0)</f>
        <v>-2.5893314159475268E-13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530.15080507516973</v>
      </c>
      <c r="CE175" s="62">
        <f t="shared" si="148"/>
        <v>358.10331902702217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54.460635628005853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54.460635628005853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-4.8771653382573282E-14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182.98212193167009</v>
      </c>
      <c r="CZ175" s="62">
        <f t="shared" si="150"/>
        <v>195.9200038944301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11.959867615741508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11.959867615741508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2.2737367544323206E-13</v>
      </c>
      <c r="DP175" s="18">
        <f>DO175*VLOOKUP('Données projet'!$B$14,Paramètres!$A$1:$I$89,3,0)*VLOOKUP('Données projet'!$B$14,Paramètres!$A$1:$I$89,5,0)</f>
        <v>1.0049916454590858E-13</v>
      </c>
      <c r="DQ175" s="14">
        <f t="shared" si="176"/>
        <v>1.5089081593838289E-12</v>
      </c>
      <c r="DR175" s="22">
        <f t="shared" si="177"/>
        <v>2.8030510891776262E-12</v>
      </c>
      <c r="DS175" s="62">
        <f t="shared" si="125"/>
        <v>288.81492944696043</v>
      </c>
      <c r="DT175" s="62">
        <f ca="1">AVERAGE(OFFSET($DS$3,0,0,'Données projet'!$E$14+1,1))-AVERAGE(OFFSET($H$3,0,0,'Données projet'!$E$14+1,1))</f>
        <v>338.33525241236157</v>
      </c>
      <c r="DU175" s="62">
        <f t="shared" si="152"/>
        <v>373.47257029791717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26.313241053062281</v>
      </c>
      <c r="EB175" s="23">
        <f>EXP(-LN(2)/25)*EB174+(1-EXP(-LN(2)/25))/(LN(2)/25)*Calculateur!DW175*Calculateur!DY175*VLOOKUP('Données projet'!$B$14,Paramètres!$A$1:$I$89,3,0)*0.475*44/12</f>
        <v>1.9043250041120627</v>
      </c>
      <c r="EC175" s="23">
        <f>EXP(-LN(2)/2)*EC174+(1-EXP(-LN(2)/2))/(LN(2)/2)*DW175*DZ175*VLOOKUP('Données projet'!$B$14,Paramètres!$A$1:$I$89,3,0)*0.475*44/12</f>
        <v>2.0508808772329844E-16</v>
      </c>
      <c r="ED175" s="24">
        <f t="shared" si="178"/>
        <v>28.217566057174345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-2.8421709430404007E-14</v>
      </c>
      <c r="EK175" s="18">
        <f>EJ175*VLOOKUP('Données projet'!$B$15,Paramètres!$A$1:$I$89,3,0)*VLOOKUP('Données projet'!$B$15,Paramètres!$A$1:$I$89,5,0)</f>
        <v>-2.2168933355715127E-14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144.92790055195192</v>
      </c>
      <c r="EP175" s="62">
        <f t="shared" si="154"/>
        <v>151.00642748754026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6.6220475712814881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6.6220475712814881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-1.7053025658242404E-13</v>
      </c>
      <c r="O176" s="14">
        <f>N176*VLOOKUP('Données projet'!$B$9,Paramètres!$A$1:$I$89,3,0)*VLOOKUP('Données projet'!$B$9,Paramètres!$A$1:$I$89,5,0)</f>
        <v>-1.383341441396624E-13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259.10606516000064</v>
      </c>
      <c r="T176" s="62">
        <f t="shared" si="142"/>
        <v>316.57989180609252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10.898587855192325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10.898587855192325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186.83226999296298</v>
      </c>
      <c r="AO176" s="62">
        <f t="shared" si="144"/>
        <v>232.70925470547317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13.043294092165173</v>
      </c>
      <c r="AV176" s="23">
        <f>EXP(-LN(2)/25)*AV175+(1-EXP(-LN(2)/25))/(LN(2)/25)*Calculateur!AQ176*Calculateur!AS176*VLOOKUP('Données projet'!$B$10,Paramètres!$A$1:$I$89,3,0)*0.475*44/12</f>
        <v>0.58371980184440431</v>
      </c>
      <c r="AW176" s="23">
        <f>EXP(-LN(2)/2)*AW175+(1-EXP(-LN(2)/2))/(LN(2)/2)*AQ176*AT176*VLOOKUP('Données projet'!$B$10,Paramètres!$A$1:$I$89,3,0)*0.475*44/12</f>
        <v>7.3688820569260011E-17</v>
      </c>
      <c r="AX176" s="23">
        <f t="shared" si="166"/>
        <v>13.627013894009577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-2.2737367544323206E-13</v>
      </c>
      <c r="BE176" s="14">
        <f>BD176*VLOOKUP('Données projet'!$B$11,Paramètres!$A$1:$I$89,3,0)*VLOOKUP('Données projet'!$B$11,Paramètres!$A$1:$I$89,5,0)</f>
        <v>-2.0572770154103635E-13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435.70500547084868</v>
      </c>
      <c r="BJ176" s="62">
        <f t="shared" si="146"/>
        <v>297.32483725004136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42.421593908230271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42.421593908230271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-2.2737367544323206E-13</v>
      </c>
      <c r="BZ176" s="14">
        <f>BY176*VLOOKUP('Données projet'!$B$12,Paramètres!$A$1:$I$89,3,0)*VLOOKUP('Données projet'!$B$12,Paramètres!$A$1:$I$89,5,0)</f>
        <v>-2.5893314159475268E-13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530.15080507516973</v>
      </c>
      <c r="CE176" s="62">
        <f t="shared" si="148"/>
        <v>358.10331902702217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53.392695781048417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53.392695781048417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-4.8771653382573282E-14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182.98212193167009</v>
      </c>
      <c r="CZ176" s="62">
        <f t="shared" si="150"/>
        <v>195.9200038944301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11.725341906595762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11.725341906595762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2.2737367544323206E-13</v>
      </c>
      <c r="DP176" s="18">
        <f>DO176*VLOOKUP('Données projet'!$B$14,Paramètres!$A$1:$I$89,3,0)*VLOOKUP('Données projet'!$B$14,Paramètres!$A$1:$I$89,5,0)</f>
        <v>1.0049916454590858E-13</v>
      </c>
      <c r="DQ176" s="14">
        <f t="shared" si="176"/>
        <v>1.5089081593838289E-12</v>
      </c>
      <c r="DR176" s="22">
        <f t="shared" si="177"/>
        <v>2.8030510891776262E-12</v>
      </c>
      <c r="DS176" s="62">
        <f t="shared" si="125"/>
        <v>288.89331365275126</v>
      </c>
      <c r="DT176" s="62">
        <f ca="1">AVERAGE(OFFSET($DS$3,0,0,'Données projet'!$E$14+1,1))-AVERAGE(OFFSET($H$3,0,0,'Données projet'!$E$14+1,1))</f>
        <v>338.33525241236157</v>
      </c>
      <c r="DU176" s="62">
        <f t="shared" si="152"/>
        <v>373.47257029791717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25.797254445504016</v>
      </c>
      <c r="EB176" s="23">
        <f>EXP(-LN(2)/25)*EB175+(1-EXP(-LN(2)/25))/(LN(2)/25)*Calculateur!DW176*Calculateur!DY176*VLOOKUP('Données projet'!$B$14,Paramètres!$A$1:$I$89,3,0)*0.475*44/12</f>
        <v>1.8522511367305188</v>
      </c>
      <c r="EC176" s="23">
        <f>EXP(-LN(2)/2)*EC175+(1-EXP(-LN(2)/2))/(LN(2)/2)*DW176*DZ176*VLOOKUP('Données projet'!$B$14,Paramètres!$A$1:$I$89,3,0)*0.475*44/12</f>
        <v>1.4501917756972585E-16</v>
      </c>
      <c r="ED176" s="24">
        <f t="shared" si="178"/>
        <v>27.649505582234536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-2.8421709430404007E-14</v>
      </c>
      <c r="EK176" s="18">
        <f>EJ176*VLOOKUP('Données projet'!$B$15,Paramètres!$A$1:$I$89,3,0)*VLOOKUP('Données projet'!$B$15,Paramètres!$A$1:$I$89,5,0)</f>
        <v>-2.2168933355715127E-14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144.92790055195192</v>
      </c>
      <c r="EP176" s="62">
        <f t="shared" si="154"/>
        <v>151.00642748754026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6.4921932574588537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6.4921932574588537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-1.7053025658242404E-13</v>
      </c>
      <c r="O177" s="14">
        <f>N177*VLOOKUP('Données projet'!$B$9,Paramètres!$A$1:$I$89,3,0)*VLOOKUP('Données projet'!$B$9,Paramètres!$A$1:$I$89,5,0)</f>
        <v>-1.383341441396624E-13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259.10606516000064</v>
      </c>
      <c r="T177" s="62">
        <f t="shared" si="142"/>
        <v>316.57989180609252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10.684873194834211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10.684873194834211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186.83226999296298</v>
      </c>
      <c r="AO177" s="62">
        <f t="shared" si="144"/>
        <v>232.70925470547317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12.787523050641658</v>
      </c>
      <c r="AV177" s="23">
        <f>EXP(-LN(2)/25)*AV176+(1-EXP(-LN(2)/25))/(LN(2)/25)*Calculateur!AQ177*Calculateur!AS177*VLOOKUP('Données projet'!$B$10,Paramètres!$A$1:$I$89,3,0)*0.475*44/12</f>
        <v>0.56775795316647881</v>
      </c>
      <c r="AW177" s="23">
        <f>EXP(-LN(2)/2)*AW176+(1-EXP(-LN(2)/2))/(LN(2)/2)*AQ177*AT177*VLOOKUP('Données projet'!$B$10,Paramètres!$A$1:$I$89,3,0)*0.475*44/12</f>
        <v>5.2105864722162502E-17</v>
      </c>
      <c r="AX177" s="23">
        <f t="shared" si="166"/>
        <v>13.355281003808138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-2.2737367544323206E-13</v>
      </c>
      <c r="BE177" s="14">
        <f>BD177*VLOOKUP('Données projet'!$B$11,Paramètres!$A$1:$I$89,3,0)*VLOOKUP('Données projet'!$B$11,Paramètres!$A$1:$I$89,5,0)</f>
        <v>-2.0572770154103635E-13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435.70500547084868</v>
      </c>
      <c r="BJ177" s="62">
        <f t="shared" si="146"/>
        <v>297.32483725004136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41.589732326307256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41.589732326307256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-2.2737367544323206E-13</v>
      </c>
      <c r="BZ177" s="14">
        <f>BY177*VLOOKUP('Données projet'!$B$12,Paramètres!$A$1:$I$89,3,0)*VLOOKUP('Données projet'!$B$12,Paramètres!$A$1:$I$89,5,0)</f>
        <v>-2.5893314159475268E-13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530.15080507516973</v>
      </c>
      <c r="CE177" s="62">
        <f t="shared" si="148"/>
        <v>358.10331902702217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52.345697583110827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52.345697583110827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-4.8771653382573282E-14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182.98212193167009</v>
      </c>
      <c r="CZ177" s="62">
        <f t="shared" si="150"/>
        <v>195.9200038944301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11.495415103559806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11.495415103559806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2.2737367544323206E-13</v>
      </c>
      <c r="DP177" s="18">
        <f>DO177*VLOOKUP('Données projet'!$B$14,Paramètres!$A$1:$I$89,3,0)*VLOOKUP('Données projet'!$B$14,Paramètres!$A$1:$I$89,5,0)</f>
        <v>1.0049916454590858E-13</v>
      </c>
      <c r="DQ177" s="14">
        <f t="shared" si="176"/>
        <v>1.5089081593838289E-12</v>
      </c>
      <c r="DR177" s="22">
        <f t="shared" si="177"/>
        <v>2.8030510891776262E-12</v>
      </c>
      <c r="DS177" s="62">
        <f t="shared" si="125"/>
        <v>288.97033806781252</v>
      </c>
      <c r="DT177" s="62">
        <f ca="1">AVERAGE(OFFSET($DS$3,0,0,'Données projet'!$E$14+1,1))-AVERAGE(OFFSET($H$3,0,0,'Données projet'!$E$14+1,1))</f>
        <v>338.33525241236157</v>
      </c>
      <c r="DU177" s="62">
        <f t="shared" si="152"/>
        <v>373.47257029791717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25.291386020599216</v>
      </c>
      <c r="EB177" s="23">
        <f>EXP(-LN(2)/25)*EB176+(1-EXP(-LN(2)/25))/(LN(2)/25)*Calculateur!DW177*Calculateur!DY177*VLOOKUP('Données projet'!$B$14,Paramètres!$A$1:$I$89,3,0)*0.475*44/12</f>
        <v>1.8016012319909689</v>
      </c>
      <c r="EC177" s="23">
        <f>EXP(-LN(2)/2)*EC176+(1-EXP(-LN(2)/2))/(LN(2)/2)*DW177*DZ177*VLOOKUP('Données projet'!$B$14,Paramètres!$A$1:$I$89,3,0)*0.475*44/12</f>
        <v>1.0254404386164922E-16</v>
      </c>
      <c r="ED177" s="24">
        <f t="shared" si="178"/>
        <v>27.092987252590184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-2.8421709430404007E-14</v>
      </c>
      <c r="EK177" s="18">
        <f>EJ177*VLOOKUP('Données projet'!$B$15,Paramètres!$A$1:$I$89,3,0)*VLOOKUP('Données projet'!$B$15,Paramètres!$A$1:$I$89,5,0)</f>
        <v>-2.2168933355715127E-14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144.92790055195192</v>
      </c>
      <c r="EP177" s="62">
        <f t="shared" si="154"/>
        <v>151.00642748754026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6.3648853075269702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6.3648853075269702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-1.7053025658242404E-13</v>
      </c>
      <c r="O178" s="14">
        <f>N178*VLOOKUP('Données projet'!$B$9,Paramètres!$A$1:$I$89,3,0)*VLOOKUP('Données projet'!$B$9,Paramètres!$A$1:$I$89,5,0)</f>
        <v>-1.383341441396624E-13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259.10606516000064</v>
      </c>
      <c r="T178" s="62">
        <f t="shared" si="142"/>
        <v>316.57989180609252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10.475349348612648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10.475349348612648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186.83226999296298</v>
      </c>
      <c r="AO178" s="62">
        <f t="shared" si="144"/>
        <v>232.70925470547317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12.536767523237488</v>
      </c>
      <c r="AV178" s="23">
        <f>EXP(-LN(2)/25)*AV177+(1-EXP(-LN(2)/25))/(LN(2)/25)*Calculateur!AQ178*Calculateur!AS178*VLOOKUP('Données projet'!$B$10,Paramètres!$A$1:$I$89,3,0)*0.475*44/12</f>
        <v>0.55223258208004833</v>
      </c>
      <c r="AW178" s="23">
        <f>EXP(-LN(2)/2)*AW177+(1-EXP(-LN(2)/2))/(LN(2)/2)*AQ178*AT178*VLOOKUP('Données projet'!$B$10,Paramètres!$A$1:$I$89,3,0)*0.475*44/12</f>
        <v>3.6844410284630006E-17</v>
      </c>
      <c r="AX178" s="23">
        <f t="shared" si="166"/>
        <v>13.089000105317536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-2.2737367544323206E-13</v>
      </c>
      <c r="BE178" s="14">
        <f>BD178*VLOOKUP('Données projet'!$B$11,Paramètres!$A$1:$I$89,3,0)*VLOOKUP('Données projet'!$B$11,Paramètres!$A$1:$I$89,5,0)</f>
        <v>-2.0572770154103635E-13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435.70500547084868</v>
      </c>
      <c r="BJ178" s="62">
        <f t="shared" si="146"/>
        <v>297.32483725004136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40.774183042620287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40.774183042620287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-2.2737367544323206E-13</v>
      </c>
      <c r="BZ178" s="14">
        <f>BY178*VLOOKUP('Données projet'!$B$12,Paramètres!$A$1:$I$89,3,0)*VLOOKUP('Données projet'!$B$12,Paramètres!$A$1:$I$89,5,0)</f>
        <v>-2.5893314159475268E-13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530.15080507516973</v>
      </c>
      <c r="CE178" s="62">
        <f t="shared" si="148"/>
        <v>358.10331902702217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51.319230381228948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51.319230381228948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-4.8771653382573282E-14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182.98212193167009</v>
      </c>
      <c r="CZ178" s="62">
        <f t="shared" si="150"/>
        <v>195.9200038944301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11.269997024889882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11.269997024889882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2.2737367544323206E-13</v>
      </c>
      <c r="DP178" s="18">
        <f>DO178*VLOOKUP('Données projet'!$B$14,Paramètres!$A$1:$I$89,3,0)*VLOOKUP('Données projet'!$B$14,Paramètres!$A$1:$I$89,5,0)</f>
        <v>1.0049916454590858E-13</v>
      </c>
      <c r="DQ178" s="14">
        <f t="shared" si="176"/>
        <v>1.5089081593838289E-12</v>
      </c>
      <c r="DR178" s="22">
        <f t="shared" si="177"/>
        <v>2.8030510891776262E-12</v>
      </c>
      <c r="DS178" s="62">
        <f t="shared" si="125"/>
        <v>289.04602628147319</v>
      </c>
      <c r="DT178" s="62">
        <f ca="1">AVERAGE(OFFSET($DS$3,0,0,'Données projet'!$E$14+1,1))-AVERAGE(OFFSET($H$3,0,0,'Données projet'!$E$14+1,1))</f>
        <v>338.33525241236157</v>
      </c>
      <c r="DU178" s="62">
        <f t="shared" si="152"/>
        <v>373.47257029791717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24.795437366957525</v>
      </c>
      <c r="EB178" s="23">
        <f>EXP(-LN(2)/25)*EB177+(1-EXP(-LN(2)/25))/(LN(2)/25)*Calculateur!DW178*Calculateur!DY178*VLOOKUP('Données projet'!$B$14,Paramètres!$A$1:$I$89,3,0)*0.475*44/12</f>
        <v>1.7523363515600847</v>
      </c>
      <c r="EC178" s="23">
        <f>EXP(-LN(2)/2)*EC177+(1-EXP(-LN(2)/2))/(LN(2)/2)*DW178*DZ178*VLOOKUP('Données projet'!$B$14,Paramètres!$A$1:$I$89,3,0)*0.475*44/12</f>
        <v>7.2509588784862925E-17</v>
      </c>
      <c r="ED178" s="24">
        <f t="shared" si="178"/>
        <v>26.547773718517611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-2.8421709430404007E-14</v>
      </c>
      <c r="EK178" s="18">
        <f>EJ178*VLOOKUP('Données projet'!$B$15,Paramètres!$A$1:$I$89,3,0)*VLOOKUP('Données projet'!$B$15,Paramètres!$A$1:$I$89,5,0)</f>
        <v>-2.2168933355715127E-14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144.92790055195192</v>
      </c>
      <c r="EP178" s="62">
        <f t="shared" si="154"/>
        <v>151.00642748754026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6.2400737888430688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6.2400737888430688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-1.7053025658242404E-13</v>
      </c>
      <c r="O179" s="14">
        <f>N179*VLOOKUP('Données projet'!$B$9,Paramètres!$A$1:$I$89,3,0)*VLOOKUP('Données projet'!$B$9,Paramètres!$A$1:$I$89,5,0)</f>
        <v>-1.383341441396624E-13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259.10606516000064</v>
      </c>
      <c r="T179" s="62">
        <f t="shared" si="142"/>
        <v>316.57989180609252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10.269934137218563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10.269934137218563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186.83226999296298</v>
      </c>
      <c r="AO179" s="62">
        <f t="shared" si="144"/>
        <v>232.70925470547317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12.290929158779944</v>
      </c>
      <c r="AV179" s="23">
        <f>EXP(-LN(2)/25)*AV178+(1-EXP(-LN(2)/25))/(LN(2)/25)*Calculateur!AQ179*Calculateur!AS179*VLOOKUP('Données projet'!$B$10,Paramètres!$A$1:$I$89,3,0)*0.475*44/12</f>
        <v>0.53713175308242</v>
      </c>
      <c r="AW179" s="23">
        <f>EXP(-LN(2)/2)*AW178+(1-EXP(-LN(2)/2))/(LN(2)/2)*AQ179*AT179*VLOOKUP('Données projet'!$B$10,Paramètres!$A$1:$I$89,3,0)*0.475*44/12</f>
        <v>2.6052932361081251E-17</v>
      </c>
      <c r="AX179" s="23">
        <f t="shared" si="166"/>
        <v>12.828060911862364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-2.2737367544323206E-13</v>
      </c>
      <c r="BE179" s="14">
        <f>BD179*VLOOKUP('Données projet'!$B$11,Paramètres!$A$1:$I$89,3,0)*VLOOKUP('Données projet'!$B$11,Paramètres!$A$1:$I$89,5,0)</f>
        <v>-2.0572770154103635E-13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435.70500547084868</v>
      </c>
      <c r="BJ179" s="62">
        <f t="shared" si="146"/>
        <v>297.32483725004136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39.974626182950473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39.974626182950473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-2.2737367544323206E-13</v>
      </c>
      <c r="BZ179" s="14">
        <f>BY179*VLOOKUP('Données projet'!$B$12,Paramètres!$A$1:$I$89,3,0)*VLOOKUP('Données projet'!$B$12,Paramètres!$A$1:$I$89,5,0)</f>
        <v>-2.5893314159475268E-13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530.15080507516973</v>
      </c>
      <c r="CE179" s="62">
        <f t="shared" si="148"/>
        <v>358.10331902702217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50.312891575092799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50.312891575092799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-4.8771653382573282E-14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182.98212193167009</v>
      </c>
      <c r="CZ179" s="62">
        <f t="shared" si="150"/>
        <v>195.9200038944301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11.048999257251223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11.048999257251223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2.2737367544323206E-13</v>
      </c>
      <c r="DP179" s="18">
        <f>DO179*VLOOKUP('Données projet'!$B$14,Paramètres!$A$1:$I$89,3,0)*VLOOKUP('Données projet'!$B$14,Paramètres!$A$1:$I$89,5,0)</f>
        <v>1.0049916454590858E-13</v>
      </c>
      <c r="DQ179" s="14">
        <f t="shared" si="176"/>
        <v>1.5089081593838289E-12</v>
      </c>
      <c r="DR179" s="22">
        <f t="shared" si="177"/>
        <v>2.8030510891776262E-12</v>
      </c>
      <c r="DS179" s="62">
        <f t="shared" si="125"/>
        <v>289.12040147384039</v>
      </c>
      <c r="DT179" s="62">
        <f ca="1">AVERAGE(OFFSET($DS$3,0,0,'Données projet'!$E$14+1,1))-AVERAGE(OFFSET($H$3,0,0,'Données projet'!$E$14+1,1))</f>
        <v>338.33525241236157</v>
      </c>
      <c r="DU179" s="62">
        <f t="shared" si="152"/>
        <v>373.47257029791717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24.309213963914939</v>
      </c>
      <c r="EB179" s="23">
        <f>EXP(-LN(2)/25)*EB178+(1-EXP(-LN(2)/25))/(LN(2)/25)*Calculateur!DW179*Calculateur!DY179*VLOOKUP('Données projet'!$B$14,Paramètres!$A$1:$I$89,3,0)*0.475*44/12</f>
        <v>1.7044186218753106</v>
      </c>
      <c r="EC179" s="23">
        <f>EXP(-LN(2)/2)*EC178+(1-EXP(-LN(2)/2))/(LN(2)/2)*DW179*DZ179*VLOOKUP('Données projet'!$B$14,Paramètres!$A$1:$I$89,3,0)*0.475*44/12</f>
        <v>5.127202193082461E-17</v>
      </c>
      <c r="ED179" s="24">
        <f t="shared" si="178"/>
        <v>26.013632585790248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-2.8421709430404007E-14</v>
      </c>
      <c r="EK179" s="18">
        <f>EJ179*VLOOKUP('Données projet'!$B$15,Paramètres!$A$1:$I$89,3,0)*VLOOKUP('Données projet'!$B$15,Paramètres!$A$1:$I$89,5,0)</f>
        <v>-2.2168933355715127E-14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144.92790055195192</v>
      </c>
      <c r="EP179" s="62">
        <f t="shared" si="154"/>
        <v>151.00642748754026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6.1177097479130493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6.1177097479130493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-1.7053025658242404E-13</v>
      </c>
      <c r="O180" s="14">
        <f>N180*VLOOKUP('Données projet'!$B$9,Paramètres!$A$1:$I$89,3,0)*VLOOKUP('Données projet'!$B$9,Paramètres!$A$1:$I$89,5,0)</f>
        <v>-1.383341441396624E-13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259.10606516000064</v>
      </c>
      <c r="T180" s="62">
        <f t="shared" si="142"/>
        <v>316.57989180609252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10.068546992829008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10.068546992829008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186.83226999296298</v>
      </c>
      <c r="AO180" s="62">
        <f t="shared" si="144"/>
        <v>232.70925470547317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12.049911534702815</v>
      </c>
      <c r="AV180" s="23">
        <f>EXP(-LN(2)/25)*AV179+(1-EXP(-LN(2)/25))/(LN(2)/25)*Calculateur!AQ180*Calculateur!AS180*VLOOKUP('Données projet'!$B$10,Paramètres!$A$1:$I$89,3,0)*0.475*44/12</f>
        <v>0.52244385704785001</v>
      </c>
      <c r="AW180" s="23">
        <f>EXP(-LN(2)/2)*AW179+(1-EXP(-LN(2)/2))/(LN(2)/2)*AQ180*AT180*VLOOKUP('Données projet'!$B$10,Paramètres!$A$1:$I$89,3,0)*0.475*44/12</f>
        <v>1.8422205142315003E-17</v>
      </c>
      <c r="AX180" s="23">
        <f t="shared" si="166"/>
        <v>12.572355391750666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-2.2737367544323206E-13</v>
      </c>
      <c r="BE180" s="14">
        <f>BD180*VLOOKUP('Données projet'!$B$11,Paramètres!$A$1:$I$89,3,0)*VLOOKUP('Données projet'!$B$11,Paramètres!$A$1:$I$89,5,0)</f>
        <v>-2.0572770154103635E-13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435.70500547084868</v>
      </c>
      <c r="BJ180" s="62">
        <f t="shared" si="146"/>
        <v>297.32483725004136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39.190748145617249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39.190748145617249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-2.2737367544323206E-13</v>
      </c>
      <c r="BZ180" s="14">
        <f>BY180*VLOOKUP('Données projet'!$B$12,Paramètres!$A$1:$I$89,3,0)*VLOOKUP('Données projet'!$B$12,Paramètres!$A$1:$I$89,5,0)</f>
        <v>-2.5893314159475268E-13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530.15080507516973</v>
      </c>
      <c r="CE180" s="62">
        <f t="shared" si="148"/>
        <v>358.10331902702217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49.32628645913892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49.32628645913892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-4.8771653382573282E-14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182.98212193167009</v>
      </c>
      <c r="CZ180" s="62">
        <f t="shared" si="150"/>
        <v>195.9200038944301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10.83233512104063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10.83233512104063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2.2737367544323206E-13</v>
      </c>
      <c r="DP180" s="18">
        <f>DO180*VLOOKUP('Données projet'!$B$14,Paramètres!$A$1:$I$89,3,0)*VLOOKUP('Données projet'!$B$14,Paramètres!$A$1:$I$89,5,0)</f>
        <v>1.0049916454590858E-13</v>
      </c>
      <c r="DQ180" s="14">
        <f t="shared" si="176"/>
        <v>1.5089081593838289E-12</v>
      </c>
      <c r="DR180" s="22">
        <f t="shared" si="177"/>
        <v>2.8030510891776262E-12</v>
      </c>
      <c r="DS180" s="62">
        <f t="shared" si="125"/>
        <v>289.19348642289805</v>
      </c>
      <c r="DT180" s="62">
        <f ca="1">AVERAGE(OFFSET($DS$3,0,0,'Données projet'!$E$14+1,1))-AVERAGE(OFFSET($H$3,0,0,'Données projet'!$E$14+1,1))</f>
        <v>338.33525241236157</v>
      </c>
      <c r="DU180" s="62">
        <f t="shared" si="152"/>
        <v>373.47257029791717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23.832525105239025</v>
      </c>
      <c r="EB180" s="23">
        <f>EXP(-LN(2)/25)*EB179+(1-EXP(-LN(2)/25))/(LN(2)/25)*Calculateur!DW180*Calculateur!DY180*VLOOKUP('Données projet'!$B$14,Paramètres!$A$1:$I$89,3,0)*0.475*44/12</f>
        <v>1.6578112050286504</v>
      </c>
      <c r="EC180" s="23">
        <f>EXP(-LN(2)/2)*EC179+(1-EXP(-LN(2)/2))/(LN(2)/2)*DW180*DZ180*VLOOKUP('Données projet'!$B$14,Paramètres!$A$1:$I$89,3,0)*0.475*44/12</f>
        <v>3.6254794392431463E-17</v>
      </c>
      <c r="ED180" s="24">
        <f t="shared" si="178"/>
        <v>25.490336310267676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-2.8421709430404007E-14</v>
      </c>
      <c r="EK180" s="18">
        <f>EJ180*VLOOKUP('Données projet'!$B$15,Paramètres!$A$1:$I$89,3,0)*VLOOKUP('Données projet'!$B$15,Paramètres!$A$1:$I$89,5,0)</f>
        <v>-2.2168933355715127E-14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144.92790055195192</v>
      </c>
      <c r="EP180" s="62">
        <f t="shared" si="154"/>
        <v>151.00642748754026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5.9977451911909725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5.9977451911909725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-1.7053025658242404E-13</v>
      </c>
      <c r="O181" s="14">
        <f>N181*VLOOKUP('Données projet'!$B$9,Paramètres!$A$1:$I$89,3,0)*VLOOKUP('Données projet'!$B$9,Paramètres!$A$1:$I$89,5,0)</f>
        <v>-1.383341441396624E-13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259.10606516000064</v>
      </c>
      <c r="T181" s="62">
        <f t="shared" si="142"/>
        <v>316.57989180609252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9.8711089275069028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9.8711089275069028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186.83226999296298</v>
      </c>
      <c r="AO181" s="62">
        <f t="shared" si="144"/>
        <v>232.70925470547317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11.813620119227604</v>
      </c>
      <c r="AV181" s="23">
        <f>EXP(-LN(2)/25)*AV180+(1-EXP(-LN(2)/25))/(LN(2)/25)*Calculateur!AQ181*Calculateur!AS181*VLOOKUP('Données projet'!$B$10,Paramètres!$A$1:$I$89,3,0)*0.475*44/12</f>
        <v>0.5081576023027482</v>
      </c>
      <c r="AW181" s="23">
        <f>EXP(-LN(2)/2)*AW180+(1-EXP(-LN(2)/2))/(LN(2)/2)*AQ181*AT181*VLOOKUP('Données projet'!$B$10,Paramètres!$A$1:$I$89,3,0)*0.475*44/12</f>
        <v>1.3026466180540625E-17</v>
      </c>
      <c r="AX181" s="23">
        <f t="shared" si="166"/>
        <v>12.321777721530353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-2.2737367544323206E-13</v>
      </c>
      <c r="BE181" s="14">
        <f>BD181*VLOOKUP('Données projet'!$B$11,Paramètres!$A$1:$I$89,3,0)*VLOOKUP('Données projet'!$B$11,Paramètres!$A$1:$I$89,5,0)</f>
        <v>-2.0572770154103635E-13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435.70500547084868</v>
      </c>
      <c r="BJ181" s="62">
        <f t="shared" si="146"/>
        <v>297.32483725004136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38.422241478477737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38.422241478477737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-2.2737367544323206E-13</v>
      </c>
      <c r="BZ181" s="14">
        <f>BY181*VLOOKUP('Données projet'!$B$12,Paramètres!$A$1:$I$89,3,0)*VLOOKUP('Données projet'!$B$12,Paramètres!$A$1:$I$89,5,0)</f>
        <v>-2.5893314159475268E-13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530.15080507516973</v>
      </c>
      <c r="CE181" s="62">
        <f t="shared" si="148"/>
        <v>358.10331902702217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48.359028067739196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48.359028067739196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-4.8771653382573282E-14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182.98212193167009</v>
      </c>
      <c r="CZ181" s="62">
        <f t="shared" si="150"/>
        <v>195.9200038944301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10.619919636389053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10.619919636389053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2.2737367544323206E-13</v>
      </c>
      <c r="DP181" s="18">
        <f>DO181*VLOOKUP('Données projet'!$B$14,Paramètres!$A$1:$I$89,3,0)*VLOOKUP('Données projet'!$B$14,Paramètres!$A$1:$I$89,5,0)</f>
        <v>1.0049916454590858E-13</v>
      </c>
      <c r="DQ181" s="14">
        <f t="shared" si="176"/>
        <v>1.5089081593838289E-12</v>
      </c>
      <c r="DR181" s="22">
        <f t="shared" si="177"/>
        <v>2.8030510891776262E-12</v>
      </c>
      <c r="DS181" s="62">
        <f t="shared" si="125"/>
        <v>289.26530351148295</v>
      </c>
      <c r="DT181" s="62">
        <f ca="1">AVERAGE(OFFSET($DS$3,0,0,'Données projet'!$E$14+1,1))-AVERAGE(OFFSET($H$3,0,0,'Données projet'!$E$14+1,1))</f>
        <v>338.33525241236157</v>
      </c>
      <c r="DU181" s="62">
        <f t="shared" si="152"/>
        <v>373.47257029791717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23.365183824330252</v>
      </c>
      <c r="EB181" s="23">
        <f>EXP(-LN(2)/25)*EB180+(1-EXP(-LN(2)/25))/(LN(2)/25)*Calculateur!DW181*Calculateur!DY181*VLOOKUP('Données projet'!$B$14,Paramètres!$A$1:$I$89,3,0)*0.475*44/12</f>
        <v>1.6124782704466396</v>
      </c>
      <c r="EC181" s="23">
        <f>EXP(-LN(2)/2)*EC180+(1-EXP(-LN(2)/2))/(LN(2)/2)*DW181*DZ181*VLOOKUP('Données projet'!$B$14,Paramètres!$A$1:$I$89,3,0)*0.475*44/12</f>
        <v>2.5636010965412305E-17</v>
      </c>
      <c r="ED181" s="24">
        <f t="shared" si="178"/>
        <v>24.977662094776893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-2.8421709430404007E-14</v>
      </c>
      <c r="EK181" s="18">
        <f>EJ181*VLOOKUP('Données projet'!$B$15,Paramètres!$A$1:$I$89,3,0)*VLOOKUP('Données projet'!$B$15,Paramètres!$A$1:$I$89,5,0)</f>
        <v>-2.2168933355715127E-14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144.92790055195192</v>
      </c>
      <c r="EP181" s="62">
        <f t="shared" si="154"/>
        <v>151.00642748754026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5.8801330662550608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5.8801330662550608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-1.7053025658242404E-13</v>
      </c>
      <c r="O182" s="14">
        <f>N182*VLOOKUP('Données projet'!$B$9,Paramètres!$A$1:$I$89,3,0)*VLOOKUP('Données projet'!$B$9,Paramètres!$A$1:$I$89,5,0)</f>
        <v>-1.383341441396624E-13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259.10606516000064</v>
      </c>
      <c r="T182" s="62">
        <f t="shared" si="142"/>
        <v>316.57989180609252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9.6775425022204349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9.6775425022204349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186.83226999296298</v>
      </c>
      <c r="AO182" s="62">
        <f t="shared" si="144"/>
        <v>232.70925470547317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11.58196223428633</v>
      </c>
      <c r="AV182" s="23">
        <f>EXP(-LN(2)/25)*AV181+(1-EXP(-LN(2)/25))/(LN(2)/25)*Calculateur!AQ182*Calculateur!AS182*VLOOKUP('Données projet'!$B$10,Paramètres!$A$1:$I$89,3,0)*0.475*44/12</f>
        <v>0.49426200594493264</v>
      </c>
      <c r="AW182" s="23">
        <f>EXP(-LN(2)/2)*AW181+(1-EXP(-LN(2)/2))/(LN(2)/2)*AQ182*AT182*VLOOKUP('Données projet'!$B$10,Paramètres!$A$1:$I$89,3,0)*0.475*44/12</f>
        <v>9.2111025711575014E-18</v>
      </c>
      <c r="AX182" s="23">
        <f t="shared" si="166"/>
        <v>12.076224240231262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-2.2737367544323206E-13</v>
      </c>
      <c r="BE182" s="14">
        <f>BD182*VLOOKUP('Données projet'!$B$11,Paramètres!$A$1:$I$89,3,0)*VLOOKUP('Données projet'!$B$11,Paramètres!$A$1:$I$89,5,0)</f>
        <v>-2.0572770154103635E-13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435.70500547084868</v>
      </c>
      <c r="BJ182" s="62">
        <f t="shared" si="146"/>
        <v>297.32483725004136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37.668804758338048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37.668804758338048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-2.2737367544323206E-13</v>
      </c>
      <c r="BZ182" s="14">
        <f>BY182*VLOOKUP('Données projet'!$B$12,Paramètres!$A$1:$I$89,3,0)*VLOOKUP('Données projet'!$B$12,Paramètres!$A$1:$I$89,5,0)</f>
        <v>-2.5893314159475268E-13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530.15080507516973</v>
      </c>
      <c r="CE182" s="62">
        <f t="shared" si="148"/>
        <v>358.10331902702217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47.410737023425455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47.410737023425455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-4.8771653382573282E-14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182.98212193167009</v>
      </c>
      <c r="CZ182" s="62">
        <f t="shared" si="150"/>
        <v>195.9200038944301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10.411669489830841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10.411669489830841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2.2737367544323206E-13</v>
      </c>
      <c r="DP182" s="18">
        <f>DO182*VLOOKUP('Données projet'!$B$14,Paramètres!$A$1:$I$89,3,0)*VLOOKUP('Données projet'!$B$14,Paramètres!$A$1:$I$89,5,0)</f>
        <v>1.0049916454590858E-13</v>
      </c>
      <c r="DQ182" s="14">
        <f t="shared" si="176"/>
        <v>1.5089081593838289E-12</v>
      </c>
      <c r="DR182" s="22">
        <f t="shared" si="177"/>
        <v>2.8030510891776262E-12</v>
      </c>
      <c r="DS182" s="62">
        <f t="shared" si="125"/>
        <v>289.33587473413991</v>
      </c>
      <c r="DT182" s="62">
        <f ca="1">AVERAGE(OFFSET($DS$3,0,0,'Données projet'!$E$14+1,1))-AVERAGE(OFFSET($H$3,0,0,'Données projet'!$E$14+1,1))</f>
        <v>338.33525241236157</v>
      </c>
      <c r="DU182" s="62">
        <f t="shared" si="152"/>
        <v>373.47257029791717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22.907006820890064</v>
      </c>
      <c r="EB182" s="23">
        <f>EXP(-LN(2)/25)*EB181+(1-EXP(-LN(2)/25))/(LN(2)/25)*Calculateur!DW182*Calculateur!DY182*VLOOKUP('Données projet'!$B$14,Paramètres!$A$1:$I$89,3,0)*0.475*44/12</f>
        <v>1.5683849673447294</v>
      </c>
      <c r="EC182" s="23">
        <f>EXP(-LN(2)/2)*EC181+(1-EXP(-LN(2)/2))/(LN(2)/2)*DW182*DZ182*VLOOKUP('Données projet'!$B$14,Paramètres!$A$1:$I$89,3,0)*0.475*44/12</f>
        <v>1.8127397196215731E-17</v>
      </c>
      <c r="ED182" s="24">
        <f t="shared" si="178"/>
        <v>24.475391788234795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-2.8421709430404007E-14</v>
      </c>
      <c r="EK182" s="18">
        <f>EJ182*VLOOKUP('Données projet'!$B$15,Paramètres!$A$1:$I$89,3,0)*VLOOKUP('Données projet'!$B$15,Paramètres!$A$1:$I$89,5,0)</f>
        <v>-2.2168933355715127E-14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144.92790055195192</v>
      </c>
      <c r="EP182" s="62">
        <f t="shared" si="154"/>
        <v>151.00642748754026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5.7648272433528298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5.7648272433528298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-1.7053025658242404E-13</v>
      </c>
      <c r="O183" s="14">
        <f>N183*VLOOKUP('Données projet'!$B$9,Paramètres!$A$1:$I$89,3,0)*VLOOKUP('Données projet'!$B$9,Paramètres!$A$1:$I$89,5,0)</f>
        <v>-1.383341441396624E-13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259.10606516000064</v>
      </c>
      <c r="T183" s="62">
        <f t="shared" si="142"/>
        <v>316.57989180609252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9.487771796469973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9.487771796469973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186.83226999296298</v>
      </c>
      <c r="AO183" s="62">
        <f t="shared" si="144"/>
        <v>232.70925470547317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11.354847019171396</v>
      </c>
      <c r="AV183" s="23">
        <f>EXP(-LN(2)/25)*AV182+(1-EXP(-LN(2)/25))/(LN(2)/25)*Calculateur!AQ183*Calculateur!AS183*VLOOKUP('Données projet'!$B$10,Paramètres!$A$1:$I$89,3,0)*0.475*44/12</f>
        <v>0.48074638540025921</v>
      </c>
      <c r="AW183" s="23">
        <f>EXP(-LN(2)/2)*AW182+(1-EXP(-LN(2)/2))/(LN(2)/2)*AQ183*AT183*VLOOKUP('Données projet'!$B$10,Paramètres!$A$1:$I$89,3,0)*0.475*44/12</f>
        <v>6.5132330902703127E-18</v>
      </c>
      <c r="AX183" s="23">
        <f t="shared" si="166"/>
        <v>11.835593404571656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-2.2737367544323206E-13</v>
      </c>
      <c r="BE183" s="14">
        <f>BD183*VLOOKUP('Données projet'!$B$11,Paramètres!$A$1:$I$89,3,0)*VLOOKUP('Données projet'!$B$11,Paramètres!$A$1:$I$89,5,0)</f>
        <v>-2.0572770154103635E-13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435.70500547084868</v>
      </c>
      <c r="BJ183" s="62">
        <f t="shared" si="146"/>
        <v>297.32483725004136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36.93014247272928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36.93014247272928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-2.2737367544323206E-13</v>
      </c>
      <c r="BZ183" s="14">
        <f>BY183*VLOOKUP('Données projet'!$B$12,Paramètres!$A$1:$I$89,3,0)*VLOOKUP('Données projet'!$B$12,Paramètres!$A$1:$I$89,5,0)</f>
        <v>-2.5893314159475268E-13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530.15080507516973</v>
      </c>
      <c r="CE183" s="62">
        <f t="shared" si="148"/>
        <v>358.10331902702217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46.481041388090283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46.481041388090283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-4.8771653382573282E-14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182.98212193167009</v>
      </c>
      <c r="CZ183" s="62">
        <f t="shared" si="150"/>
        <v>195.9200038944301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10.207503001626588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10.207503001626588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2.2737367544323206E-13</v>
      </c>
      <c r="DP183" s="18">
        <f>DO183*VLOOKUP('Données projet'!$B$14,Paramètres!$A$1:$I$89,3,0)*VLOOKUP('Données projet'!$B$14,Paramètres!$A$1:$I$89,5,0)</f>
        <v>1.0049916454590858E-13</v>
      </c>
      <c r="DQ183" s="14">
        <f t="shared" si="176"/>
        <v>1.5089081593838289E-12</v>
      </c>
      <c r="DR183" s="22">
        <f t="shared" si="177"/>
        <v>2.8030510891776262E-12</v>
      </c>
      <c r="DS183" s="62">
        <f t="shared" si="125"/>
        <v>289.40522170385742</v>
      </c>
      <c r="DT183" s="62">
        <f ca="1">AVERAGE(OFFSET($DS$3,0,0,'Données projet'!$E$14+1,1))-AVERAGE(OFFSET($H$3,0,0,'Données projet'!$E$14+1,1))</f>
        <v>338.33525241236157</v>
      </c>
      <c r="DU183" s="62">
        <f t="shared" si="152"/>
        <v>373.47257029791717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22.457814389026961</v>
      </c>
      <c r="EB183" s="23">
        <f>EXP(-LN(2)/25)*EB182+(1-EXP(-LN(2)/25))/(LN(2)/25)*Calculateur!DW183*Calculateur!DY183*VLOOKUP('Données projet'!$B$14,Paramètres!$A$1:$I$89,3,0)*0.475*44/12</f>
        <v>1.5254973979349069</v>
      </c>
      <c r="EC183" s="23">
        <f>EXP(-LN(2)/2)*EC182+(1-EXP(-LN(2)/2))/(LN(2)/2)*DW183*DZ183*VLOOKUP('Données projet'!$B$14,Paramètres!$A$1:$I$89,3,0)*0.475*44/12</f>
        <v>1.2818005482706152E-17</v>
      </c>
      <c r="ED183" s="24">
        <f t="shared" si="178"/>
        <v>23.983311786961867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-2.8421709430404007E-14</v>
      </c>
      <c r="EK183" s="18">
        <f>EJ183*VLOOKUP('Données projet'!$B$15,Paramètres!$A$1:$I$89,3,0)*VLOOKUP('Données projet'!$B$15,Paramètres!$A$1:$I$89,5,0)</f>
        <v>-2.2168933355715127E-14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144.92790055195192</v>
      </c>
      <c r="EP183" s="62">
        <f t="shared" si="154"/>
        <v>151.00642748754026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5.6517824973081039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5.6517824973081039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-1.7053025658242404E-13</v>
      </c>
      <c r="O184" s="14">
        <f>N184*VLOOKUP('Données projet'!$B$9,Paramètres!$A$1:$I$89,3,0)*VLOOKUP('Données projet'!$B$9,Paramètres!$A$1:$I$89,5,0)</f>
        <v>-1.383341441396624E-13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259.10606516000064</v>
      </c>
      <c r="T184" s="62">
        <f t="shared" si="142"/>
        <v>316.57989180609252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9.3017223785105774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9.3017223785105774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186.83226999296298</v>
      </c>
      <c r="AO184" s="62">
        <f t="shared" si="144"/>
        <v>232.70925470547317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11.132185394898263</v>
      </c>
      <c r="AV184" s="23">
        <f>EXP(-LN(2)/25)*AV183+(1-EXP(-LN(2)/25))/(LN(2)/25)*Calculateur!AQ184*Calculateur!AS184*VLOOKUP('Données projet'!$B$10,Paramètres!$A$1:$I$89,3,0)*0.475*44/12</f>
        <v>0.46760035021013546</v>
      </c>
      <c r="AW184" s="23">
        <f>EXP(-LN(2)/2)*AW183+(1-EXP(-LN(2)/2))/(LN(2)/2)*AQ184*AT184*VLOOKUP('Données projet'!$B$10,Paramètres!$A$1:$I$89,3,0)*0.475*44/12</f>
        <v>4.6055512855787507E-18</v>
      </c>
      <c r="AX184" s="23">
        <f t="shared" si="166"/>
        <v>11.599785745108399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-2.2737367544323206E-13</v>
      </c>
      <c r="BE184" s="14">
        <f>BD184*VLOOKUP('Données projet'!$B$11,Paramètres!$A$1:$I$89,3,0)*VLOOKUP('Données projet'!$B$11,Paramètres!$A$1:$I$89,5,0)</f>
        <v>-2.0572770154103635E-13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435.70500547084868</v>
      </c>
      <c r="BJ184" s="62">
        <f t="shared" si="146"/>
        <v>297.32483725004136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36.205964904001789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36.205964904001789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-2.2737367544323206E-13</v>
      </c>
      <c r="BZ184" s="14">
        <f>BY184*VLOOKUP('Données projet'!$B$12,Paramètres!$A$1:$I$89,3,0)*VLOOKUP('Données projet'!$B$12,Paramètres!$A$1:$I$89,5,0)</f>
        <v>-2.5893314159475268E-13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530.15080507516973</v>
      </c>
      <c r="CE184" s="62">
        <f t="shared" si="148"/>
        <v>358.10331902702217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45.569576517105688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45.569576517105688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-4.8771653382573282E-14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182.98212193167009</v>
      </c>
      <c r="CZ184" s="62">
        <f t="shared" si="150"/>
        <v>195.9200038944301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10.007340093726759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10.007340093726759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2.2737367544323206E-13</v>
      </c>
      <c r="DP184" s="18">
        <f>DO184*VLOOKUP('Données projet'!$B$14,Paramètres!$A$1:$I$89,3,0)*VLOOKUP('Données projet'!$B$14,Paramètres!$A$1:$I$89,5,0)</f>
        <v>1.0049916454590858E-13</v>
      </c>
      <c r="DQ184" s="14">
        <f t="shared" si="176"/>
        <v>1.5089081593838289E-12</v>
      </c>
      <c r="DR184" s="22">
        <f t="shared" si="177"/>
        <v>2.8030510891776262E-12</v>
      </c>
      <c r="DS184" s="62">
        <f t="shared" si="125"/>
        <v>289.47336565868687</v>
      </c>
      <c r="DT184" s="62">
        <f ca="1">AVERAGE(OFFSET($DS$3,0,0,'Données projet'!$E$14+1,1))-AVERAGE(OFFSET($H$3,0,0,'Données projet'!$E$14+1,1))</f>
        <v>338.33525241236157</v>
      </c>
      <c r="DU184" s="62">
        <f t="shared" si="152"/>
        <v>373.47257029791717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22.017430346772361</v>
      </c>
      <c r="EB184" s="23">
        <f>EXP(-LN(2)/25)*EB183+(1-EXP(-LN(2)/25))/(LN(2)/25)*Calculateur!DW184*Calculateur!DY184*VLOOKUP('Données projet'!$B$14,Paramètres!$A$1:$I$89,3,0)*0.475*44/12</f>
        <v>1.4837825913659553</v>
      </c>
      <c r="EC184" s="23">
        <f>EXP(-LN(2)/2)*EC183+(1-EXP(-LN(2)/2))/(LN(2)/2)*DW184*DZ184*VLOOKUP('Données projet'!$B$14,Paramètres!$A$1:$I$89,3,0)*0.475*44/12</f>
        <v>9.0636985981078657E-18</v>
      </c>
      <c r="ED184" s="24">
        <f t="shared" si="178"/>
        <v>23.501212938138316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-2.8421709430404007E-14</v>
      </c>
      <c r="EK184" s="18">
        <f>EJ184*VLOOKUP('Données projet'!$B$15,Paramètres!$A$1:$I$89,3,0)*VLOOKUP('Données projet'!$B$15,Paramètres!$A$1:$I$89,5,0)</f>
        <v>-2.2168933355715127E-14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144.92790055195192</v>
      </c>
      <c r="EP184" s="62">
        <f t="shared" si="154"/>
        <v>151.00642748754026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5.5409544897828278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5.5409544897828278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-1.7053025658242404E-13</v>
      </c>
      <c r="O185" s="14">
        <f>N185*VLOOKUP('Données projet'!$B$9,Paramètres!$A$1:$I$89,3,0)*VLOOKUP('Données projet'!$B$9,Paramètres!$A$1:$I$89,5,0)</f>
        <v>-1.383341441396624E-13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259.10606516000064</v>
      </c>
      <c r="T185" s="62">
        <f t="shared" si="142"/>
        <v>316.57989180609252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9.1193212761584252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9.1193212761584252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186.83226999296298</v>
      </c>
      <c r="AO185" s="62">
        <f t="shared" si="144"/>
        <v>232.70925470547317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10.913890029266947</v>
      </c>
      <c r="AV185" s="23">
        <f>EXP(-LN(2)/25)*AV184+(1-EXP(-LN(2)/25))/(LN(2)/25)*Calculateur!AQ185*Calculateur!AS185*VLOOKUP('Données projet'!$B$10,Paramètres!$A$1:$I$89,3,0)*0.475*44/12</f>
        <v>0.45481379404360561</v>
      </c>
      <c r="AW185" s="23">
        <f>EXP(-LN(2)/2)*AW184+(1-EXP(-LN(2)/2))/(LN(2)/2)*AQ185*AT185*VLOOKUP('Données projet'!$B$10,Paramètres!$A$1:$I$89,3,0)*0.475*44/12</f>
        <v>3.2566165451351563E-18</v>
      </c>
      <c r="AX185" s="23">
        <f t="shared" si="166"/>
        <v>11.368703823310552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-2.2737367544323206E-13</v>
      </c>
      <c r="BE185" s="14">
        <f>BD185*VLOOKUP('Données projet'!$B$11,Paramètres!$A$1:$I$89,3,0)*VLOOKUP('Données projet'!$B$11,Paramètres!$A$1:$I$89,5,0)</f>
        <v>-2.0572770154103635E-13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435.70500547084868</v>
      </c>
      <c r="BJ185" s="62">
        <f t="shared" si="146"/>
        <v>297.32483725004136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35.495988015692348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35.495988015692348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-2.2737367544323206E-13</v>
      </c>
      <c r="BZ185" s="14">
        <f>BY185*VLOOKUP('Données projet'!$B$12,Paramètres!$A$1:$I$89,3,0)*VLOOKUP('Données projet'!$B$12,Paramètres!$A$1:$I$89,5,0)</f>
        <v>-2.5893314159475268E-13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530.15080507516973</v>
      </c>
      <c r="CE185" s="62">
        <f t="shared" si="148"/>
        <v>358.10331902702217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44.675984916302426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44.675984916302426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-4.8771653382573282E-14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182.98212193167009</v>
      </c>
      <c r="CZ185" s="62">
        <f t="shared" si="150"/>
        <v>195.9200038944301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9.8111022583635261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9.8111022583635261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2.2737367544323206E-13</v>
      </c>
      <c r="DP185" s="18">
        <f>DO185*VLOOKUP('Données projet'!$B$14,Paramètres!$A$1:$I$89,3,0)*VLOOKUP('Données projet'!$B$14,Paramètres!$A$1:$I$89,5,0)</f>
        <v>1.0049916454590858E-13</v>
      </c>
      <c r="DQ185" s="14">
        <f t="shared" si="176"/>
        <v>1.5089081593838289E-12</v>
      </c>
      <c r="DR185" s="22">
        <f t="shared" si="177"/>
        <v>2.8030510891776262E-12</v>
      </c>
      <c r="DS185" s="62">
        <f t="shared" si="125"/>
        <v>289.5403274682472</v>
      </c>
      <c r="DT185" s="62">
        <f ca="1">AVERAGE(OFFSET($DS$3,0,0,'Données projet'!$E$14+1,1))-AVERAGE(OFFSET($H$3,0,0,'Données projet'!$E$14+1,1))</f>
        <v>338.33525241236157</v>
      </c>
      <c r="DU185" s="62">
        <f t="shared" si="152"/>
        <v>373.47257029791717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21.585681966978633</v>
      </c>
      <c r="EB185" s="23">
        <f>EXP(-LN(2)/25)*EB184+(1-EXP(-LN(2)/25))/(LN(2)/25)*Calculateur!DW185*Calculateur!DY185*VLOOKUP('Données projet'!$B$14,Paramètres!$A$1:$I$89,3,0)*0.475*44/12</f>
        <v>1.4432084783763179</v>
      </c>
      <c r="EC185" s="23">
        <f>EXP(-LN(2)/2)*EC184+(1-EXP(-LN(2)/2))/(LN(2)/2)*DW185*DZ185*VLOOKUP('Données projet'!$B$14,Paramètres!$A$1:$I$89,3,0)*0.475*44/12</f>
        <v>6.4090027413530762E-18</v>
      </c>
      <c r="ED185" s="24">
        <f t="shared" si="178"/>
        <v>23.02889044535495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-2.8421709430404007E-14</v>
      </c>
      <c r="EK185" s="18">
        <f>EJ185*VLOOKUP('Données projet'!$B$15,Paramètres!$A$1:$I$89,3,0)*VLOOKUP('Données projet'!$B$15,Paramètres!$A$1:$I$89,5,0)</f>
        <v>-2.2168933355715127E-14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144.92790055195192</v>
      </c>
      <c r="EP185" s="62">
        <f t="shared" si="154"/>
        <v>151.00642748754026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5.4322997518867124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5.4322997518867124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-1.7053025658242404E-13</v>
      </c>
      <c r="O186" s="14">
        <f>N186*VLOOKUP('Données projet'!$B$9,Paramètres!$A$1:$I$89,3,0)*VLOOKUP('Données projet'!$B$9,Paramètres!$A$1:$I$89,5,0)</f>
        <v>-1.383341441396624E-13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259.10606516000064</v>
      </c>
      <c r="T186" s="62">
        <f t="shared" si="142"/>
        <v>316.57989180609252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8.9404969481697112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8.9404969481697112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186.83226999296298</v>
      </c>
      <c r="AO186" s="62">
        <f t="shared" si="144"/>
        <v>232.70925470547317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10.699875302608634</v>
      </c>
      <c r="AV186" s="23">
        <f>EXP(-LN(2)/25)*AV185+(1-EXP(-LN(2)/25))/(LN(2)/25)*Calculateur!AQ186*Calculateur!AS186*VLOOKUP('Données projet'!$B$10,Paramètres!$A$1:$I$89,3,0)*0.475*44/12</f>
        <v>0.44237688692786525</v>
      </c>
      <c r="AW186" s="23">
        <f>EXP(-LN(2)/2)*AW185+(1-EXP(-LN(2)/2))/(LN(2)/2)*AQ186*AT186*VLOOKUP('Données projet'!$B$10,Paramètres!$A$1:$I$89,3,0)*0.475*44/12</f>
        <v>2.3027756427893753E-18</v>
      </c>
      <c r="AX186" s="23">
        <f t="shared" si="166"/>
        <v>11.142252189536499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-2.2737367544323206E-13</v>
      </c>
      <c r="BE186" s="14">
        <f>BD186*VLOOKUP('Données projet'!$B$11,Paramètres!$A$1:$I$89,3,0)*VLOOKUP('Données projet'!$B$11,Paramètres!$A$1:$I$89,5,0)</f>
        <v>-2.0572770154103635E-13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435.70500547084868</v>
      </c>
      <c r="BJ186" s="62">
        <f t="shared" si="146"/>
        <v>297.32483725004136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34.799933341119512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34.799933341119512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-2.2737367544323206E-13</v>
      </c>
      <c r="BZ186" s="14">
        <f>BY186*VLOOKUP('Données projet'!$B$12,Paramètres!$A$1:$I$89,3,0)*VLOOKUP('Données projet'!$B$12,Paramètres!$A$1:$I$89,5,0)</f>
        <v>-2.5893314159475268E-13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530.15080507516973</v>
      </c>
      <c r="CE186" s="62">
        <f t="shared" si="148"/>
        <v>358.10331902702217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43.799916101753851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43.799916101753851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-4.8771653382573282E-14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182.98212193167009</v>
      </c>
      <c r="CZ186" s="62">
        <f t="shared" si="150"/>
        <v>195.9200038944301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9.6187125272585057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9.6187125272585057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2.2737367544323206E-13</v>
      </c>
      <c r="DP186" s="18">
        <f>DO186*VLOOKUP('Données projet'!$B$14,Paramètres!$A$1:$I$89,3,0)*VLOOKUP('Données projet'!$B$14,Paramètres!$A$1:$I$89,5,0)</f>
        <v>1.0049916454590858E-13</v>
      </c>
      <c r="DQ186" s="14">
        <f t="shared" si="176"/>
        <v>1.5089081593838289E-12</v>
      </c>
      <c r="DR186" s="22">
        <f t="shared" si="177"/>
        <v>2.8030510891776262E-12</v>
      </c>
      <c r="DS186" s="62">
        <f t="shared" si="125"/>
        <v>289.60612764011574</v>
      </c>
      <c r="DT186" s="62">
        <f ca="1">AVERAGE(OFFSET($DS$3,0,0,'Données projet'!$E$14+1,1))-AVERAGE(OFFSET($H$3,0,0,'Données projet'!$E$14+1,1))</f>
        <v>338.33525241236157</v>
      </c>
      <c r="DU186" s="62">
        <f t="shared" si="152"/>
        <v>373.47257029791717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21.162399909572152</v>
      </c>
      <c r="EB186" s="23">
        <f>EXP(-LN(2)/25)*EB185+(1-EXP(-LN(2)/25))/(LN(2)/25)*Calculateur!DW186*Calculateur!DY186*VLOOKUP('Données projet'!$B$14,Paramètres!$A$1:$I$89,3,0)*0.475*44/12</f>
        <v>1.4037438666400821</v>
      </c>
      <c r="EC186" s="23">
        <f>EXP(-LN(2)/2)*EC185+(1-EXP(-LN(2)/2))/(LN(2)/2)*DW186*DZ186*VLOOKUP('Données projet'!$B$14,Paramètres!$A$1:$I$89,3,0)*0.475*44/12</f>
        <v>4.5318492990539328E-18</v>
      </c>
      <c r="ED186" s="24">
        <f t="shared" si="178"/>
        <v>22.566143776212233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-2.8421709430404007E-14</v>
      </c>
      <c r="EK186" s="18">
        <f>EJ186*VLOOKUP('Données projet'!$B$15,Paramètres!$A$1:$I$89,3,0)*VLOOKUP('Données projet'!$B$15,Paramètres!$A$1:$I$89,5,0)</f>
        <v>-2.2168933355715127E-14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144.92790055195192</v>
      </c>
      <c r="EP186" s="62">
        <f t="shared" si="154"/>
        <v>151.00642748754026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5.3257756671278944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5.3257756671278944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-1.7053025658242404E-13</v>
      </c>
      <c r="O187" s="14">
        <f>N187*VLOOKUP('Données projet'!$B$9,Paramètres!$A$1:$I$89,3,0)*VLOOKUP('Données projet'!$B$9,Paramètres!$A$1:$I$89,5,0)</f>
        <v>-1.383341441396624E-13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259.10606516000064</v>
      </c>
      <c r="T187" s="62">
        <f t="shared" si="142"/>
        <v>316.57989180609252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8.7651792561807866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8.7651792561807866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186.83226999296298</v>
      </c>
      <c r="AO187" s="62">
        <f t="shared" si="144"/>
        <v>232.70925470547317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10.490057274203997</v>
      </c>
      <c r="AV187" s="23">
        <f>EXP(-LN(2)/25)*AV186+(1-EXP(-LN(2)/25))/(LN(2)/25)*Calculateur!AQ187*Calculateur!AS187*VLOOKUP('Données projet'!$B$10,Paramètres!$A$1:$I$89,3,0)*0.475*44/12</f>
        <v>0.43028006769123334</v>
      </c>
      <c r="AW187" s="23">
        <f>EXP(-LN(2)/2)*AW186+(1-EXP(-LN(2)/2))/(LN(2)/2)*AQ187*AT187*VLOOKUP('Données projet'!$B$10,Paramètres!$A$1:$I$89,3,0)*0.475*44/12</f>
        <v>1.6283082725675782E-18</v>
      </c>
      <c r="AX187" s="23">
        <f t="shared" si="166"/>
        <v>10.92033734189523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-2.2737367544323206E-13</v>
      </c>
      <c r="BE187" s="14">
        <f>BD187*VLOOKUP('Données projet'!$B$11,Paramètres!$A$1:$I$89,3,0)*VLOOKUP('Données projet'!$B$11,Paramètres!$A$1:$I$89,5,0)</f>
        <v>-2.0572770154103635E-13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435.70500547084868</v>
      </c>
      <c r="BJ187" s="62">
        <f t="shared" si="146"/>
        <v>297.32483725004136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34.117527874163613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34.117527874163613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-2.2737367544323206E-13</v>
      </c>
      <c r="BZ187" s="14">
        <f>BY187*VLOOKUP('Données projet'!$B$12,Paramètres!$A$1:$I$89,3,0)*VLOOKUP('Données projet'!$B$12,Paramètres!$A$1:$I$89,5,0)</f>
        <v>-2.5893314159475268E-13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530.15080507516973</v>
      </c>
      <c r="CE187" s="62">
        <f t="shared" si="148"/>
        <v>358.10331902702217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42.94102646230936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42.94102646230936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-4.8771653382573282E-14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182.98212193167009</v>
      </c>
      <c r="CZ187" s="62">
        <f t="shared" si="150"/>
        <v>195.9200038944301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9.4300954414343057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9.4300954414343057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2.2737367544323206E-13</v>
      </c>
      <c r="DP187" s="18">
        <f>DO187*VLOOKUP('Données projet'!$B$14,Paramètres!$A$1:$I$89,3,0)*VLOOKUP('Données projet'!$B$14,Paramètres!$A$1:$I$89,5,0)</f>
        <v>1.0049916454590858E-13</v>
      </c>
      <c r="DQ187" s="14">
        <f t="shared" si="176"/>
        <v>1.5089081593838289E-12</v>
      </c>
      <c r="DR187" s="22">
        <f t="shared" si="177"/>
        <v>2.8030510891776262E-12</v>
      </c>
      <c r="DS187" s="62">
        <f t="shared" si="125"/>
        <v>289.67078632610952</v>
      </c>
      <c r="DT187" s="62">
        <f ca="1">AVERAGE(OFFSET($DS$3,0,0,'Données projet'!$E$14+1,1))-AVERAGE(OFFSET($H$3,0,0,'Données projet'!$E$14+1,1))</f>
        <v>338.33525241236157</v>
      </c>
      <c r="DU187" s="62">
        <f t="shared" si="152"/>
        <v>373.47257029791717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20.747418155134849</v>
      </c>
      <c r="EB187" s="23">
        <f>EXP(-LN(2)/25)*EB186+(1-EXP(-LN(2)/25))/(LN(2)/25)*Calculateur!DW187*Calculateur!DY187*VLOOKUP('Données projet'!$B$14,Paramètres!$A$1:$I$89,3,0)*0.475*44/12</f>
        <v>1.3653584167871273</v>
      </c>
      <c r="EC187" s="23">
        <f>EXP(-LN(2)/2)*EC186+(1-EXP(-LN(2)/2))/(LN(2)/2)*DW187*DZ187*VLOOKUP('Données projet'!$B$14,Paramètres!$A$1:$I$89,3,0)*0.475*44/12</f>
        <v>3.2045013706765381E-18</v>
      </c>
      <c r="ED187" s="24">
        <f t="shared" si="178"/>
        <v>22.112776571921977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-2.8421709430404007E-14</v>
      </c>
      <c r="EK187" s="18">
        <f>EJ187*VLOOKUP('Données projet'!$B$15,Paramètres!$A$1:$I$89,3,0)*VLOOKUP('Données projet'!$B$15,Paramètres!$A$1:$I$89,5,0)</f>
        <v>-2.2168933355715127E-14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144.92790055195192</v>
      </c>
      <c r="EP187" s="62">
        <f t="shared" si="154"/>
        <v>151.00642748754026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5.2213404546979199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5.2213404546979199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-1.7053025658242404E-13</v>
      </c>
      <c r="O188" s="14">
        <f>N188*VLOOKUP('Données projet'!$B$9,Paramètres!$A$1:$I$89,3,0)*VLOOKUP('Données projet'!$B$9,Paramètres!$A$1:$I$89,5,0)</f>
        <v>-1.383341441396624E-13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259.10606516000064</v>
      </c>
      <c r="T188" s="62">
        <f t="shared" si="142"/>
        <v>316.57989180609252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8.5932994371985316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8.5932994371985316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186.83226999296298</v>
      </c>
      <c r="AO188" s="62">
        <f t="shared" si="144"/>
        <v>232.70925470547317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10.284353649360014</v>
      </c>
      <c r="AV188" s="23">
        <f>EXP(-LN(2)/25)*AV187+(1-EXP(-LN(2)/25))/(LN(2)/25)*Calculateur!AQ188*Calculateur!AS188*VLOOKUP('Données projet'!$B$10,Paramètres!$A$1:$I$89,3,0)*0.475*44/12</f>
        <v>0.4185140366127712</v>
      </c>
      <c r="AW188" s="23">
        <f>EXP(-LN(2)/2)*AW187+(1-EXP(-LN(2)/2))/(LN(2)/2)*AQ188*AT188*VLOOKUP('Données projet'!$B$10,Paramètres!$A$1:$I$89,3,0)*0.475*44/12</f>
        <v>1.1513878213946877E-18</v>
      </c>
      <c r="AX188" s="23">
        <f t="shared" si="166"/>
        <v>10.702867685972786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-2.2737367544323206E-13</v>
      </c>
      <c r="BE188" s="14">
        <f>BD188*VLOOKUP('Données projet'!$B$11,Paramètres!$A$1:$I$89,3,0)*VLOOKUP('Données projet'!$B$11,Paramètres!$A$1:$I$89,5,0)</f>
        <v>-2.0572770154103635E-13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435.70500547084868</v>
      </c>
      <c r="BJ188" s="62">
        <f t="shared" si="146"/>
        <v>297.32483725004136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33.448503962188489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33.448503962188489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-2.2737367544323206E-13</v>
      </c>
      <c r="BZ188" s="14">
        <f>BY188*VLOOKUP('Données projet'!$B$12,Paramètres!$A$1:$I$89,3,0)*VLOOKUP('Données projet'!$B$12,Paramètres!$A$1:$I$89,5,0)</f>
        <v>-2.5893314159475268E-13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530.15080507516973</v>
      </c>
      <c r="CE188" s="62">
        <f t="shared" si="148"/>
        <v>358.10331902702217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42.098979124823423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42.098979124823423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-4.8771653382573282E-14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182.98212193167009</v>
      </c>
      <c r="CZ188" s="62">
        <f t="shared" si="150"/>
        <v>195.9200038944301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9.2451770216180567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9.2451770216180567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2.2737367544323206E-13</v>
      </c>
      <c r="DP188" s="18">
        <f>DO188*VLOOKUP('Données projet'!$B$14,Paramètres!$A$1:$I$89,3,0)*VLOOKUP('Données projet'!$B$14,Paramètres!$A$1:$I$89,5,0)</f>
        <v>1.0049916454590858E-13</v>
      </c>
      <c r="DQ188" s="14">
        <f t="shared" si="176"/>
        <v>1.5089081593838289E-12</v>
      </c>
      <c r="DR188" s="22">
        <f t="shared" si="177"/>
        <v>2.8030510891776262E-12</v>
      </c>
      <c r="DS188" s="62">
        <f t="shared" si="125"/>
        <v>289.73432332845653</v>
      </c>
      <c r="DT188" s="62">
        <f ca="1">AVERAGE(OFFSET($DS$3,0,0,'Données projet'!$E$14+1,1))-AVERAGE(OFFSET($H$3,0,0,'Données projet'!$E$14+1,1))</f>
        <v>338.33525241236157</v>
      </c>
      <c r="DU188" s="62">
        <f t="shared" si="152"/>
        <v>373.47257029791717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20.340573939788182</v>
      </c>
      <c r="EB188" s="23">
        <f>EXP(-LN(2)/25)*EB187+(1-EXP(-LN(2)/25))/(LN(2)/25)*Calculateur!DW188*Calculateur!DY188*VLOOKUP('Données projet'!$B$14,Paramètres!$A$1:$I$89,3,0)*0.475*44/12</f>
        <v>1.3280226190790048</v>
      </c>
      <c r="EC188" s="23">
        <f>EXP(-LN(2)/2)*EC187+(1-EXP(-LN(2)/2))/(LN(2)/2)*DW188*DZ188*VLOOKUP('Données projet'!$B$14,Paramètres!$A$1:$I$89,3,0)*0.475*44/12</f>
        <v>2.2659246495269664E-18</v>
      </c>
      <c r="ED188" s="24">
        <f t="shared" si="178"/>
        <v>21.668596558867186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-2.8421709430404007E-14</v>
      </c>
      <c r="EK188" s="18">
        <f>EJ188*VLOOKUP('Données projet'!$B$15,Paramètres!$A$1:$I$89,3,0)*VLOOKUP('Données projet'!$B$15,Paramètres!$A$1:$I$89,5,0)</f>
        <v>-2.2168933355715127E-14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144.92790055195192</v>
      </c>
      <c r="EP188" s="62">
        <f t="shared" si="154"/>
        <v>151.00642748754026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5.118953153084508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5.118953153084508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-1.7053025658242404E-13</v>
      </c>
      <c r="O189" s="14">
        <f>N189*VLOOKUP('Données projet'!$B$9,Paramètres!$A$1:$I$89,3,0)*VLOOKUP('Données projet'!$B$9,Paramètres!$A$1:$I$89,5,0)</f>
        <v>-1.383341441396624E-13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259.10606516000064</v>
      </c>
      <c r="T189" s="62">
        <f t="shared" si="142"/>
        <v>316.57989180609252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8.4247900766301811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8.4247900766301811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186.83226999296298</v>
      </c>
      <c r="AO189" s="62">
        <f t="shared" si="144"/>
        <v>232.70925470547317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10.0826837471324</v>
      </c>
      <c r="AV189" s="23">
        <f>EXP(-LN(2)/25)*AV188+(1-EXP(-LN(2)/25))/(LN(2)/25)*Calculateur!AQ189*Calculateur!AS189*VLOOKUP('Données projet'!$B$10,Paramètres!$A$1:$I$89,3,0)*0.475*44/12</f>
        <v>0.40706974827289832</v>
      </c>
      <c r="AW189" s="23">
        <f>EXP(-LN(2)/2)*AW188+(1-EXP(-LN(2)/2))/(LN(2)/2)*AQ189*AT189*VLOOKUP('Données projet'!$B$10,Paramètres!$A$1:$I$89,3,0)*0.475*44/12</f>
        <v>8.1415413628378909E-19</v>
      </c>
      <c r="AX189" s="23">
        <f t="shared" si="166"/>
        <v>10.489753495405298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-2.2737367544323206E-13</v>
      </c>
      <c r="BE189" s="14">
        <f>BD189*VLOOKUP('Données projet'!$B$11,Paramètres!$A$1:$I$89,3,0)*VLOOKUP('Données projet'!$B$11,Paramètres!$A$1:$I$89,5,0)</f>
        <v>-2.0572770154103635E-13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435.70500547084868</v>
      </c>
      <c r="BJ189" s="62">
        <f t="shared" si="146"/>
        <v>297.32483725004136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32.792599201062899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32.792599201062899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-2.2737367544323206E-13</v>
      </c>
      <c r="BZ189" s="14">
        <f>BY189*VLOOKUP('Données projet'!$B$12,Paramètres!$A$1:$I$89,3,0)*VLOOKUP('Données projet'!$B$12,Paramètres!$A$1:$I$89,5,0)</f>
        <v>-2.5893314159475268E-13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530.15080507516973</v>
      </c>
      <c r="CE189" s="62">
        <f t="shared" si="148"/>
        <v>358.10331902702217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41.273443822027424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41.273443822027424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-4.8771653382573282E-14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182.98212193167009</v>
      </c>
      <c r="CZ189" s="62">
        <f t="shared" si="150"/>
        <v>195.9200038944301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9.0638847392253048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9.0638847392253048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2.2737367544323206E-13</v>
      </c>
      <c r="DP189" s="18">
        <f>DO189*VLOOKUP('Données projet'!$B$14,Paramètres!$A$1:$I$89,3,0)*VLOOKUP('Données projet'!$B$14,Paramètres!$A$1:$I$89,5,0)</f>
        <v>1.0049916454590858E-13</v>
      </c>
      <c r="DQ189" s="14">
        <f t="shared" si="176"/>
        <v>1.5089081593838289E-12</v>
      </c>
      <c r="DR189" s="22">
        <f t="shared" si="177"/>
        <v>2.8030510891776262E-12</v>
      </c>
      <c r="DS189" s="62">
        <f t="shared" si="125"/>
        <v>289.79675810586019</v>
      </c>
      <c r="DT189" s="62">
        <f ca="1">AVERAGE(OFFSET($DS$3,0,0,'Données projet'!$E$14+1,1))-AVERAGE(OFFSET($H$3,0,0,'Données projet'!$E$14+1,1))</f>
        <v>338.33525241236157</v>
      </c>
      <c r="DU189" s="62">
        <f t="shared" si="152"/>
        <v>373.47257029791717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19.941707691353997</v>
      </c>
      <c r="EB189" s="23">
        <f>EXP(-LN(2)/25)*EB188+(1-EXP(-LN(2)/25))/(LN(2)/25)*Calculateur!DW189*Calculateur!DY189*VLOOKUP('Données projet'!$B$14,Paramètres!$A$1:$I$89,3,0)*0.475*44/12</f>
        <v>1.291707770722615</v>
      </c>
      <c r="EC189" s="23">
        <f>EXP(-LN(2)/2)*EC188+(1-EXP(-LN(2)/2))/(LN(2)/2)*DW189*DZ189*VLOOKUP('Données projet'!$B$14,Paramètres!$A$1:$I$89,3,0)*0.475*44/12</f>
        <v>1.6022506853382691E-18</v>
      </c>
      <c r="ED189" s="24">
        <f t="shared" si="178"/>
        <v>21.233415462076611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-2.8421709430404007E-14</v>
      </c>
      <c r="EK189" s="18">
        <f>EJ189*VLOOKUP('Données projet'!$B$15,Paramètres!$A$1:$I$89,3,0)*VLOOKUP('Données projet'!$B$15,Paramètres!$A$1:$I$89,5,0)</f>
        <v>-2.2168933355715127E-14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144.92790055195192</v>
      </c>
      <c r="EP189" s="62">
        <f t="shared" si="154"/>
        <v>151.00642748754026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5.0185736040056472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5.0185736040056472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-1.7053025658242404E-13</v>
      </c>
      <c r="O190" s="14">
        <f>N190*VLOOKUP('Données projet'!$B$9,Paramètres!$A$1:$I$89,3,0)*VLOOKUP('Données projet'!$B$9,Paramètres!$A$1:$I$89,5,0)</f>
        <v>-1.383341441396624E-13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259.10606516000064</v>
      </c>
      <c r="T190" s="62">
        <f t="shared" si="142"/>
        <v>316.57989180609252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8.2595850818420136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8.2595850818420136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186.83226999296298</v>
      </c>
      <c r="AO190" s="62">
        <f t="shared" si="144"/>
        <v>232.70925470547317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9.8849684686809738</v>
      </c>
      <c r="AV190" s="23">
        <f>EXP(-LN(2)/25)*AV189+(1-EXP(-LN(2)/25))/(LN(2)/25)*Calculateur!AQ190*Calculateur!AS190*VLOOKUP('Données projet'!$B$10,Paramètres!$A$1:$I$89,3,0)*0.475*44/12</f>
        <v>0.39593840459950824</v>
      </c>
      <c r="AW190" s="23">
        <f>EXP(-LN(2)/2)*AW189+(1-EXP(-LN(2)/2))/(LN(2)/2)*AQ190*AT190*VLOOKUP('Données projet'!$B$10,Paramètres!$A$1:$I$89,3,0)*0.475*44/12</f>
        <v>5.7569391069734384E-19</v>
      </c>
      <c r="AX190" s="23">
        <f t="shared" si="166"/>
        <v>10.280906873280482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-2.2737367544323206E-13</v>
      </c>
      <c r="BE190" s="14">
        <f>BD190*VLOOKUP('Données projet'!$B$11,Paramètres!$A$1:$I$89,3,0)*VLOOKUP('Données projet'!$B$11,Paramètres!$A$1:$I$89,5,0)</f>
        <v>-2.0572770154103635E-13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435.70500547084868</v>
      </c>
      <c r="BJ190" s="62">
        <f t="shared" si="146"/>
        <v>297.32483725004136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32.149556332240586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32.149556332240586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-2.2737367544323206E-13</v>
      </c>
      <c r="BZ190" s="14">
        <f>BY190*VLOOKUP('Données projet'!$B$12,Paramètres!$A$1:$I$89,3,0)*VLOOKUP('Données projet'!$B$12,Paramètres!$A$1:$I$89,5,0)</f>
        <v>-2.5893314159475268E-13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530.15080507516973</v>
      </c>
      <c r="CE190" s="62">
        <f t="shared" si="148"/>
        <v>358.10331902702217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40.46409676299244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40.46409676299244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-4.8771653382573282E-14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182.98212193167009</v>
      </c>
      <c r="CZ190" s="62">
        <f t="shared" si="150"/>
        <v>195.9200038944301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8.8861474879129005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8.8861474879129005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2.2737367544323206E-13</v>
      </c>
      <c r="DP190" s="18">
        <f>DO190*VLOOKUP('Données projet'!$B$14,Paramètres!$A$1:$I$89,3,0)*VLOOKUP('Données projet'!$B$14,Paramètres!$A$1:$I$89,5,0)</f>
        <v>1.0049916454590858E-13</v>
      </c>
      <c r="DQ190" s="14">
        <f t="shared" si="176"/>
        <v>1.5089081593838289E-12</v>
      </c>
      <c r="DR190" s="22">
        <f t="shared" si="177"/>
        <v>2.8030510891776262E-12</v>
      </c>
      <c r="DS190" s="62">
        <f t="shared" si="125"/>
        <v>289.8581097794592</v>
      </c>
      <c r="DT190" s="62">
        <f ca="1">AVERAGE(OFFSET($DS$3,0,0,'Données projet'!$E$14+1,1))-AVERAGE(OFFSET($H$3,0,0,'Données projet'!$E$14+1,1))</f>
        <v>338.33525241236157</v>
      </c>
      <c r="DU190" s="62">
        <f t="shared" si="152"/>
        <v>373.47257029791717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19.550662966767216</v>
      </c>
      <c r="EB190" s="23">
        <f>EXP(-LN(2)/25)*EB189+(1-EXP(-LN(2)/25))/(LN(2)/25)*Calculateur!DW190*Calculateur!DY190*VLOOKUP('Données projet'!$B$14,Paramètres!$A$1:$I$89,3,0)*0.475*44/12</f>
        <v>1.2563859538042457</v>
      </c>
      <c r="EC190" s="23">
        <f>EXP(-LN(2)/2)*EC189+(1-EXP(-LN(2)/2))/(LN(2)/2)*DW190*DZ190*VLOOKUP('Données projet'!$B$14,Paramètres!$A$1:$I$89,3,0)*0.475*44/12</f>
        <v>1.1329623247634832E-18</v>
      </c>
      <c r="ED190" s="24">
        <f t="shared" si="178"/>
        <v>20.807048920571461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-2.8421709430404007E-14</v>
      </c>
      <c r="EK190" s="18">
        <f>EJ190*VLOOKUP('Données projet'!$B$15,Paramètres!$A$1:$I$89,3,0)*VLOOKUP('Données projet'!$B$15,Paramètres!$A$1:$I$89,5,0)</f>
        <v>-2.2168933355715127E-14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144.92790055195192</v>
      </c>
      <c r="EP190" s="62">
        <f t="shared" si="154"/>
        <v>151.00642748754026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4.9201624366587433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4.9201624366587433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-1.7053025658242404E-13</v>
      </c>
      <c r="O191" s="14">
        <f>N191*VLOOKUP('Données projet'!$B$9,Paramètres!$A$1:$I$89,3,0)*VLOOKUP('Données projet'!$B$9,Paramètres!$A$1:$I$89,5,0)</f>
        <v>-1.383341441396624E-13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259.10606516000064</v>
      </c>
      <c r="T191" s="62">
        <f t="shared" si="142"/>
        <v>316.57989180609252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8.0976196562365459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8.0976196562365459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186.83226999296298</v>
      </c>
      <c r="AO191" s="62">
        <f t="shared" si="144"/>
        <v>232.70925470547317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9.6911302662455689</v>
      </c>
      <c r="AV191" s="23">
        <f>EXP(-LN(2)/25)*AV190+(1-EXP(-LN(2)/25))/(LN(2)/25)*Calculateur!AQ191*Calculateur!AS191*VLOOKUP('Données projet'!$B$10,Paramètres!$A$1:$I$89,3,0)*0.475*44/12</f>
        <v>0.38511144810423892</v>
      </c>
      <c r="AW191" s="23">
        <f>EXP(-LN(2)/2)*AW190+(1-EXP(-LN(2)/2))/(LN(2)/2)*AQ191*AT191*VLOOKUP('Données projet'!$B$10,Paramètres!$A$1:$I$89,3,0)*0.475*44/12</f>
        <v>4.0707706814189454E-19</v>
      </c>
      <c r="AX191" s="23">
        <f t="shared" si="166"/>
        <v>10.076241714349807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-2.2737367544323206E-13</v>
      </c>
      <c r="BE191" s="14">
        <f>BD191*VLOOKUP('Données projet'!$B$11,Paramètres!$A$1:$I$89,3,0)*VLOOKUP('Données projet'!$B$11,Paramètres!$A$1:$I$89,5,0)</f>
        <v>-2.0572770154103635E-13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435.70500547084868</v>
      </c>
      <c r="BJ191" s="62">
        <f t="shared" si="146"/>
        <v>297.32483725004136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31.519123141858454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31.519123141858454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-2.2737367544323206E-13</v>
      </c>
      <c r="BZ191" s="14">
        <f>BY191*VLOOKUP('Données projet'!$B$12,Paramètres!$A$1:$I$89,3,0)*VLOOKUP('Données projet'!$B$12,Paramètres!$A$1:$I$89,5,0)</f>
        <v>-2.5893314159475268E-13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530.15080507516973</v>
      </c>
      <c r="CE191" s="62">
        <f t="shared" si="148"/>
        <v>358.10331902702217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39.670620506132174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39.670620506132174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-4.8771653382573282E-14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182.98212193167009</v>
      </c>
      <c r="CZ191" s="62">
        <f t="shared" si="150"/>
        <v>195.9200038944301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8.7118955556897149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8.7118955556897149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2.2737367544323206E-13</v>
      </c>
      <c r="DP191" s="18">
        <f>DO191*VLOOKUP('Données projet'!$B$14,Paramètres!$A$1:$I$89,3,0)*VLOOKUP('Données projet'!$B$14,Paramètres!$A$1:$I$89,5,0)</f>
        <v>1.0049916454590858E-13</v>
      </c>
      <c r="DQ191" s="14">
        <f t="shared" si="176"/>
        <v>1.5089081593838289E-12</v>
      </c>
      <c r="DR191" s="22">
        <f t="shared" si="177"/>
        <v>2.8030510891776262E-12</v>
      </c>
      <c r="DS191" s="62">
        <f t="shared" si="125"/>
        <v>289.91839713868302</v>
      </c>
      <c r="DT191" s="62">
        <f ca="1">AVERAGE(OFFSET($DS$3,0,0,'Données projet'!$E$14+1,1))-AVERAGE(OFFSET($H$3,0,0,'Données projet'!$E$14+1,1))</f>
        <v>338.33525241236157</v>
      </c>
      <c r="DU191" s="62">
        <f t="shared" si="152"/>
        <v>373.47257029791717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19.167286390715851</v>
      </c>
      <c r="EB191" s="23">
        <f>EXP(-LN(2)/25)*EB190+(1-EXP(-LN(2)/25))/(LN(2)/25)*Calculateur!DW191*Calculateur!DY191*VLOOKUP('Données projet'!$B$14,Paramètres!$A$1:$I$89,3,0)*0.475*44/12</f>
        <v>1.2220300138270028</v>
      </c>
      <c r="EC191" s="23">
        <f>EXP(-LN(2)/2)*EC190+(1-EXP(-LN(2)/2))/(LN(2)/2)*DW191*DZ191*VLOOKUP('Données projet'!$B$14,Paramètres!$A$1:$I$89,3,0)*0.475*44/12</f>
        <v>8.0112534266913453E-19</v>
      </c>
      <c r="ED191" s="24">
        <f t="shared" si="178"/>
        <v>20.389316404542853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-2.8421709430404007E-14</v>
      </c>
      <c r="EK191" s="18">
        <f>EJ191*VLOOKUP('Données projet'!$B$15,Paramètres!$A$1:$I$89,3,0)*VLOOKUP('Données projet'!$B$15,Paramètres!$A$1:$I$89,5,0)</f>
        <v>-2.2168933355715127E-14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144.92790055195192</v>
      </c>
      <c r="EP191" s="62">
        <f t="shared" si="154"/>
        <v>151.00642748754026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4.8236810522786273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4.8236810522786273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-1.7053025658242404E-13</v>
      </c>
      <c r="O192" s="14">
        <f>N192*VLOOKUP('Données projet'!$B$9,Paramètres!$A$1:$I$89,3,0)*VLOOKUP('Données projet'!$B$9,Paramètres!$A$1:$I$89,5,0)</f>
        <v>-1.383341441396624E-13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259.10606516000064</v>
      </c>
      <c r="T192" s="62">
        <f t="shared" si="142"/>
        <v>316.57989180609252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7.9388302738380458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7.9388302738380458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186.83226999296298</v>
      </c>
      <c r="AO192" s="62">
        <f t="shared" si="144"/>
        <v>232.70925470547317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9.5010931127302918</v>
      </c>
      <c r="AV192" s="23">
        <f>EXP(-LN(2)/25)*AV191+(1-EXP(-LN(2)/25))/(LN(2)/25)*Calculateur!AQ192*Calculateur!AS192*VLOOKUP('Données projet'!$B$10,Paramètres!$A$1:$I$89,3,0)*0.475*44/12</f>
        <v>0.37458055530369766</v>
      </c>
      <c r="AW192" s="23">
        <f>EXP(-LN(2)/2)*AW191+(1-EXP(-LN(2)/2))/(LN(2)/2)*AQ192*AT192*VLOOKUP('Données projet'!$B$10,Paramètres!$A$1:$I$89,3,0)*0.475*44/12</f>
        <v>2.8784695534867192E-19</v>
      </c>
      <c r="AX192" s="23">
        <f t="shared" si="166"/>
        <v>9.8756736680339898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-2.2737367544323206E-13</v>
      </c>
      <c r="BE192" s="14">
        <f>BD192*VLOOKUP('Données projet'!$B$11,Paramètres!$A$1:$I$89,3,0)*VLOOKUP('Données projet'!$B$11,Paramètres!$A$1:$I$89,5,0)</f>
        <v>-2.0572770154103635E-13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435.70500547084868</v>
      </c>
      <c r="BJ192" s="62">
        <f t="shared" si="146"/>
        <v>297.32483725004136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30.901052361813438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30.901052361813438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-2.2737367544323206E-13</v>
      </c>
      <c r="BZ192" s="14">
        <f>BY192*VLOOKUP('Données projet'!$B$12,Paramètres!$A$1:$I$89,3,0)*VLOOKUP('Données projet'!$B$12,Paramètres!$A$1:$I$89,5,0)</f>
        <v>-2.5893314159475268E-13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530.15080507516973</v>
      </c>
      <c r="CE192" s="62">
        <f t="shared" si="148"/>
        <v>358.10331902702217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38.892703834696206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38.892703834696206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-4.8771653382573282E-14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182.98212193167009</v>
      </c>
      <c r="CZ192" s="62">
        <f t="shared" si="150"/>
        <v>195.9200038944301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8.5410605975742406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8.5410605975742406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2.2737367544323206E-13</v>
      </c>
      <c r="DP192" s="18">
        <f>DO192*VLOOKUP('Données projet'!$B$14,Paramètres!$A$1:$I$89,3,0)*VLOOKUP('Données projet'!$B$14,Paramètres!$A$1:$I$89,5,0)</f>
        <v>1.0049916454590858E-13</v>
      </c>
      <c r="DQ192" s="14">
        <f t="shared" si="176"/>
        <v>1.5089081593838289E-12</v>
      </c>
      <c r="DR192" s="22">
        <f t="shared" si="177"/>
        <v>2.8030510891776262E-12</v>
      </c>
      <c r="DS192" s="62">
        <f t="shared" si="125"/>
        <v>289.97763864700664</v>
      </c>
      <c r="DT192" s="62">
        <f ca="1">AVERAGE(OFFSET($DS$3,0,0,'Données projet'!$E$14+1,1))-AVERAGE(OFFSET($H$3,0,0,'Données projet'!$E$14+1,1))</f>
        <v>338.33525241236157</v>
      </c>
      <c r="DU192" s="62">
        <f t="shared" si="152"/>
        <v>373.47257029791717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18.791427595484233</v>
      </c>
      <c r="EB192" s="23">
        <f>EXP(-LN(2)/25)*EB191+(1-EXP(-LN(2)/25))/(LN(2)/25)*Calculateur!DW192*Calculateur!DY192*VLOOKUP('Données projet'!$B$14,Paramètres!$A$1:$I$89,3,0)*0.475*44/12</f>
        <v>1.188613538835138</v>
      </c>
      <c r="EC192" s="23">
        <f>EXP(-LN(2)/2)*EC191+(1-EXP(-LN(2)/2))/(LN(2)/2)*DW192*DZ192*VLOOKUP('Données projet'!$B$14,Paramètres!$A$1:$I$89,3,0)*0.475*44/12</f>
        <v>5.664811623817416E-19</v>
      </c>
      <c r="ED192" s="24">
        <f t="shared" si="178"/>
        <v>19.980041134319372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-2.8421709430404007E-14</v>
      </c>
      <c r="EK192" s="18">
        <f>EJ192*VLOOKUP('Données projet'!$B$15,Paramètres!$A$1:$I$89,3,0)*VLOOKUP('Données projet'!$B$15,Paramètres!$A$1:$I$89,5,0)</f>
        <v>-2.2168933355715127E-14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144.92790055195192</v>
      </c>
      <c r="EP192" s="62">
        <f t="shared" si="154"/>
        <v>151.00642748754026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4.7290916089983712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4.7290916089983712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-1.7053025658242404E-13</v>
      </c>
      <c r="O193" s="14">
        <f>N193*VLOOKUP('Données projet'!$B$9,Paramètres!$A$1:$I$89,3,0)*VLOOKUP('Données projet'!$B$9,Paramètres!$A$1:$I$89,5,0)</f>
        <v>-1.383341441396624E-13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259.10606516000064</v>
      </c>
      <c r="T193" s="62">
        <f t="shared" si="142"/>
        <v>316.57989180609252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7.7831546543764203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7.7831546543764203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186.83226999296298</v>
      </c>
      <c r="AO193" s="62">
        <f t="shared" si="144"/>
        <v>232.70925470547317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9.3147824718842323</v>
      </c>
      <c r="AV193" s="23">
        <f>EXP(-LN(2)/25)*AV192+(1-EXP(-LN(2)/25))/(LN(2)/25)*Calculateur!AQ193*Calculateur!AS193*VLOOKUP('Données projet'!$B$10,Paramètres!$A$1:$I$89,3,0)*0.475*44/12</f>
        <v>0.36433763032058275</v>
      </c>
      <c r="AW193" s="23">
        <f>EXP(-LN(2)/2)*AW192+(1-EXP(-LN(2)/2))/(LN(2)/2)*AQ193*AT193*VLOOKUP('Données projet'!$B$10,Paramètres!$A$1:$I$89,3,0)*0.475*44/12</f>
        <v>2.0353853407094727E-19</v>
      </c>
      <c r="AX193" s="23">
        <f t="shared" si="166"/>
        <v>9.6791201022048146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-2.2737367544323206E-13</v>
      </c>
      <c r="BE193" s="14">
        <f>BD193*VLOOKUP('Données projet'!$B$11,Paramètres!$A$1:$I$89,3,0)*VLOOKUP('Données projet'!$B$11,Paramètres!$A$1:$I$89,5,0)</f>
        <v>-2.0572770154103635E-13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435.70500547084868</v>
      </c>
      <c r="BJ193" s="62">
        <f t="shared" si="146"/>
        <v>297.32483725004136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30.295101572779153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30.295101572779153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-2.2737367544323206E-13</v>
      </c>
      <c r="BZ193" s="14">
        <f>BY193*VLOOKUP('Données projet'!$B$12,Paramètres!$A$1:$I$89,3,0)*VLOOKUP('Données projet'!$B$12,Paramètres!$A$1:$I$89,5,0)</f>
        <v>-2.5893314159475268E-13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530.15080507516973</v>
      </c>
      <c r="CE193" s="62">
        <f t="shared" si="148"/>
        <v>358.10331902702217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38.130041634704781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38.130041634704781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-4.8771653382573282E-14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182.98212193167009</v>
      </c>
      <c r="CZ193" s="62">
        <f t="shared" si="150"/>
        <v>195.9200038944301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8.373575608788375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8.373575608788375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2.2737367544323206E-13</v>
      </c>
      <c r="DP193" s="18">
        <f>DO193*VLOOKUP('Données projet'!$B$14,Paramètres!$A$1:$I$89,3,0)*VLOOKUP('Données projet'!$B$14,Paramètres!$A$1:$I$89,5,0)</f>
        <v>1.0049916454590858E-13</v>
      </c>
      <c r="DQ193" s="14">
        <f t="shared" si="176"/>
        <v>1.5089081593838289E-12</v>
      </c>
      <c r="DR193" s="22">
        <f t="shared" si="177"/>
        <v>2.8030510891776262E-12</v>
      </c>
      <c r="DS193" s="62">
        <f t="shared" si="125"/>
        <v>290.03585244760507</v>
      </c>
      <c r="DT193" s="62">
        <f ca="1">AVERAGE(OFFSET($DS$3,0,0,'Données projet'!$E$14+1,1))-AVERAGE(OFFSET($H$3,0,0,'Données projet'!$E$14+1,1))</f>
        <v>338.33525241236157</v>
      </c>
      <c r="DU193" s="62">
        <f t="shared" si="152"/>
        <v>373.47257029791717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18.422939161975879</v>
      </c>
      <c r="EB193" s="23">
        <f>EXP(-LN(2)/25)*EB192+(1-EXP(-LN(2)/25))/(LN(2)/25)*Calculateur!DW193*Calculateur!DY193*VLOOKUP('Données projet'!$B$14,Paramètres!$A$1:$I$89,3,0)*0.475*44/12</f>
        <v>1.1561108391092216</v>
      </c>
      <c r="EC193" s="23">
        <f>EXP(-LN(2)/2)*EC192+(1-EXP(-LN(2)/2))/(LN(2)/2)*DW193*DZ193*VLOOKUP('Données projet'!$B$14,Paramètres!$A$1:$I$89,3,0)*0.475*44/12</f>
        <v>4.0056267133456726E-19</v>
      </c>
      <c r="ED193" s="24">
        <f t="shared" si="178"/>
        <v>19.579050001085101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-2.8421709430404007E-14</v>
      </c>
      <c r="EK193" s="18">
        <f>EJ193*VLOOKUP('Données projet'!$B$15,Paramètres!$A$1:$I$89,3,0)*VLOOKUP('Données projet'!$B$15,Paramètres!$A$1:$I$89,5,0)</f>
        <v>-2.2168933355715127E-14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144.92790055195192</v>
      </c>
      <c r="EP193" s="62">
        <f t="shared" si="154"/>
        <v>151.00642748754026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4.6363570070069775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4.6363570070069775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-1.7053025658242404E-13</v>
      </c>
      <c r="O194" s="14">
        <f>N194*VLOOKUP('Données projet'!$B$9,Paramètres!$A$1:$I$89,3,0)*VLOOKUP('Données projet'!$B$9,Paramètres!$A$1:$I$89,5,0)</f>
        <v>-1.383341441396624E-13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259.10606516000064</v>
      </c>
      <c r="T194" s="62">
        <f t="shared" si="142"/>
        <v>316.57989180609252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7.6305317388596849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7.6305317388596849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186.83226999296298</v>
      </c>
      <c r="AO194" s="62">
        <f t="shared" si="144"/>
        <v>232.70925470547317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9.1321252690668935</v>
      </c>
      <c r="AV194" s="23">
        <f>EXP(-LN(2)/25)*AV193+(1-EXP(-LN(2)/25))/(LN(2)/25)*Calculateur!AQ194*Calculateur!AS194*VLOOKUP('Données projet'!$B$10,Paramètres!$A$1:$I$89,3,0)*0.475*44/12</f>
        <v>0.35437479865978316</v>
      </c>
      <c r="AW194" s="23">
        <f>EXP(-LN(2)/2)*AW193+(1-EXP(-LN(2)/2))/(LN(2)/2)*AQ194*AT194*VLOOKUP('Données projet'!$B$10,Paramètres!$A$1:$I$89,3,0)*0.475*44/12</f>
        <v>1.4392347767433596E-19</v>
      </c>
      <c r="AX194" s="23">
        <f t="shared" si="166"/>
        <v>9.4865000677266771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-2.2737367544323206E-13</v>
      </c>
      <c r="BE194" s="14">
        <f>BD194*VLOOKUP('Données projet'!$B$11,Paramètres!$A$1:$I$89,3,0)*VLOOKUP('Données projet'!$B$11,Paramètres!$A$1:$I$89,5,0)</f>
        <v>-2.0572770154103635E-13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435.70500547084868</v>
      </c>
      <c r="BJ194" s="62">
        <f t="shared" si="146"/>
        <v>297.32483725004136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29.701033109124342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29.701033109124342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-2.2737367544323206E-13</v>
      </c>
      <c r="BZ194" s="14">
        <f>BY194*VLOOKUP('Données projet'!$B$12,Paramètres!$A$1:$I$89,3,0)*VLOOKUP('Données projet'!$B$12,Paramètres!$A$1:$I$89,5,0)</f>
        <v>-2.5893314159475268E-13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530.15080507516973</v>
      </c>
      <c r="CE194" s="62">
        <f t="shared" si="148"/>
        <v>358.10331902702217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37.38233477527718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37.38233477527718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-4.8771653382573282E-14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182.98212193167009</v>
      </c>
      <c r="CZ194" s="62">
        <f t="shared" si="150"/>
        <v>195.9200038944301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8.2093748984768453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8.2093748984768453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2.2737367544323206E-13</v>
      </c>
      <c r="DP194" s="18">
        <f>DO194*VLOOKUP('Données projet'!$B$14,Paramètres!$A$1:$I$89,3,0)*VLOOKUP('Données projet'!$B$14,Paramètres!$A$1:$I$89,5,0)</f>
        <v>1.0049916454590858E-13</v>
      </c>
      <c r="DQ194" s="14">
        <f t="shared" si="176"/>
        <v>1.5089081593838289E-12</v>
      </c>
      <c r="DR194" s="22">
        <f t="shared" si="177"/>
        <v>2.8030510891776262E-12</v>
      </c>
      <c r="DS194" s="62">
        <f t="shared" si="125"/>
        <v>290.09305636890963</v>
      </c>
      <c r="DT194" s="62">
        <f ca="1">AVERAGE(OFFSET($DS$3,0,0,'Données projet'!$E$14+1,1))-AVERAGE(OFFSET($H$3,0,0,'Données projet'!$E$14+1,1))</f>
        <v>338.33525241236157</v>
      </c>
      <c r="DU194" s="62">
        <f t="shared" si="152"/>
        <v>373.47257029791717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18.06167656189287</v>
      </c>
      <c r="EB194" s="23">
        <f>EXP(-LN(2)/25)*EB193+(1-EXP(-LN(2)/25))/(LN(2)/25)*Calculateur!DW194*Calculateur!DY194*VLOOKUP('Données projet'!$B$14,Paramètres!$A$1:$I$89,3,0)*0.475*44/12</f>
        <v>1.1244969274165533</v>
      </c>
      <c r="EC194" s="23">
        <f>EXP(-LN(2)/2)*EC193+(1-EXP(-LN(2)/2))/(LN(2)/2)*DW194*DZ194*VLOOKUP('Données projet'!$B$14,Paramètres!$A$1:$I$89,3,0)*0.475*44/12</f>
        <v>2.832405811908708E-19</v>
      </c>
      <c r="ED194" s="24">
        <f t="shared" si="178"/>
        <v>19.186173489309425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-2.8421709430404007E-14</v>
      </c>
      <c r="EK194" s="18">
        <f>EJ194*VLOOKUP('Données projet'!$B$15,Paramètres!$A$1:$I$89,3,0)*VLOOKUP('Données projet'!$B$15,Paramètres!$A$1:$I$89,5,0)</f>
        <v>-2.2168933355715127E-14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144.92790055195192</v>
      </c>
      <c r="EP194" s="62">
        <f t="shared" si="154"/>
        <v>151.00642748754026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4.5454408739981131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4.5454408739981131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-1.7053025658242404E-13</v>
      </c>
      <c r="O195" s="14">
        <f>N195*VLOOKUP('Données projet'!$B$9,Paramètres!$A$1:$I$89,3,0)*VLOOKUP('Données projet'!$B$9,Paramètres!$A$1:$I$89,5,0)</f>
        <v>-1.383341441396624E-13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259.10606516000064</v>
      </c>
      <c r="T195" s="62">
        <f t="shared" si="142"/>
        <v>316.57989180609252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7.4809016656254466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7.4809016656254466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186.83226999296298</v>
      </c>
      <c r="AO195" s="62">
        <f t="shared" si="144"/>
        <v>232.70925470547317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8.9530498625869086</v>
      </c>
      <c r="AV195" s="23">
        <f>EXP(-LN(2)/25)*AV194+(1-EXP(-LN(2)/25))/(LN(2)/25)*Calculateur!AQ195*Calculateur!AS195*VLOOKUP('Données projet'!$B$10,Paramètres!$A$1:$I$89,3,0)*0.475*44/12</f>
        <v>0.34468440115467064</v>
      </c>
      <c r="AW195" s="23">
        <f>EXP(-LN(2)/2)*AW194+(1-EXP(-LN(2)/2))/(LN(2)/2)*AQ195*AT195*VLOOKUP('Données projet'!$B$10,Paramètres!$A$1:$I$89,3,0)*0.475*44/12</f>
        <v>1.0176926703547364E-19</v>
      </c>
      <c r="AX195" s="23">
        <f t="shared" si="166"/>
        <v>9.2977342637415799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-2.2737367544323206E-13</v>
      </c>
      <c r="BE195" s="14">
        <f>BD195*VLOOKUP('Données projet'!$B$11,Paramètres!$A$1:$I$89,3,0)*VLOOKUP('Données projet'!$B$11,Paramètres!$A$1:$I$89,5,0)</f>
        <v>-2.0572770154103635E-13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435.70500547084868</v>
      </c>
      <c r="BJ195" s="62">
        <f t="shared" si="146"/>
        <v>297.32483725004136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29.118613965695818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29.118613965695818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-2.2737367544323206E-13</v>
      </c>
      <c r="BZ195" s="14">
        <f>BY195*VLOOKUP('Données projet'!$B$12,Paramètres!$A$1:$I$89,3,0)*VLOOKUP('Données projet'!$B$12,Paramètres!$A$1:$I$89,5,0)</f>
        <v>-2.5893314159475268E-13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530.15080507516973</v>
      </c>
      <c r="CE195" s="62">
        <f t="shared" si="148"/>
        <v>358.10331902702217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36.649289991306794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36.649289991306794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-4.8771653382573282E-14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182.98212193167009</v>
      </c>
      <c r="CZ195" s="62">
        <f t="shared" si="150"/>
        <v>195.9200038944301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8.0483940639419806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8.0483940639419806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2.2737367544323206E-13</v>
      </c>
      <c r="DP195" s="18">
        <f>DO195*VLOOKUP('Données projet'!$B$14,Paramètres!$A$1:$I$89,3,0)*VLOOKUP('Données projet'!$B$14,Paramètres!$A$1:$I$89,5,0)</f>
        <v>1.0049916454590858E-13</v>
      </c>
      <c r="DQ195" s="14">
        <f t="shared" si="176"/>
        <v>1.5089081593838289E-12</v>
      </c>
      <c r="DR195" s="22">
        <f t="shared" si="177"/>
        <v>2.8030510891776262E-12</v>
      </c>
      <c r="DS195" s="62">
        <f t="shared" si="125"/>
        <v>290.14926793006845</v>
      </c>
      <c r="DT195" s="62">
        <f ca="1">AVERAGE(OFFSET($DS$3,0,0,'Données projet'!$E$14+1,1))-AVERAGE(OFFSET($H$3,0,0,'Données projet'!$E$14+1,1))</f>
        <v>338.33525241236157</v>
      </c>
      <c r="DU195" s="62">
        <f t="shared" si="152"/>
        <v>373.47257029791717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17.707498101049062</v>
      </c>
      <c r="EB195" s="23">
        <f>EXP(-LN(2)/25)*EB194+(1-EXP(-LN(2)/25))/(LN(2)/25)*Calculateur!DW195*Calculateur!DY195*VLOOKUP('Données projet'!$B$14,Paramètres!$A$1:$I$89,3,0)*0.475*44/12</f>
        <v>1.0937474998016243</v>
      </c>
      <c r="EC195" s="23">
        <f>EXP(-LN(2)/2)*EC194+(1-EXP(-LN(2)/2))/(LN(2)/2)*DW195*DZ195*VLOOKUP('Données projet'!$B$14,Paramètres!$A$1:$I$89,3,0)*0.475*44/12</f>
        <v>2.0028133566728363E-19</v>
      </c>
      <c r="ED195" s="24">
        <f t="shared" si="178"/>
        <v>18.801245600850685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-2.8421709430404007E-14</v>
      </c>
      <c r="EK195" s="18">
        <f>EJ195*VLOOKUP('Données projet'!$B$15,Paramètres!$A$1:$I$89,3,0)*VLOOKUP('Données projet'!$B$15,Paramètres!$A$1:$I$89,5,0)</f>
        <v>-2.2168933355715127E-14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144.92790055195192</v>
      </c>
      <c r="EP195" s="62">
        <f t="shared" si="154"/>
        <v>151.00642748754026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4.456307550904187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4.456307550904187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-1.7053025658242404E-13</v>
      </c>
      <c r="O196" s="14">
        <f>N196*VLOOKUP('Données projet'!$B$9,Paramètres!$A$1:$I$89,3,0)*VLOOKUP('Données projet'!$B$9,Paramètres!$A$1:$I$89,5,0)</f>
        <v>-1.383341441396624E-13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259.10606516000064</v>
      </c>
      <c r="T196" s="62">
        <f t="shared" si="142"/>
        <v>316.57989180609252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7.3342057468619988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7.3342057468619988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186.83226999296298</v>
      </c>
      <c r="AO196" s="62">
        <f t="shared" si="144"/>
        <v>232.70925470547317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8.7774860156027845</v>
      </c>
      <c r="AV196" s="23">
        <f>EXP(-LN(2)/25)*AV195+(1-EXP(-LN(2)/25))/(LN(2)/25)*Calculateur!AQ196*Calculateur!AS196*VLOOKUP('Données projet'!$B$10,Paramètres!$A$1:$I$89,3,0)*0.475*44/12</f>
        <v>0.33525898807893129</v>
      </c>
      <c r="AW196" s="23">
        <f>EXP(-LN(2)/2)*AW195+(1-EXP(-LN(2)/2))/(LN(2)/2)*AQ196*AT196*VLOOKUP('Données projet'!$B$10,Paramètres!$A$1:$I$89,3,0)*0.475*44/12</f>
        <v>7.196173883716798E-20</v>
      </c>
      <c r="AX196" s="23">
        <f t="shared" si="166"/>
        <v>9.1127450036817166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-2.2737367544323206E-13</v>
      </c>
      <c r="BE196" s="14">
        <f>BD196*VLOOKUP('Données projet'!$B$11,Paramètres!$A$1:$I$89,3,0)*VLOOKUP('Données projet'!$B$11,Paramètres!$A$1:$I$89,5,0)</f>
        <v>-2.0572770154103635E-13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435.70500547084868</v>
      </c>
      <c r="BJ196" s="62">
        <f t="shared" si="146"/>
        <v>297.32483725004136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28.54761570642933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28.54761570642933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-2.2737367544323206E-13</v>
      </c>
      <c r="BZ196" s="14">
        <f>BY196*VLOOKUP('Données projet'!$B$12,Paramètres!$A$1:$I$89,3,0)*VLOOKUP('Données projet'!$B$12,Paramètres!$A$1:$I$89,5,0)</f>
        <v>-2.5893314159475268E-13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530.15080507516973</v>
      </c>
      <c r="CE196" s="62">
        <f t="shared" si="148"/>
        <v>358.10331902702217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35.930619768436905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35.930619768436905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-4.8771653382573282E-14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182.98212193167009</v>
      </c>
      <c r="CZ196" s="62">
        <f t="shared" si="150"/>
        <v>195.9200038944301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7.8905699653837305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7.8905699653837305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2.2737367544323206E-13</v>
      </c>
      <c r="DP196" s="18">
        <f>DO196*VLOOKUP('Données projet'!$B$14,Paramètres!$A$1:$I$89,3,0)*VLOOKUP('Données projet'!$B$14,Paramètres!$A$1:$I$89,5,0)</f>
        <v>1.0049916454590858E-13</v>
      </c>
      <c r="DQ196" s="14">
        <f t="shared" si="176"/>
        <v>1.5089081593838289E-12</v>
      </c>
      <c r="DR196" s="22">
        <f t="shared" si="177"/>
        <v>2.8030510891776262E-12</v>
      </c>
      <c r="DS196" s="62">
        <f t="shared" ref="DS196:DS203" si="197">DR196+(DJ196+DK196)*44/12</f>
        <v>290.2045043463113</v>
      </c>
      <c r="DT196" s="62">
        <f ca="1">AVERAGE(OFFSET($DS$3,0,0,'Données projet'!$E$14+1,1))-AVERAGE(OFFSET($H$3,0,0,'Données projet'!$E$14+1,1))</f>
        <v>338.33525241236157</v>
      </c>
      <c r="DU196" s="62">
        <f t="shared" si="152"/>
        <v>373.47257029791717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17.360264863794871</v>
      </c>
      <c r="EB196" s="23">
        <f>EXP(-LN(2)/25)*EB195+(1-EXP(-LN(2)/25))/(LN(2)/25)*Calculateur!DW196*Calculateur!DY196*VLOOKUP('Données projet'!$B$14,Paramètres!$A$1:$I$89,3,0)*0.475*44/12</f>
        <v>1.0638389169018676</v>
      </c>
      <c r="EC196" s="23">
        <f>EXP(-LN(2)/2)*EC195+(1-EXP(-LN(2)/2))/(LN(2)/2)*DW196*DZ196*VLOOKUP('Données projet'!$B$14,Paramètres!$A$1:$I$89,3,0)*0.475*44/12</f>
        <v>1.416202905954354E-19</v>
      </c>
      <c r="ED196" s="24">
        <f t="shared" si="178"/>
        <v>18.42410378069674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-2.8421709430404007E-14</v>
      </c>
      <c r="EK196" s="18">
        <f>EJ196*VLOOKUP('Données projet'!$B$15,Paramètres!$A$1:$I$89,3,0)*VLOOKUP('Données projet'!$B$15,Paramètres!$A$1:$I$89,5,0)</f>
        <v>-2.2168933355715127E-14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144.92790055195192</v>
      </c>
      <c r="EP196" s="62">
        <f t="shared" si="154"/>
        <v>151.00642748754026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4.3689220779101738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4.3689220779101738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-1.7053025658242404E-13</v>
      </c>
      <c r="O197" s="14">
        <f>N197*VLOOKUP('Données projet'!$B$9,Paramètres!$A$1:$I$89,3,0)*VLOOKUP('Données projet'!$B$9,Paramètres!$A$1:$I$89,5,0)</f>
        <v>-1.383341441396624E-13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259.10606516000064</v>
      </c>
      <c r="T197" s="62">
        <f t="shared" ref="T197:T203" si="204">$T$3</f>
        <v>316.57989180609252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7.1903864455898265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7.1903864455898265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186.83226999296298</v>
      </c>
      <c r="AO197" s="62">
        <f t="shared" ref="AO197:AO203" si="205">$AO$3</f>
        <v>232.70925470547317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8.6053648685746449</v>
      </c>
      <c r="AV197" s="23">
        <f>EXP(-LN(2)/25)*AV196+(1-EXP(-LN(2)/25))/(LN(2)/25)*Calculateur!AQ197*Calculateur!AS197*VLOOKUP('Données projet'!$B$10,Paramètres!$A$1:$I$89,3,0)*0.475*44/12</f>
        <v>0.32609131341940895</v>
      </c>
      <c r="AW197" s="23">
        <f>EXP(-LN(2)/2)*AW196+(1-EXP(-LN(2)/2))/(LN(2)/2)*AQ197*AT197*VLOOKUP('Données projet'!$B$10,Paramètres!$A$1:$I$89,3,0)*0.475*44/12</f>
        <v>5.0884633517736818E-20</v>
      </c>
      <c r="AX197" s="23">
        <f t="shared" si="166"/>
        <v>8.9314561819940543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-2.2737367544323206E-13</v>
      </c>
      <c r="BE197" s="14">
        <f>BD197*VLOOKUP('Données projet'!$B$11,Paramètres!$A$1:$I$89,3,0)*VLOOKUP('Données projet'!$B$11,Paramètres!$A$1:$I$89,5,0)</f>
        <v>-2.0572770154103635E-13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435.70500547084868</v>
      </c>
      <c r="BJ197" s="62">
        <f t="shared" ref="BJ197:BJ203" si="206">$BJ$3</f>
        <v>297.32483725004136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27.987814374752507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27.987814374752507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-2.2737367544323206E-13</v>
      </c>
      <c r="BZ197" s="14">
        <f>BY197*VLOOKUP('Données projet'!$B$12,Paramètres!$A$1:$I$89,3,0)*VLOOKUP('Données projet'!$B$12,Paramètres!$A$1:$I$89,5,0)</f>
        <v>-2.5893314159475268E-13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530.15080507516973</v>
      </c>
      <c r="CE197" s="62">
        <f t="shared" ref="CE197:CE203" si="207">$CE$3</f>
        <v>358.10331902702217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35.226042230291938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35.226042230291938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-4.8771653382573282E-14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182.98212193167009</v>
      </c>
      <c r="CZ197" s="62">
        <f t="shared" ref="CZ197:CZ203" si="208">$CZ$3</f>
        <v>195.9200038944301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7.7358407011350128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7.7358407011350128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2.2737367544323206E-13</v>
      </c>
      <c r="DP197" s="18">
        <f>DO197*VLOOKUP('Données projet'!$B$14,Paramètres!$A$1:$I$89,3,0)*VLOOKUP('Données projet'!$B$14,Paramètres!$A$1:$I$89,5,0)</f>
        <v>1.0049916454590858E-13</v>
      </c>
      <c r="DQ197" s="14">
        <f t="shared" si="176"/>
        <v>1.5089081593838289E-12</v>
      </c>
      <c r="DR197" s="22">
        <f t="shared" si="177"/>
        <v>2.8030510891776262E-12</v>
      </c>
      <c r="DS197" s="62">
        <f t="shared" si="197"/>
        <v>290.25878253422252</v>
      </c>
      <c r="DT197" s="62">
        <f ca="1">AVERAGE(OFFSET($DS$3,0,0,'Données projet'!$E$14+1,1))-AVERAGE(OFFSET($H$3,0,0,'Données projet'!$E$14+1,1))</f>
        <v>338.33525241236157</v>
      </c>
      <c r="DU197" s="62">
        <f t="shared" ref="DU197:DU203" si="209">$DU$3</f>
        <v>373.47257029791717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17.019840658531873</v>
      </c>
      <c r="EB197" s="23">
        <f>EXP(-LN(2)/25)*EB196+(1-EXP(-LN(2)/25))/(LN(2)/25)*Calculateur!DW197*Calculateur!DY197*VLOOKUP('Données projet'!$B$14,Paramètres!$A$1:$I$89,3,0)*0.475*44/12</f>
        <v>1.0347481857743288</v>
      </c>
      <c r="EC197" s="23">
        <f>EXP(-LN(2)/2)*EC196+(1-EXP(-LN(2)/2))/(LN(2)/2)*DW197*DZ197*VLOOKUP('Données projet'!$B$14,Paramètres!$A$1:$I$89,3,0)*0.475*44/12</f>
        <v>1.0014066783364182E-19</v>
      </c>
      <c r="ED197" s="24">
        <f t="shared" si="178"/>
        <v>18.054588844306203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-2.8421709430404007E-14</v>
      </c>
      <c r="EK197" s="18">
        <f>EJ197*VLOOKUP('Données projet'!$B$15,Paramètres!$A$1:$I$89,3,0)*VLOOKUP('Données projet'!$B$15,Paramètres!$A$1:$I$89,5,0)</f>
        <v>-2.2168933355715127E-14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144.92790055195192</v>
      </c>
      <c r="EP197" s="62">
        <f t="shared" ref="EP197:EP203" si="210">$EP$3</f>
        <v>151.00642748754026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4.2832501807416978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4.2832501807416978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-1.7053025658242404E-13</v>
      </c>
      <c r="O198" s="14">
        <f>N198*VLOOKUP('Données projet'!$B$9,Paramètres!$A$1:$I$89,3,0)*VLOOKUP('Données projet'!$B$9,Paramètres!$A$1:$I$89,5,0)</f>
        <v>-1.383341441396624E-13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259.10606516000064</v>
      </c>
      <c r="T198" s="62">
        <f t="shared" si="204"/>
        <v>316.57989180609252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7.0493873530944899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7.0493873530944899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186.83226999296298</v>
      </c>
      <c r="AO198" s="62">
        <f t="shared" si="205"/>
        <v>232.70925470547317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8.4366189122561952</v>
      </c>
      <c r="AV198" s="23">
        <f>EXP(-LN(2)/25)*AV197+(1-EXP(-LN(2)/25))/(LN(2)/25)*Calculateur!AQ198*Calculateur!AS198*VLOOKUP('Données projet'!$B$10,Paramètres!$A$1:$I$89,3,0)*0.475*44/12</f>
        <v>0.31717432930555833</v>
      </c>
      <c r="AW198" s="23">
        <f>EXP(-LN(2)/2)*AW197+(1-EXP(-LN(2)/2))/(LN(2)/2)*AQ198*AT198*VLOOKUP('Données projet'!$B$10,Paramètres!$A$1:$I$89,3,0)*0.475*44/12</f>
        <v>3.598086941858399E-20</v>
      </c>
      <c r="AX198" s="23">
        <f t="shared" si="166"/>
        <v>8.7537932415617536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-2.2737367544323206E-13</v>
      </c>
      <c r="BE198" s="14">
        <f>BD198*VLOOKUP('Données projet'!$B$11,Paramètres!$A$1:$I$89,3,0)*VLOOKUP('Données projet'!$B$11,Paramètres!$A$1:$I$89,5,0)</f>
        <v>-2.0572770154103635E-13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435.70500547084868</v>
      </c>
      <c r="BJ198" s="62">
        <f t="shared" si="206"/>
        <v>297.32483725004136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27.438990405744768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27.438990405744768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-2.2737367544323206E-13</v>
      </c>
      <c r="BZ198" s="14">
        <f>BY198*VLOOKUP('Données projet'!$B$12,Paramètres!$A$1:$I$89,3,0)*VLOOKUP('Données projet'!$B$12,Paramètres!$A$1:$I$89,5,0)</f>
        <v>-2.5893314159475268E-13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530.15080507516973</v>
      </c>
      <c r="CE198" s="62">
        <f t="shared" si="207"/>
        <v>358.10331902702217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34.535281027920128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34.535281027920128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-4.8771653382573282E-14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182.98212193167009</v>
      </c>
      <c r="CZ198" s="62">
        <f t="shared" si="208"/>
        <v>195.9200038944301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7.5841455833826803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7.5841455833826803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2.2737367544323206E-13</v>
      </c>
      <c r="DP198" s="18">
        <f>DO198*VLOOKUP('Données projet'!$B$14,Paramètres!$A$1:$I$89,3,0)*VLOOKUP('Données projet'!$B$14,Paramètres!$A$1:$I$89,5,0)</f>
        <v>1.0049916454590858E-13</v>
      </c>
      <c r="DQ198" s="14">
        <f t="shared" si="176"/>
        <v>1.5089081593838289E-12</v>
      </c>
      <c r="DR198" s="22">
        <f t="shared" si="177"/>
        <v>2.8030510891776262E-12</v>
      </c>
      <c r="DS198" s="62">
        <f t="shared" si="197"/>
        <v>290.31211911692128</v>
      </c>
      <c r="DT198" s="62">
        <f ca="1">AVERAGE(OFFSET($DS$3,0,0,'Données projet'!$E$14+1,1))-AVERAGE(OFFSET($H$3,0,0,'Données projet'!$E$14+1,1))</f>
        <v>338.33525241236157</v>
      </c>
      <c r="DU198" s="62">
        <f t="shared" si="209"/>
        <v>373.47257029791717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16.686091964295819</v>
      </c>
      <c r="EB198" s="23">
        <f>EXP(-LN(2)/25)*EB197+(1-EXP(-LN(2)/25))/(LN(2)/25)*Calculateur!DW198*Calculateur!DY198*VLOOKUP('Données projet'!$B$14,Paramètres!$A$1:$I$89,3,0)*0.475*44/12</f>
        <v>1.0064529422192876</v>
      </c>
      <c r="EC198" s="23">
        <f>EXP(-LN(2)/2)*EC197+(1-EXP(-LN(2)/2))/(LN(2)/2)*DW198*DZ198*VLOOKUP('Données projet'!$B$14,Paramètres!$A$1:$I$89,3,0)*0.475*44/12</f>
        <v>7.08101452977177E-20</v>
      </c>
      <c r="ED198" s="24">
        <f t="shared" si="178"/>
        <v>17.692544906515106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-2.8421709430404007E-14</v>
      </c>
      <c r="EK198" s="18">
        <f>EJ198*VLOOKUP('Données projet'!$B$15,Paramètres!$A$1:$I$89,3,0)*VLOOKUP('Données projet'!$B$15,Paramètres!$A$1:$I$89,5,0)</f>
        <v>-2.2168933355715127E-14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144.92790055195192</v>
      </c>
      <c r="EP198" s="62">
        <f t="shared" si="210"/>
        <v>151.00642748754026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4.1992582572219979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4.1992582572219979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-1.7053025658242404E-13</v>
      </c>
      <c r="O199" s="14">
        <f>N199*VLOOKUP('Données projet'!$B$9,Paramètres!$A$1:$I$89,3,0)*VLOOKUP('Données projet'!$B$9,Paramètres!$A$1:$I$89,5,0)</f>
        <v>-1.383341441396624E-13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259.10606516000064</v>
      </c>
      <c r="T199" s="62">
        <f t="shared" si="204"/>
        <v>316.57989180609252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6.9111531668020323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6.9111531668020323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186.83226999296298</v>
      </c>
      <c r="AO199" s="62">
        <f t="shared" si="205"/>
        <v>232.70925470547317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8.2711819612162785</v>
      </c>
      <c r="AV199" s="23">
        <f>EXP(-LN(2)/25)*AV198+(1-EXP(-LN(2)/25))/(LN(2)/25)*Calculateur!AQ199*Calculateur!AS199*VLOOKUP('Données projet'!$B$10,Paramètres!$A$1:$I$89,3,0)*0.475*44/12</f>
        <v>0.30850118059122478</v>
      </c>
      <c r="AW199" s="23">
        <f>EXP(-LN(2)/2)*AW198+(1-EXP(-LN(2)/2))/(LN(2)/2)*AQ199*AT199*VLOOKUP('Données projet'!$B$10,Paramètres!$A$1:$I$89,3,0)*0.475*44/12</f>
        <v>2.5442316758868409E-20</v>
      </c>
      <c r="AX199" s="23">
        <f t="shared" si="166"/>
        <v>8.5796831418075037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-2.2737367544323206E-13</v>
      </c>
      <c r="BE199" s="14">
        <f>BD199*VLOOKUP('Données projet'!$B$11,Paramètres!$A$1:$I$89,3,0)*VLOOKUP('Données projet'!$B$11,Paramètres!$A$1:$I$89,5,0)</f>
        <v>-2.0572770154103635E-13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435.70500547084868</v>
      </c>
      <c r="BJ199" s="62">
        <f t="shared" si="206"/>
        <v>297.32483725004136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26.900928540019706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26.900928540019706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-2.2737367544323206E-13</v>
      </c>
      <c r="BZ199" s="14">
        <f>BY199*VLOOKUP('Données projet'!$B$12,Paramètres!$A$1:$I$89,3,0)*VLOOKUP('Données projet'!$B$12,Paramètres!$A$1:$I$89,5,0)</f>
        <v>-2.5893314159475268E-13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530.15080507516973</v>
      </c>
      <c r="CE199" s="62">
        <f t="shared" si="207"/>
        <v>358.10331902702217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33.858065231404098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33.858065231404098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-4.8771653382573282E-14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182.98212193167009</v>
      </c>
      <c r="CZ199" s="62">
        <f t="shared" si="208"/>
        <v>195.9200038944301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7.4354251143645849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7.4354251143645849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2.2737367544323206E-13</v>
      </c>
      <c r="DP199" s="18">
        <f>DO199*VLOOKUP('Données projet'!$B$14,Paramètres!$A$1:$I$89,3,0)*VLOOKUP('Données projet'!$B$14,Paramètres!$A$1:$I$89,5,0)</f>
        <v>1.0049916454590858E-13</v>
      </c>
      <c r="DQ199" s="14">
        <f t="shared" si="176"/>
        <v>1.5089081593838289E-12</v>
      </c>
      <c r="DR199" s="22">
        <f t="shared" si="177"/>
        <v>2.8030510891776262E-12</v>
      </c>
      <c r="DS199" s="62">
        <f t="shared" si="197"/>
        <v>290.36453042915298</v>
      </c>
      <c r="DT199" s="62">
        <f ca="1">AVERAGE(OFFSET($DS$3,0,0,'Données projet'!$E$14+1,1))-AVERAGE(OFFSET($H$3,0,0,'Données projet'!$E$14+1,1))</f>
        <v>338.33525241236157</v>
      </c>
      <c r="DU199" s="62">
        <f t="shared" si="209"/>
        <v>373.47257029791717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16.358887878387129</v>
      </c>
      <c r="EB199" s="23">
        <f>EXP(-LN(2)/25)*EB198+(1-EXP(-LN(2)/25))/(LN(2)/25)*Calculateur!DW199*Calculateur!DY199*VLOOKUP('Données projet'!$B$14,Paramètres!$A$1:$I$89,3,0)*0.475*44/12</f>
        <v>0.97893143358724122</v>
      </c>
      <c r="EC199" s="23">
        <f>EXP(-LN(2)/2)*EC198+(1-EXP(-LN(2)/2))/(LN(2)/2)*DW199*DZ199*VLOOKUP('Données projet'!$B$14,Paramètres!$A$1:$I$89,3,0)*0.475*44/12</f>
        <v>5.0070333916820908E-20</v>
      </c>
      <c r="ED199" s="24">
        <f t="shared" si="178"/>
        <v>17.337819311974371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-2.8421709430404007E-14</v>
      </c>
      <c r="EK199" s="18">
        <f>EJ199*VLOOKUP('Données projet'!$B$15,Paramètres!$A$1:$I$89,3,0)*VLOOKUP('Données projet'!$B$15,Paramètres!$A$1:$I$89,5,0)</f>
        <v>-2.2168933355715127E-14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144.92790055195192</v>
      </c>
      <c r="EP199" s="62">
        <f t="shared" si="210"/>
        <v>151.00642748754026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4.1169133640925049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4.1169133640925049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-1.7053025658242404E-13</v>
      </c>
      <c r="O200" s="14">
        <f>N200*VLOOKUP('Données projet'!$B$9,Paramètres!$A$1:$I$89,3,0)*VLOOKUP('Données projet'!$B$9,Paramètres!$A$1:$I$89,5,0)</f>
        <v>-1.383341441396624E-13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259.10606516000064</v>
      </c>
      <c r="T200" s="62">
        <f t="shared" si="204"/>
        <v>316.57989180609252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6.7756296685882411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6.7756296685882411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186.83226999296298</v>
      </c>
      <c r="AO200" s="62">
        <f t="shared" si="205"/>
        <v>232.70925470547317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8.1089891278796795</v>
      </c>
      <c r="AV200" s="23">
        <f>EXP(-LN(2)/25)*AV199+(1-EXP(-LN(2)/25))/(LN(2)/25)*Calculateur!AQ200*Calculateur!AS200*VLOOKUP('Données projet'!$B$10,Paramètres!$A$1:$I$89,3,0)*0.475*44/12</f>
        <v>0.30006519958458572</v>
      </c>
      <c r="AW200" s="23">
        <f>EXP(-LN(2)/2)*AW199+(1-EXP(-LN(2)/2))/(LN(2)/2)*AQ200*AT200*VLOOKUP('Données projet'!$B$10,Paramètres!$A$1:$I$89,3,0)*0.475*44/12</f>
        <v>1.7990434709291995E-20</v>
      </c>
      <c r="AX200" s="23">
        <f t="shared" si="166"/>
        <v>8.4090543274642648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-2.2737367544323206E-13</v>
      </c>
      <c r="BE200" s="14">
        <f>BD200*VLOOKUP('Données projet'!$B$11,Paramètres!$A$1:$I$89,3,0)*VLOOKUP('Données projet'!$B$11,Paramètres!$A$1:$I$89,5,0)</f>
        <v>-2.0572770154103635E-13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435.70500547084868</v>
      </c>
      <c r="BJ200" s="62">
        <f t="shared" si="206"/>
        <v>297.32483725004136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26.37341773929618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26.37341773929618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-2.2737367544323206E-13</v>
      </c>
      <c r="BZ200" s="14">
        <f>BY200*VLOOKUP('Données projet'!$B$12,Paramètres!$A$1:$I$89,3,0)*VLOOKUP('Données projet'!$B$12,Paramètres!$A$1:$I$89,5,0)</f>
        <v>-2.5893314159475268E-13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530.15080507516973</v>
      </c>
      <c r="CE200" s="62">
        <f t="shared" si="207"/>
        <v>358.10331902702217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33.194129223596903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33.194129223596903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-4.8771653382573282E-14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182.98212193167009</v>
      </c>
      <c r="CZ200" s="62">
        <f t="shared" si="208"/>
        <v>195.9200038944301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7.2896209630334052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7.2896209630334052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2.2737367544323206E-13</v>
      </c>
      <c r="DP200" s="18">
        <f>DO200*VLOOKUP('Données projet'!$B$14,Paramètres!$A$1:$I$89,3,0)*VLOOKUP('Données projet'!$B$14,Paramètres!$A$1:$I$89,5,0)</f>
        <v>1.0049916454590858E-13</v>
      </c>
      <c r="DQ200" s="14">
        <f t="shared" si="176"/>
        <v>1.5089081593838289E-12</v>
      </c>
      <c r="DR200" s="22">
        <f t="shared" si="177"/>
        <v>2.8030510891776262E-12</v>
      </c>
      <c r="DS200" s="62">
        <f t="shared" si="197"/>
        <v>290.41603252229157</v>
      </c>
      <c r="DT200" s="62">
        <f ca="1">AVERAGE(OFFSET($DS$3,0,0,'Données projet'!$E$14+1,1))-AVERAGE(OFFSET($H$3,0,0,'Données projet'!$E$14+1,1))</f>
        <v>338.33525241236157</v>
      </c>
      <c r="DU200" s="62">
        <f t="shared" si="209"/>
        <v>373.47257029791717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16.038100065028324</v>
      </c>
      <c r="EB200" s="23">
        <f>EXP(-LN(2)/25)*EB199+(1-EXP(-LN(2)/25))/(LN(2)/25)*Calculateur!DW200*Calculateur!DY200*VLOOKUP('Données projet'!$B$14,Paramètres!$A$1:$I$89,3,0)*0.475*44/12</f>
        <v>0.95216250205603137</v>
      </c>
      <c r="EC200" s="23">
        <f>EXP(-LN(2)/2)*EC199+(1-EXP(-LN(2)/2))/(LN(2)/2)*DW200*DZ200*VLOOKUP('Données projet'!$B$14,Paramètres!$A$1:$I$89,3,0)*0.475*44/12</f>
        <v>3.540507264885885E-20</v>
      </c>
      <c r="ED200" s="24">
        <f t="shared" si="178"/>
        <v>16.990262567084354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-2.8421709430404007E-14</v>
      </c>
      <c r="EK200" s="18">
        <f>EJ200*VLOOKUP('Données projet'!$B$15,Paramètres!$A$1:$I$89,3,0)*VLOOKUP('Données projet'!$B$15,Paramètres!$A$1:$I$89,5,0)</f>
        <v>-2.2168933355715127E-14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144.92790055195192</v>
      </c>
      <c r="EP200" s="62">
        <f t="shared" si="210"/>
        <v>151.00642748754026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4.0361832040918557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4.0361832040918557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-1.7053025658242404E-13</v>
      </c>
      <c r="O201" s="14">
        <f>N201*VLOOKUP('Données projet'!$B$9,Paramètres!$A$1:$I$89,3,0)*VLOOKUP('Données projet'!$B$9,Paramètres!$A$1:$I$89,5,0)</f>
        <v>-1.383341441396624E-13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259.10606516000064</v>
      </c>
      <c r="T201" s="62">
        <f t="shared" si="204"/>
        <v>316.57989180609252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6.6427637035132507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6.6427637035132507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186.83226999296298</v>
      </c>
      <c r="AO201" s="62">
        <f t="shared" si="205"/>
        <v>232.70925470547317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7.9499767970769506</v>
      </c>
      <c r="AV201" s="23">
        <f>EXP(-LN(2)/25)*AV200+(1-EXP(-LN(2)/25))/(LN(2)/25)*Calculateur!AQ201*Calculateur!AS201*VLOOKUP('Données projet'!$B$10,Paramètres!$A$1:$I$89,3,0)*0.475*44/12</f>
        <v>0.29185990092220221</v>
      </c>
      <c r="AW201" s="23">
        <f>EXP(-LN(2)/2)*AW200+(1-EXP(-LN(2)/2))/(LN(2)/2)*AQ201*AT201*VLOOKUP('Données projet'!$B$10,Paramètres!$A$1:$I$89,3,0)*0.475*44/12</f>
        <v>1.2721158379434204E-20</v>
      </c>
      <c r="AX201" s="23">
        <f t="shared" si="166"/>
        <v>8.2418366979991529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-2.2737367544323206E-13</v>
      </c>
      <c r="BE201" s="14">
        <f>BD201*VLOOKUP('Données projet'!$B$11,Paramètres!$A$1:$I$89,3,0)*VLOOKUP('Données projet'!$B$11,Paramètres!$A$1:$I$89,5,0)</f>
        <v>-2.0572770154103635E-13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435.70500547084868</v>
      </c>
      <c r="BJ201" s="62">
        <f t="shared" si="206"/>
        <v>297.32483725004136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25.856251103625024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25.856251103625024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-2.2737367544323206E-13</v>
      </c>
      <c r="BZ201" s="14">
        <f>BY201*VLOOKUP('Données projet'!$B$12,Paramètres!$A$1:$I$89,3,0)*VLOOKUP('Données projet'!$B$12,Paramètres!$A$1:$I$89,5,0)</f>
        <v>-2.5893314159475268E-13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530.15080507516973</v>
      </c>
      <c r="CE201" s="62">
        <f t="shared" si="207"/>
        <v>358.10331902702217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32.543212595941824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32.543212595941824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-4.8771653382573282E-14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182.98212193167009</v>
      </c>
      <c r="CZ201" s="62">
        <f t="shared" si="208"/>
        <v>195.9200038944301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7.1466759421780788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7.1466759421780788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2.2737367544323206E-13</v>
      </c>
      <c r="DP201" s="18">
        <f>DO201*VLOOKUP('Données projet'!$B$14,Paramètres!$A$1:$I$89,3,0)*VLOOKUP('Données projet'!$B$14,Paramètres!$A$1:$I$89,5,0)</f>
        <v>1.0049916454590858E-13</v>
      </c>
      <c r="DQ201" s="14">
        <f t="shared" si="176"/>
        <v>1.5089081593838289E-12</v>
      </c>
      <c r="DR201" s="22">
        <f t="shared" si="177"/>
        <v>2.8030510891776262E-12</v>
      </c>
      <c r="DS201" s="62">
        <f t="shared" si="197"/>
        <v>290.46664116925569</v>
      </c>
      <c r="DT201" s="62">
        <f ca="1">AVERAGE(OFFSET($DS$3,0,0,'Données projet'!$E$14+1,1))-AVERAGE(OFFSET($H$3,0,0,'Données projet'!$E$14+1,1))</f>
        <v>338.33525241236157</v>
      </c>
      <c r="DU201" s="62">
        <f t="shared" si="209"/>
        <v>373.47257029791717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15.723602705028238</v>
      </c>
      <c r="EB201" s="23">
        <f>EXP(-LN(2)/25)*EB200+(1-EXP(-LN(2)/25))/(LN(2)/25)*Calculateur!DW201*Calculateur!DY201*VLOOKUP('Données projet'!$B$14,Paramètres!$A$1:$I$89,3,0)*0.475*44/12</f>
        <v>0.92612556836525939</v>
      </c>
      <c r="EC201" s="23">
        <f>EXP(-LN(2)/2)*EC200+(1-EXP(-LN(2)/2))/(LN(2)/2)*DW201*DZ201*VLOOKUP('Données projet'!$B$14,Paramètres!$A$1:$I$89,3,0)*0.475*44/12</f>
        <v>2.5035166958410454E-20</v>
      </c>
      <c r="ED201" s="24">
        <f t="shared" si="178"/>
        <v>16.649728273393496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-2.8421709430404007E-14</v>
      </c>
      <c r="EK201" s="18">
        <f>EJ201*VLOOKUP('Données projet'!$B$15,Paramètres!$A$1:$I$89,3,0)*VLOOKUP('Données projet'!$B$15,Paramètres!$A$1:$I$89,5,0)</f>
        <v>-2.2168933355715127E-14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144.92790055195192</v>
      </c>
      <c r="EP201" s="62">
        <f t="shared" si="210"/>
        <v>151.00642748754026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3.9570361132882836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3.9570361132882836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-1.7053025658242404E-13</v>
      </c>
      <c r="O202" s="14">
        <f>N202*VLOOKUP('Données projet'!$B$9,Paramètres!$A$1:$I$89,3,0)*VLOOKUP('Données projet'!$B$9,Paramètres!$A$1:$I$89,5,0)</f>
        <v>-1.383341441396624E-13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259.10606516000064</v>
      </c>
      <c r="T202" s="62">
        <f t="shared" si="204"/>
        <v>316.57989180609252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6.5125031589731446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6.5125031589731446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186.83226999296298</v>
      </c>
      <c r="AO202" s="62">
        <f t="shared" si="205"/>
        <v>232.70925470547317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7.7940826010933177</v>
      </c>
      <c r="AV202" s="23">
        <f>EXP(-LN(2)/25)*AV201+(1-EXP(-LN(2)/25))/(LN(2)/25)*Calculateur!AQ202*Calculateur!AS202*VLOOKUP('Données projet'!$B$10,Paramètres!$A$1:$I$89,3,0)*0.475*44/12</f>
        <v>0.28387897658323946</v>
      </c>
      <c r="AW202" s="23">
        <f>EXP(-LN(2)/2)*AW201+(1-EXP(-LN(2)/2))/(LN(2)/2)*AQ202*AT202*VLOOKUP('Données projet'!$B$10,Paramètres!$A$1:$I$89,3,0)*0.475*44/12</f>
        <v>8.9952173546459974E-21</v>
      </c>
      <c r="AX202" s="23">
        <f t="shared" si="166"/>
        <v>8.0779615776765574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-2.2737367544323206E-13</v>
      </c>
      <c r="BE202" s="14">
        <f>BD202*VLOOKUP('Données projet'!$B$11,Paramètres!$A$1:$I$89,3,0)*VLOOKUP('Données projet'!$B$11,Paramètres!$A$1:$I$89,5,0)</f>
        <v>-2.0572770154103635E-13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435.70500547084868</v>
      </c>
      <c r="BJ202" s="62">
        <f t="shared" si="206"/>
        <v>297.32483725004136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25.349225790238876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25.349225790238876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-2.2737367544323206E-13</v>
      </c>
      <c r="BZ202" s="14">
        <f>BY202*VLOOKUP('Données projet'!$B$12,Paramètres!$A$1:$I$89,3,0)*VLOOKUP('Données projet'!$B$12,Paramètres!$A$1:$I$89,5,0)</f>
        <v>-2.5893314159475268E-13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530.15080507516973</v>
      </c>
      <c r="CE202" s="62">
        <f t="shared" si="207"/>
        <v>358.10331902702217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31.905060046335123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31.905060046335123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-4.8771653382573282E-14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182.98212193167009</v>
      </c>
      <c r="CZ202" s="62">
        <f t="shared" si="208"/>
        <v>195.9200038944301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7.0065339859938716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7.0065339859938716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2.2737367544323206E-13</v>
      </c>
      <c r="DP202" s="18">
        <f>DO202*VLOOKUP('Données projet'!$B$14,Paramètres!$A$1:$I$89,3,0)*VLOOKUP('Données projet'!$B$14,Paramètres!$A$1:$I$89,5,0)</f>
        <v>1.0049916454590858E-13</v>
      </c>
      <c r="DQ202" s="14">
        <f t="shared" si="176"/>
        <v>1.5089081593838289E-12</v>
      </c>
      <c r="DR202" s="22">
        <f t="shared" si="177"/>
        <v>2.8030510891776262E-12</v>
      </c>
      <c r="DS202" s="62">
        <f t="shared" si="197"/>
        <v>290.51637186933891</v>
      </c>
      <c r="DT202" s="62">
        <f ca="1">AVERAGE(OFFSET($DS$3,0,0,'Données projet'!$E$14+1,1))-AVERAGE(OFFSET($H$3,0,0,'Données projet'!$E$14+1,1))</f>
        <v>338.33525241236157</v>
      </c>
      <c r="DU202" s="62">
        <f t="shared" si="209"/>
        <v>373.47257029791717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15.415272446433306</v>
      </c>
      <c r="EB202" s="23">
        <f>EXP(-LN(2)/25)*EB201+(1-EXP(-LN(2)/25))/(LN(2)/25)*Calculateur!DW202*Calculateur!DY202*VLOOKUP('Données projet'!$B$14,Paramètres!$A$1:$I$89,3,0)*0.475*44/12</f>
        <v>0.90080061599548444</v>
      </c>
      <c r="EC202" s="23">
        <f>EXP(-LN(2)/2)*EC201+(1-EXP(-LN(2)/2))/(LN(2)/2)*DW202*DZ202*VLOOKUP('Données projet'!$B$14,Paramètres!$A$1:$I$89,3,0)*0.475*44/12</f>
        <v>1.7702536324429425E-20</v>
      </c>
      <c r="ED202" s="24">
        <f t="shared" si="178"/>
        <v>16.316073062428792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-2.8421709430404007E-14</v>
      </c>
      <c r="EK202" s="18">
        <f>EJ202*VLOOKUP('Données projet'!$B$15,Paramètres!$A$1:$I$89,3,0)*VLOOKUP('Données projet'!$B$15,Paramètres!$A$1:$I$89,5,0)</f>
        <v>-2.2168933355715127E-14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144.92790055195192</v>
      </c>
      <c r="EP202" s="62">
        <f t="shared" si="210"/>
        <v>151.00642748754026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3.8794410486604107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3.8794410486604107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-1.7053025658242404E-13</v>
      </c>
      <c r="O203" s="14">
        <f>N203*VLOOKUP('Données projet'!$B$9,Paramètres!$A$1:$I$89,3,0)*VLOOKUP('Données projet'!$B$9,Paramètres!$A$1:$I$89,5,0)</f>
        <v>-1.383341441396624E-13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259.10606516000064</v>
      </c>
      <c r="T203" s="62">
        <f t="shared" si="204"/>
        <v>316.57989180609252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6.3847969442603825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6.3847969442603825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186.83226999296298</v>
      </c>
      <c r="AO203" s="62">
        <f t="shared" si="205"/>
        <v>232.70925470547317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7.6412453952068535</v>
      </c>
      <c r="AV203" s="23">
        <f>EXP(-LN(2)/25)*AV202+(1-EXP(-LN(2)/25))/(LN(2)/25)*Calculateur!AQ203*Calculateur!AS203*VLOOKUP('Données projet'!$B$10,Paramètres!$A$1:$I$89,3,0)*0.475*44/12</f>
        <v>0.27611629104002422</v>
      </c>
      <c r="AW203" s="23">
        <f>EXP(-LN(2)/2)*AW202+(1-EXP(-LN(2)/2))/(LN(2)/2)*AQ203*AT203*VLOOKUP('Données projet'!$B$10,Paramètres!$A$1:$I$89,3,0)*0.475*44/12</f>
        <v>6.3605791897171022E-21</v>
      </c>
      <c r="AX203" s="23">
        <f t="shared" si="166"/>
        <v>7.9173616862468776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-2.2737367544323206E-13</v>
      </c>
      <c r="BE203" s="14">
        <f>BD203*VLOOKUP('Données projet'!$B$11,Paramètres!$A$1:$I$89,3,0)*VLOOKUP('Données projet'!$B$11,Paramètres!$A$1:$I$89,5,0)</f>
        <v>-2.0572770154103635E-13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435.70500547084868</v>
      </c>
      <c r="BJ203" s="62">
        <f t="shared" si="206"/>
        <v>297.32483725004136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24.852142933993328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24.852142933993328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-2.2737367544323206E-13</v>
      </c>
      <c r="BZ203" s="14">
        <f>BY203*VLOOKUP('Données projet'!$B$12,Paramètres!$A$1:$I$89,3,0)*VLOOKUP('Données projet'!$B$12,Paramètres!$A$1:$I$89,5,0)</f>
        <v>-2.5893314159475268E-13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530.15080507516973</v>
      </c>
      <c r="CE203" s="62">
        <f t="shared" si="207"/>
        <v>358.10331902702217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31.279421278991588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31.279421278991588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-4.8771653382573282E-14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182.98212193167009</v>
      </c>
      <c r="CZ203" s="62">
        <f t="shared" si="208"/>
        <v>195.9200038944301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6.8691401280922841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6.8691401280922841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2.2737367544323206E-13</v>
      </c>
      <c r="DP203" s="18">
        <f>DO203*VLOOKUP('Données projet'!$B$14,Paramètres!$A$1:$I$89,3,0)*VLOOKUP('Données projet'!$B$14,Paramètres!$A$1:$I$89,5,0)</f>
        <v>1.0049916454590858E-13</v>
      </c>
      <c r="DQ203" s="14">
        <f t="shared" si="176"/>
        <v>1.5089081593838289E-12</v>
      </c>
      <c r="DR203" s="22">
        <f t="shared" si="177"/>
        <v>2.8030510891776262E-12</v>
      </c>
      <c r="DS203" s="62">
        <f t="shared" si="197"/>
        <v>290.56523985295689</v>
      </c>
      <c r="DT203" s="62">
        <f ca="1">AVERAGE(OFFSET($DS$3,0,0,'Données projet'!$E$14+1,1))-AVERAGE(OFFSET($H$3,0,0,'Données projet'!$E$14+1,1))</f>
        <v>338.33525241236157</v>
      </c>
      <c r="DU203" s="62">
        <f t="shared" si="209"/>
        <v>373.47257029791717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15.112988356146532</v>
      </c>
      <c r="EB203" s="23">
        <f>EXP(-LN(2)/25)*EB202+(1-EXP(-LN(2)/25))/(LN(2)/25)*Calculateur!DW203*Calculateur!DY203*VLOOKUP('Données projet'!$B$14,Paramètres!$A$1:$I$89,3,0)*0.475*44/12</f>
        <v>0.87616817578004236</v>
      </c>
      <c r="EC203" s="23">
        <f>EXP(-LN(2)/2)*EC202+(1-EXP(-LN(2)/2))/(LN(2)/2)*DW203*DZ203*VLOOKUP('Données projet'!$B$14,Paramètres!$A$1:$I$89,3,0)*0.475*44/12</f>
        <v>1.2517583479205227E-20</v>
      </c>
      <c r="ED203" s="24">
        <f t="shared" si="178"/>
        <v>15.989156531926575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-2.8421709430404007E-14</v>
      </c>
      <c r="EK203" s="18">
        <f>EJ203*VLOOKUP('Données projet'!$B$15,Paramètres!$A$1:$I$89,3,0)*VLOOKUP('Données projet'!$B$15,Paramètres!$A$1:$I$89,5,0)</f>
        <v>-2.2168933355715127E-14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144.92790055195192</v>
      </c>
      <c r="EP203" s="62">
        <f t="shared" si="210"/>
        <v>151.00642748754026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3.8033675759215746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3.8033675759215746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1.2721747796233518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1.1867200975826817</v>
      </c>
      <c r="BA205" s="88">
        <f>EXP(LN('Données projet'!B88)/'Données projet'!A88)</f>
        <v>1.2392705892426346</v>
      </c>
      <c r="BV205" s="88">
        <f>EXP(LN('Données projet'!B114)/'Données projet'!A114)</f>
        <v>1.2392705892426346</v>
      </c>
      <c r="CQ205" s="88">
        <f>EXP(LN('Données projet'!B140)/'Données projet'!A140)</f>
        <v>1.1589972344055464</v>
      </c>
      <c r="DL205" s="88">
        <f>EXP(LN('Données projet'!B166)/'Données projet'!A166)</f>
        <v>1.2788040393997409</v>
      </c>
      <c r="EG205" s="88">
        <f>EXP(LN('Données projet'!B192)/'Données projet'!A192)</f>
        <v>1.1457367676485573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Bouleau verruqueux</v>
      </c>
      <c r="B6" s="155">
        <f>'Données projet'!D9</f>
        <v>0.41360000000000002</v>
      </c>
      <c r="C6" s="156">
        <f ca="1">IF(OR('Données projet'!B9="",'Données projet'!C9="",'Données projet'!C9=0%),0,Calculateur!S3)</f>
        <v>259.10606516000064</v>
      </c>
      <c r="D6" s="156">
        <f>IF(OR('Données projet'!B9="",'Données projet'!C9="",'Données projet'!C9=0%),0,Calculateur!T3)</f>
        <v>316.57989180609252</v>
      </c>
      <c r="E6" s="156">
        <f ca="1">MIN(C6,D6)</f>
        <v>259.10606516000064</v>
      </c>
      <c r="F6" s="156">
        <f ca="1">E6*B6</f>
        <v>107.16626855017627</v>
      </c>
      <c r="G6" s="156">
        <f ca="1">F6*(100%-'Données projet'!$C$24)*(100%-'Données projet'!$C$25)*(100%-'Données projet'!$C$26)*(100%-'Données projet'!$C$27)</f>
        <v>96.449641695158647</v>
      </c>
      <c r="H6" s="157">
        <f>IF(OR('Données projet'!B9="",'Données projet'!C9="",'Données projet'!C9=0%),0,AVERAGE(Calculateur!$AC$3:$AC$33)*B6)</f>
        <v>2.8810471858127122E-2</v>
      </c>
      <c r="I6" s="158">
        <f>H6*(100%-'Données projet'!$C$24)*(100%-'Données projet'!$C$25)*(100%-'Données projet'!$C$26)*(100%-'Données projet'!$C$27)</f>
        <v>2.5929424672314412E-2</v>
      </c>
      <c r="J6" s="159">
        <f>IF(OR('Données projet'!B9="",'Données projet'!C9="",'Données projet'!C9=0%),0,SUM(Calculateur!$V$3:$V$33)*VLOOKUP('Données projet'!$B$9,Paramètres!$A$1:$I$89,9,0)*B6)</f>
        <v>10.236600000000001</v>
      </c>
      <c r="K6" s="160">
        <f>J6*(100%-'Données projet'!$C$24)*(100%-'Données projet'!$C$25)*(100%-'Données projet'!$C$26)*(100%-'Données projet'!$C$27)</f>
        <v>9.2129400000000015</v>
      </c>
      <c r="L6" s="161">
        <f ca="1">G6+I6+K6</f>
        <v>105.68851111983096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Cèdre de l'Atlas</v>
      </c>
      <c r="B7" s="163">
        <f>'Données projet'!D10</f>
        <v>0.13800000000000001</v>
      </c>
      <c r="C7" s="156">
        <f ca="1">IF(OR('Données projet'!B10="",'Données projet'!C10="",'Données projet'!C10=0%),0,Calculateur!AN3)</f>
        <v>186.83226999296298</v>
      </c>
      <c r="D7" s="156">
        <f>IF(OR('Données projet'!B10="",'Données projet'!C10="",'Données projet'!C10=0%),0,Calculateur!AO3)</f>
        <v>232.70925470547317</v>
      </c>
      <c r="E7" s="156">
        <f t="shared" ref="E7:E15" ca="1" si="0">MIN(C7,D7)</f>
        <v>186.83226999296298</v>
      </c>
      <c r="F7" s="156">
        <f t="shared" ref="F7:F15" ca="1" si="1">E7*B7</f>
        <v>25.782853259028894</v>
      </c>
      <c r="G7" s="156">
        <f ca="1">F7*(100%-'Données projet'!$C$24)*(100%-'Données projet'!$C$25)*(100%-'Données projet'!$C$26)*(100%-'Données projet'!$C$27)</f>
        <v>23.204567933126004</v>
      </c>
      <c r="H7" s="164">
        <f>IF(OR('Données projet'!B10="",'Données projet'!C10="",'Données projet'!C10=0%),0,AVERAGE(Calculateur!$AX$3:$AX$33)*B7)</f>
        <v>7.1109304763722223E-2</v>
      </c>
      <c r="I7" s="158">
        <f>H7*(100%-'Données projet'!$C$24)*(100%-'Données projet'!$C$25)*(100%-'Données projet'!$C$26)*(100%-'Données projet'!$C$27)</f>
        <v>6.3998374287350002E-2</v>
      </c>
      <c r="J7" s="159">
        <f>IF(OR('Données projet'!B10="",'Données projet'!C10="",'Données projet'!C10=0%),0,SUM(Calculateur!$AQ$3:$AQ$33)*VLOOKUP('Données projet'!$B$10,Paramètres!$A$1:$I$89,9,0)*B7)</f>
        <v>2.3736000000000002</v>
      </c>
      <c r="K7" s="160">
        <f>J7*(100%-'Données projet'!$C$24)*(100%-'Données projet'!$C$25)*(100%-'Données projet'!$C$26)*(100%-'Données projet'!$C$27)</f>
        <v>2.1362400000000004</v>
      </c>
      <c r="L7" s="161">
        <f t="shared" ref="L7:L15" ca="1" si="2">G7+I7+K7</f>
        <v>25.404806307413356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Chêne sessile</v>
      </c>
      <c r="B8" s="163">
        <f>'Données projet'!D11</f>
        <v>2.8275999999999999</v>
      </c>
      <c r="C8" s="156">
        <f ca="1">IF(OR('Données projet'!B11="",'Données projet'!C11="",'Données projet'!C11=0%),0,Calculateur!BI3)</f>
        <v>435.70500547084868</v>
      </c>
      <c r="D8" s="156">
        <f>IF(OR('Données projet'!B11="",'Données projet'!C11="",'Données projet'!C11=0%),0,Calculateur!BJ3)</f>
        <v>297.32483725004136</v>
      </c>
      <c r="E8" s="156">
        <f t="shared" ca="1" si="0"/>
        <v>297.32483725004136</v>
      </c>
      <c r="F8" s="156">
        <f t="shared" ca="1" si="1"/>
        <v>840.71570980821696</v>
      </c>
      <c r="G8" s="156">
        <f ca="1">F8*(100%-'Données projet'!$C$24)*(100%-'Données projet'!$C$25)*(100%-'Données projet'!$C$26)*(100%-'Données projet'!$C$27)</f>
        <v>756.6441388273953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43.827799999999996</v>
      </c>
      <c r="K8" s="160">
        <f>J8*(100%-'Données projet'!$C$24)*(100%-'Données projet'!$C$25)*(100%-'Données projet'!$C$26)*(100%-'Données projet'!$C$27)</f>
        <v>39.44502</v>
      </c>
      <c r="L8" s="161">
        <f t="shared" ca="1" si="2"/>
        <v>796.08915882739529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Chêne vert</v>
      </c>
      <c r="B9" s="163">
        <f>'Données projet'!D12</f>
        <v>0.13800000000000001</v>
      </c>
      <c r="C9" s="156">
        <f ca="1">IF(OR('Données projet'!B12="",'Données projet'!C12="",'Données projet'!C12=0%),0,Calculateur!CD3)</f>
        <v>530.15080507516973</v>
      </c>
      <c r="D9" s="156">
        <f>IF(OR('Données projet'!B12="",'Données projet'!C12="",'Données projet'!C12=0%),0,Calculateur!CE3)</f>
        <v>358.10331902702217</v>
      </c>
      <c r="E9" s="156">
        <f t="shared" ca="1" si="0"/>
        <v>358.10331902702217</v>
      </c>
      <c r="F9" s="156">
        <f t="shared" ca="1" si="1"/>
        <v>49.418258025729067</v>
      </c>
      <c r="G9" s="156">
        <f ca="1">F9*(100%-'Données projet'!$C$24)*(100%-'Données projet'!$C$25)*(100%-'Données projet'!$C$26)*(100%-'Données projet'!$C$27)</f>
        <v>44.476432223156159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2.1390000000000002</v>
      </c>
      <c r="K9" s="160">
        <f>J9*(100%-'Données projet'!$C$24)*(100%-'Données projet'!$C$25)*(100%-'Données projet'!$C$26)*(100%-'Données projet'!$C$27)</f>
        <v>1.9251000000000003</v>
      </c>
      <c r="L9" s="161">
        <f t="shared" ca="1" si="2"/>
        <v>46.40153222315616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Hêtre</v>
      </c>
      <c r="B10" s="163">
        <f>'Données projet'!D13</f>
        <v>0.2</v>
      </c>
      <c r="C10" s="156">
        <f ca="1">IF(OR('Données projet'!B13="",'Données projet'!C13="",'Données projet'!C13=0%),0,Calculateur!CY3)</f>
        <v>182.98212193167009</v>
      </c>
      <c r="D10" s="156">
        <f>IF(OR('Données projet'!B13="",'Données projet'!C13="",'Données projet'!C13=0%),0,Calculateur!CZ3)</f>
        <v>195.9200038944301</v>
      </c>
      <c r="E10" s="156">
        <f t="shared" ca="1" si="0"/>
        <v>182.98212193167009</v>
      </c>
      <c r="F10" s="156">
        <f t="shared" ca="1" si="1"/>
        <v>36.596424386334022</v>
      </c>
      <c r="G10" s="156">
        <f ca="1">F10*(100%-'Données projet'!$C$24)*(100%-'Données projet'!$C$25)*(100%-'Données projet'!$C$26)*(100%-'Données projet'!$C$27)</f>
        <v>32.936781947700624</v>
      </c>
      <c r="H10" s="164">
        <f>IF(OR('Données projet'!B13="",'Données projet'!C13="",'Données projet'!C13=0%),0,AVERAGE(Calculateur!$DI$3:$DI$33)*B10)</f>
        <v>7.7837667156977625E-3</v>
      </c>
      <c r="I10" s="158">
        <f>H10*(100%-'Données projet'!$C$24)*(100%-'Données projet'!$C$25)*(100%-'Données projet'!$C$26)*(100%-'Données projet'!$C$27)</f>
        <v>7.0053900441279862E-3</v>
      </c>
      <c r="J10" s="159">
        <f>IF(OR('Données projet'!B13="",'Données projet'!C13="",'Données projet'!C13=0%),0,SUM(Calculateur!$DB$3:$DB$33)*VLOOKUP('Données projet'!$B$13,Paramètres!$A$1:$I$89,9,0)*B10)</f>
        <v>0.60000000000000009</v>
      </c>
      <c r="K10" s="160">
        <f>J10*(100%-'Données projet'!$C$24)*(100%-'Données projet'!$C$25)*(100%-'Données projet'!$C$26)*(100%-'Données projet'!$C$27)</f>
        <v>0.54000000000000015</v>
      </c>
      <c r="L10" s="161">
        <f t="shared" ca="1" si="2"/>
        <v>33.483787337744751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Séquoia toujours vert</v>
      </c>
      <c r="B11" s="163">
        <f>'Données projet'!D14</f>
        <v>0.2</v>
      </c>
      <c r="C11" s="156">
        <f ca="1">IF(OR('Données projet'!B14="",'Données projet'!C14="",'Données projet'!C14=0%),0,Calculateur!DT3)</f>
        <v>338.33525241236157</v>
      </c>
      <c r="D11" s="156">
        <f>IF(OR('Données projet'!B14="",'Données projet'!C14="",'Données projet'!C14=0%),0,Calculateur!DU3)</f>
        <v>373.47257029791717</v>
      </c>
      <c r="E11" s="156">
        <f t="shared" ca="1" si="0"/>
        <v>338.33525241236157</v>
      </c>
      <c r="F11" s="156">
        <f t="shared" ca="1" si="1"/>
        <v>67.66705048247232</v>
      </c>
      <c r="G11" s="156">
        <f ca="1">F11*(100%-'Données projet'!$C$24)*(100%-'Données projet'!$C$25)*(100%-'Données projet'!$C$26)*(100%-'Données projet'!$C$27)</f>
        <v>60.900345434225088</v>
      </c>
      <c r="H11" s="164">
        <f>IF(OR('Données projet'!B14="",'Données projet'!C14="",'Données projet'!C14=0%),0,AVERAGE(Calculateur!$ED$3:$ED$33)*B11)</f>
        <v>1.6415089707359929</v>
      </c>
      <c r="I11" s="158">
        <f>H11*(100%-'Données projet'!$C$24)*(100%-'Données projet'!$C$25)*(100%-'Données projet'!$C$26)*(100%-'Données projet'!$C$27)</f>
        <v>1.4773580736623937</v>
      </c>
      <c r="J11" s="159">
        <f>IF(OR('Données projet'!B14="",'Données projet'!C14="",'Données projet'!C14=0%),0,SUM(Calculateur!$DW$3:$DW$33)*VLOOKUP('Données projet'!$B$14,Paramètres!$A$1:$I$89,9,0)*B11)</f>
        <v>15.91</v>
      </c>
      <c r="K11" s="160">
        <f>J11*(100%-'Données projet'!$C$24)*(100%-'Données projet'!$C$25)*(100%-'Données projet'!$C$26)*(100%-'Données projet'!$C$27)</f>
        <v>14.319000000000001</v>
      </c>
      <c r="L11" s="161">
        <f t="shared" ca="1" si="2"/>
        <v>76.696703507887477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>Merisier</v>
      </c>
      <c r="B12" s="163">
        <f>'Données projet'!D15</f>
        <v>0.08</v>
      </c>
      <c r="C12" s="156">
        <f ca="1">IF(OR('Données projet'!B15="",'Données projet'!C15="",'Données projet'!C15=0%),0,Calculateur!EO3)</f>
        <v>144.92790055195192</v>
      </c>
      <c r="D12" s="156">
        <f>IF(OR('Données projet'!B15="",'Données projet'!C15="",'Données projet'!C15=0%),0,Calculateur!EP3)</f>
        <v>151.00642748754026</v>
      </c>
      <c r="E12" s="156">
        <f t="shared" ca="1" si="0"/>
        <v>144.92790055195192</v>
      </c>
      <c r="F12" s="156">
        <f t="shared" ca="1" si="1"/>
        <v>11.594232044156154</v>
      </c>
      <c r="G12" s="156">
        <f ca="1">F12*(100%-'Données projet'!$C$24)*(100%-'Données projet'!$C$25)*(100%-'Données projet'!$C$26)*(100%-'Données projet'!$C$27)</f>
        <v>10.434808839740539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ca="1" si="2"/>
        <v>10.434808839740539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1138.9407965561138</v>
      </c>
      <c r="G16" s="175">
        <f t="shared" ca="1" si="3"/>
        <v>1025.0467169005024</v>
      </c>
      <c r="H16" s="176">
        <f t="shared" si="3"/>
        <v>1.7492125140735399</v>
      </c>
      <c r="I16" s="176">
        <f t="shared" si="3"/>
        <v>1.574291262666186</v>
      </c>
      <c r="J16" s="177">
        <f t="shared" si="3"/>
        <v>75.087000000000003</v>
      </c>
      <c r="K16" s="177">
        <f t="shared" si="3"/>
        <v>67.578299999999999</v>
      </c>
      <c r="L16" s="178">
        <f t="shared" ca="1" si="3"/>
        <v>1094.1993081631686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Bouleau verruqueux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Chêne vert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Hêtre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Séquoia toujours vert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>Merisier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93" zoomScale="80" zoomScaleNormal="80" workbookViewId="0">
      <selection activeCell="C209" sqref="C209:C21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Bouleau verruqueux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-270.23933091477966</v>
      </c>
      <c r="U10" s="190">
        <f>'Données projet'!D9</f>
        <v>0.41360000000000002</v>
      </c>
      <c r="V10" s="189">
        <f>U10*T10</f>
        <v>-111.77098726635288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-1645.9899086353093</v>
      </c>
      <c r="U11" s="190">
        <f>'Données projet'!D10</f>
        <v>0.13800000000000001</v>
      </c>
      <c r="V11" s="189">
        <f t="shared" ref="V11" si="0">U11*T11</f>
        <v>-227.14660739167272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402.53347244294162</v>
      </c>
      <c r="U12" s="190">
        <f>'Données projet'!D11</f>
        <v>2.8275999999999999</v>
      </c>
      <c r="V12" s="189">
        <f t="shared" ref="V12:V19" si="1">U12*T12</f>
        <v>1138.2036466796617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vert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489.53347244294162</v>
      </c>
      <c r="U13" s="190">
        <f>'Données projet'!D12</f>
        <v>0.13800000000000001</v>
      </c>
      <c r="V13" s="189">
        <f t="shared" si="1"/>
        <v>67.555619197125949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Bouleau verruqueux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Hêtre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-975.06820446874406</v>
      </c>
      <c r="U14" s="190">
        <f>'Données projet'!D13</f>
        <v>0.2</v>
      </c>
      <c r="V14" s="189">
        <f t="shared" si="1"/>
        <v>-195.01364089374883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>
        <v>2</v>
      </c>
      <c r="I15" s="204">
        <v>3038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Séquoia toujours vert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1946.4367704978818</v>
      </c>
      <c r="U15" s="190">
        <f>'Données projet'!D14</f>
        <v>0.2</v>
      </c>
      <c r="V15" s="189">
        <f t="shared" si="1"/>
        <v>389.28735409957636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>Merisier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-644.65901978640522</v>
      </c>
      <c r="U16" s="190">
        <f>'Données projet'!D15</f>
        <v>0.08</v>
      </c>
      <c r="V16" s="189">
        <f t="shared" si="1"/>
        <v>-51.572721582912422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1713</v>
      </c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v>3048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400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400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15</v>
      </c>
      <c r="B23" s="193">
        <f>'Données projet'!D36</f>
        <v>15</v>
      </c>
      <c r="C23" s="206">
        <f>40*'Données projet'!E36+13.8*SUM('Données projet'!F36:G36)+'Données projet'!H36*10</f>
        <v>10</v>
      </c>
      <c r="D23" s="194">
        <f>B23*C23</f>
        <v>150</v>
      </c>
      <c r="E23" s="206"/>
      <c r="F23" s="261"/>
      <c r="H23" s="203">
        <v>4</v>
      </c>
      <c r="I23" s="204">
        <v>260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-4103.3879898200103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20</v>
      </c>
      <c r="B24" s="193">
        <f>'Données projet'!D37</f>
        <v>28</v>
      </c>
      <c r="C24" s="206">
        <f>40*'Données projet'!E37+13.8*SUM('Données projet'!F37:G37)+'Données projet'!H37*10</f>
        <v>10</v>
      </c>
      <c r="D24" s="194">
        <f t="shared" ref="D24:D42" si="2">B24*C24</f>
        <v>280</v>
      </c>
      <c r="E24" s="206"/>
      <c r="F24" s="264"/>
      <c r="H24" s="203">
        <v>5</v>
      </c>
      <c r="I24" s="204">
        <v>260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25</v>
      </c>
      <c r="B25" s="193">
        <f>'Données projet'!D38</f>
        <v>28</v>
      </c>
      <c r="C25" s="206">
        <f>40*'Données projet'!E38+13.8*SUM('Données projet'!F38:G38)+'Données projet'!H38*10</f>
        <v>10</v>
      </c>
      <c r="D25" s="194">
        <f t="shared" si="2"/>
        <v>280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-4103.3879898200103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28</v>
      </c>
      <c r="C26" s="206">
        <f>40*'Données projet'!E39+13.8*SUM('Données projet'!F39:G39)+'Données projet'!H39*10</f>
        <v>16</v>
      </c>
      <c r="D26" s="194">
        <f t="shared" si="2"/>
        <v>448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35</v>
      </c>
      <c r="B27" s="193">
        <f>'Données projet'!D40</f>
        <v>28</v>
      </c>
      <c r="C27" s="206">
        <f>40*'Données projet'!E40+13.8*SUM('Données projet'!F40:G40)+'Données projet'!H40*10</f>
        <v>16</v>
      </c>
      <c r="D27" s="194">
        <f t="shared" si="2"/>
        <v>448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40</v>
      </c>
      <c r="B28" s="193">
        <f>'Données projet'!D41</f>
        <v>28</v>
      </c>
      <c r="C28" s="206">
        <f>40*'Données projet'!E41+13.8*SUM('Données projet'!F41:G41)+'Données projet'!H41*10</f>
        <v>22</v>
      </c>
      <c r="D28" s="194">
        <f t="shared" si="2"/>
        <v>616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45</v>
      </c>
      <c r="B29" s="193">
        <f>'Données projet'!D42</f>
        <v>22</v>
      </c>
      <c r="C29" s="206">
        <f>40*'Données projet'!E42+13.8*SUM('Données projet'!F42:G42)+'Données projet'!H42*10</f>
        <v>28</v>
      </c>
      <c r="D29" s="194">
        <f t="shared" si="2"/>
        <v>616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50</v>
      </c>
      <c r="B30" s="193">
        <f>'Données projet'!D43</f>
        <v>17</v>
      </c>
      <c r="C30" s="206">
        <f>40*'Données projet'!E43+13.8*SUM('Données projet'!F43:G43)+'Données projet'!H43*10</f>
        <v>34</v>
      </c>
      <c r="D30" s="194">
        <f t="shared" si="2"/>
        <v>578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55</v>
      </c>
      <c r="B31" s="193">
        <f>'Données projet'!D44</f>
        <v>13</v>
      </c>
      <c r="C31" s="206">
        <f>40*'Données projet'!E44+13.8*SUM('Données projet'!F44:G44)+'Données projet'!H44*10</f>
        <v>34</v>
      </c>
      <c r="D31" s="194">
        <f t="shared" si="2"/>
        <v>442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60</v>
      </c>
      <c r="B32" s="193">
        <f>'Données projet'!D45</f>
        <v>245</v>
      </c>
      <c r="C32" s="206">
        <f>40*'Données projet'!E45+13.8*SUM('Données projet'!F45:G45)+'Données projet'!H45*10</f>
        <v>37</v>
      </c>
      <c r="D32" s="194">
        <f t="shared" si="2"/>
        <v>9065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2728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30</v>
      </c>
      <c r="B54" s="193">
        <f>'Données projet'!D62</f>
        <v>40</v>
      </c>
      <c r="C54" s="204">
        <f>30*'Données projet'!E62+19.4*SUM('Données projet'!F62:G62)+'Données projet'!H62*10</f>
        <v>22.58</v>
      </c>
      <c r="D54" s="191">
        <f>B54*C54</f>
        <v>903.19999999999993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40</v>
      </c>
      <c r="B55" s="193">
        <f>'Données projet'!D63</f>
        <v>40</v>
      </c>
      <c r="C55" s="204">
        <f>30*'Données projet'!E63+19.4*SUM('Données projet'!F63:G63)+'Données projet'!H63*10</f>
        <v>24.7</v>
      </c>
      <c r="D55" s="191">
        <f t="shared" ref="D55:D73" si="4">B55*C55</f>
        <v>988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50</v>
      </c>
      <c r="B56" s="193">
        <f>'Données projet'!D64</f>
        <v>40</v>
      </c>
      <c r="C56" s="204">
        <f>30*'Données projet'!E64+19.4*SUM('Données projet'!F64:G64)+'Données projet'!H64*10</f>
        <v>26.82</v>
      </c>
      <c r="D56" s="191">
        <f t="shared" si="4"/>
        <v>1072.8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60</v>
      </c>
      <c r="B57" s="193">
        <f>'Données projet'!D65</f>
        <v>350</v>
      </c>
      <c r="C57" s="204">
        <f>30*'Données projet'!E65+19.4*SUM('Données projet'!F65:G65)+'Données projet'!H65*10</f>
        <v>28.94</v>
      </c>
      <c r="D57" s="191">
        <f t="shared" si="4"/>
        <v>10129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2075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20</v>
      </c>
      <c r="B85" s="193">
        <f>'Données projet'!D88</f>
        <v>6</v>
      </c>
      <c r="C85" s="204">
        <f>150*'Données projet'!E88+13.8*SUM('Données projet'!F88:G88)+'Données projet'!H88*10</f>
        <v>10</v>
      </c>
      <c r="D85" s="191">
        <f>B85*C85</f>
        <v>60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25</v>
      </c>
      <c r="B86" s="193">
        <f>'Données projet'!D89</f>
        <v>28</v>
      </c>
      <c r="C86" s="204">
        <f>150*'Données projet'!E89+13.8*SUM('Données projet'!F89:G89)+'Données projet'!H89*10</f>
        <v>10</v>
      </c>
      <c r="D86" s="191">
        <f t="shared" ref="D86:D104" si="6">B86*C86</f>
        <v>280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30</v>
      </c>
      <c r="B87" s="193">
        <f>'Données projet'!D90</f>
        <v>28</v>
      </c>
      <c r="C87" s="204">
        <f>150*'Données projet'!E90+13.8*SUM('Données projet'!F90:G90)+'Données projet'!H90*10</f>
        <v>10</v>
      </c>
      <c r="D87" s="191">
        <f t="shared" si="6"/>
        <v>280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35</v>
      </c>
      <c r="B88" s="193">
        <f>'Données projet'!D91</f>
        <v>28</v>
      </c>
      <c r="C88" s="204">
        <f>150*'Données projet'!E91+13.8*SUM('Données projet'!F91:G91)+'Données projet'!H91*10</f>
        <v>38</v>
      </c>
      <c r="D88" s="191">
        <f t="shared" si="6"/>
        <v>1064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40</v>
      </c>
      <c r="B89" s="193">
        <f>'Données projet'!D92</f>
        <v>28</v>
      </c>
      <c r="C89" s="204">
        <f>150*'Données projet'!E92+13.8*SUM('Données projet'!F92:G92)+'Données projet'!H92*10</f>
        <v>38</v>
      </c>
      <c r="D89" s="191">
        <f t="shared" si="6"/>
        <v>1064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45</v>
      </c>
      <c r="B90" s="193">
        <f>'Données projet'!D93</f>
        <v>28</v>
      </c>
      <c r="C90" s="204">
        <f>150*'Données projet'!E93+13.8*SUM('Données projet'!F93:G93)+'Données projet'!H93*10</f>
        <v>38</v>
      </c>
      <c r="D90" s="191">
        <f t="shared" si="6"/>
        <v>1064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50</v>
      </c>
      <c r="B91" s="193">
        <f>'Données projet'!D94</f>
        <v>28</v>
      </c>
      <c r="C91" s="204">
        <f>150*'Données projet'!E94+13.8*SUM('Données projet'!F94:G94)+'Données projet'!H94*10</f>
        <v>66</v>
      </c>
      <c r="D91" s="191">
        <f t="shared" si="6"/>
        <v>1848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55</v>
      </c>
      <c r="B92" s="193">
        <f>'Données projet'!D95</f>
        <v>28</v>
      </c>
      <c r="C92" s="204">
        <f>150*'Données projet'!E95+13.8*SUM('Données projet'!F95:G95)+'Données projet'!H95*10</f>
        <v>66</v>
      </c>
      <c r="D92" s="191">
        <f t="shared" si="6"/>
        <v>1848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60</v>
      </c>
      <c r="B93" s="193">
        <f>'Données projet'!D96</f>
        <v>28</v>
      </c>
      <c r="C93" s="204">
        <f>150*'Données projet'!E96+13.8*SUM('Données projet'!F96:G96)+'Données projet'!H96*10</f>
        <v>66</v>
      </c>
      <c r="D93" s="191">
        <f t="shared" si="6"/>
        <v>1848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65</v>
      </c>
      <c r="B94" s="193">
        <f>'Données projet'!D97</f>
        <v>28</v>
      </c>
      <c r="C94" s="204">
        <f>150*'Données projet'!E97+13.8*SUM('Données projet'!F97:G97)+'Données projet'!H97*10</f>
        <v>94</v>
      </c>
      <c r="D94" s="191">
        <f t="shared" si="6"/>
        <v>2632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70</v>
      </c>
      <c r="B95" s="193">
        <f>'Données projet'!D98</f>
        <v>28</v>
      </c>
      <c r="C95" s="204">
        <f>150*'Données projet'!E98+13.8*SUM('Données projet'!F98:G98)+'Données projet'!H98*10</f>
        <v>94</v>
      </c>
      <c r="D95" s="191">
        <f t="shared" si="6"/>
        <v>2632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75</v>
      </c>
      <c r="B96" s="193">
        <f>'Données projet'!D99</f>
        <v>28</v>
      </c>
      <c r="C96" s="204">
        <f>150*'Données projet'!E99+13.8*SUM('Données projet'!F99:G99)+'Données projet'!H99*10</f>
        <v>94</v>
      </c>
      <c r="D96" s="191">
        <f t="shared" si="6"/>
        <v>2632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80</v>
      </c>
      <c r="B97" s="193">
        <f>'Données projet'!D100</f>
        <v>28</v>
      </c>
      <c r="C97" s="204">
        <f>150*'Données projet'!E100+13.8*SUM('Données projet'!F100:G100)+'Données projet'!H100*10</f>
        <v>122</v>
      </c>
      <c r="D97" s="191">
        <f t="shared" si="6"/>
        <v>3416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85</v>
      </c>
      <c r="B98" s="193">
        <f>'Données projet'!D101</f>
        <v>28</v>
      </c>
      <c r="C98" s="204">
        <f>150*'Données projet'!E101+13.8*SUM('Données projet'!F101:G101)+'Données projet'!H101*10</f>
        <v>122</v>
      </c>
      <c r="D98" s="191">
        <f t="shared" si="6"/>
        <v>3416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90</v>
      </c>
      <c r="B99" s="193">
        <f>'Données projet'!D102</f>
        <v>28</v>
      </c>
      <c r="C99" s="204">
        <f>150*'Données projet'!E102+13.8*SUM('Données projet'!F102:G102)+'Données projet'!H102*10</f>
        <v>122</v>
      </c>
      <c r="D99" s="191">
        <f t="shared" si="6"/>
        <v>3416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95</v>
      </c>
      <c r="B100" s="193">
        <f>'Données projet'!D103</f>
        <v>27</v>
      </c>
      <c r="C100" s="204">
        <f>150*'Données projet'!E103+13.8*SUM('Données projet'!F103:G103)+'Données projet'!H103*10</f>
        <v>136</v>
      </c>
      <c r="D100" s="191">
        <f t="shared" si="6"/>
        <v>3672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100</v>
      </c>
      <c r="B101" s="193">
        <f>'Données projet'!D104</f>
        <v>333</v>
      </c>
      <c r="C101" s="204">
        <f>150*'Données projet'!E104+13.8*SUM('Données projet'!F104:G104)+'Données projet'!H104*10</f>
        <v>136</v>
      </c>
      <c r="D101" s="191">
        <f t="shared" si="6"/>
        <v>45288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Chêne vert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v>1988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20</v>
      </c>
      <c r="B116" s="193">
        <f>'Données projet'!D114</f>
        <v>6</v>
      </c>
      <c r="C116" s="204">
        <f>150*'Données projet'!E114+13.8*SUM('Données projet'!F114:G114)+'Données projet'!H114*10</f>
        <v>10</v>
      </c>
      <c r="D116" s="191">
        <f>B116*C116</f>
        <v>60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25</v>
      </c>
      <c r="B117" s="193">
        <f>'Données projet'!D115</f>
        <v>28</v>
      </c>
      <c r="C117" s="204">
        <f>150*'Données projet'!E115+13.8*SUM('Données projet'!F115:G115)+'Données projet'!H115*10</f>
        <v>10</v>
      </c>
      <c r="D117" s="191">
        <f t="shared" ref="D117:D135" si="8">B117*C117</f>
        <v>280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30</v>
      </c>
      <c r="B118" s="193">
        <f>'Données projet'!D116</f>
        <v>28</v>
      </c>
      <c r="C118" s="204">
        <f>150*'Données projet'!E116+13.8*SUM('Données projet'!F116:G116)+'Données projet'!H116*10</f>
        <v>10</v>
      </c>
      <c r="D118" s="191">
        <f t="shared" si="8"/>
        <v>280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35</v>
      </c>
      <c r="B119" s="193">
        <f>'Données projet'!D117</f>
        <v>28</v>
      </c>
      <c r="C119" s="204">
        <f>150*'Données projet'!E117+13.8*SUM('Données projet'!F117:G117)+'Données projet'!H117*10</f>
        <v>38</v>
      </c>
      <c r="D119" s="191">
        <f t="shared" si="8"/>
        <v>1064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40</v>
      </c>
      <c r="B120" s="193">
        <f>'Données projet'!D118</f>
        <v>28</v>
      </c>
      <c r="C120" s="204">
        <f>150*'Données projet'!E118+13.8*SUM('Données projet'!F118:G118)+'Données projet'!H118*10</f>
        <v>38</v>
      </c>
      <c r="D120" s="191">
        <f t="shared" si="8"/>
        <v>1064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45</v>
      </c>
      <c r="B121" s="193">
        <f>'Données projet'!D119</f>
        <v>28</v>
      </c>
      <c r="C121" s="204">
        <f>150*'Données projet'!E119+13.8*SUM('Données projet'!F119:G119)+'Données projet'!H119*10</f>
        <v>38</v>
      </c>
      <c r="D121" s="191">
        <f t="shared" si="8"/>
        <v>1064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50</v>
      </c>
      <c r="B122" s="193">
        <f>'Données projet'!D120</f>
        <v>28</v>
      </c>
      <c r="C122" s="204">
        <f>150*'Données projet'!E120+13.8*SUM('Données projet'!F120:G120)+'Données projet'!H120*10</f>
        <v>66</v>
      </c>
      <c r="D122" s="191">
        <f t="shared" si="8"/>
        <v>1848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55</v>
      </c>
      <c r="B123" s="193">
        <f>'Données projet'!D121</f>
        <v>28</v>
      </c>
      <c r="C123" s="204">
        <f>150*'Données projet'!E121+13.8*SUM('Données projet'!F121:G121)+'Données projet'!H121*10</f>
        <v>66</v>
      </c>
      <c r="D123" s="191">
        <f t="shared" si="8"/>
        <v>1848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60</v>
      </c>
      <c r="B124" s="193">
        <f>'Données projet'!D122</f>
        <v>28</v>
      </c>
      <c r="C124" s="204">
        <f>150*'Données projet'!E122+13.8*SUM('Données projet'!F122:G122)+'Données projet'!H122*10</f>
        <v>66</v>
      </c>
      <c r="D124" s="191">
        <f t="shared" si="8"/>
        <v>1848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65</v>
      </c>
      <c r="B125" s="193">
        <f>'Données projet'!D123</f>
        <v>28</v>
      </c>
      <c r="C125" s="204">
        <f>150*'Données projet'!E123+13.8*SUM('Données projet'!F123:G123)+'Données projet'!H123*10</f>
        <v>94</v>
      </c>
      <c r="D125" s="191">
        <f t="shared" si="8"/>
        <v>2632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70</v>
      </c>
      <c r="B126" s="193">
        <f>'Données projet'!D124</f>
        <v>28</v>
      </c>
      <c r="C126" s="204">
        <f>150*'Données projet'!E124+13.8*SUM('Données projet'!F124:G124)+'Données projet'!H124*10</f>
        <v>94</v>
      </c>
      <c r="D126" s="191">
        <f t="shared" si="8"/>
        <v>2632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75</v>
      </c>
      <c r="B127" s="193">
        <f>'Données projet'!D125</f>
        <v>28</v>
      </c>
      <c r="C127" s="204">
        <f>150*'Données projet'!E125+13.8*SUM('Données projet'!F125:G125)+'Données projet'!H125*10</f>
        <v>94</v>
      </c>
      <c r="D127" s="191">
        <f t="shared" si="8"/>
        <v>2632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80</v>
      </c>
      <c r="B128" s="193">
        <f>'Données projet'!D126</f>
        <v>28</v>
      </c>
      <c r="C128" s="204">
        <f>150*'Données projet'!E126+13.8*SUM('Données projet'!F126:G126)+'Données projet'!H126*10</f>
        <v>122</v>
      </c>
      <c r="D128" s="191">
        <f t="shared" si="8"/>
        <v>3416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85</v>
      </c>
      <c r="B129" s="193">
        <f>'Données projet'!D127</f>
        <v>28</v>
      </c>
      <c r="C129" s="204">
        <f>150*'Données projet'!E127+13.8*SUM('Données projet'!F127:G127)+'Données projet'!H127*10</f>
        <v>122</v>
      </c>
      <c r="D129" s="191">
        <f t="shared" si="8"/>
        <v>3416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90</v>
      </c>
      <c r="B130" s="193">
        <f>'Données projet'!D128</f>
        <v>28</v>
      </c>
      <c r="C130" s="204">
        <f>150*'Données projet'!E128+13.8*SUM('Données projet'!F128:G128)+'Données projet'!H128*10</f>
        <v>122</v>
      </c>
      <c r="D130" s="191">
        <f t="shared" si="8"/>
        <v>3416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95</v>
      </c>
      <c r="B131" s="193">
        <f>'Données projet'!D129</f>
        <v>27</v>
      </c>
      <c r="C131" s="204">
        <f>150*'Données projet'!E129+13.8*SUM('Données projet'!F129:G129)+'Données projet'!H129*10</f>
        <v>136</v>
      </c>
      <c r="D131" s="191">
        <f t="shared" si="8"/>
        <v>3672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100</v>
      </c>
      <c r="B132" s="193">
        <f>'Données projet'!D130</f>
        <v>333</v>
      </c>
      <c r="C132" s="204">
        <f>150*'Données projet'!E130+13.8*SUM('Données projet'!F130:G130)+'Données projet'!H130*10</f>
        <v>136</v>
      </c>
      <c r="D132" s="191">
        <f t="shared" si="8"/>
        <v>45288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Hêtre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>
        <v>1988</v>
      </c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25</v>
      </c>
      <c r="B147" s="187">
        <f>'Données projet'!D140</f>
        <v>0</v>
      </c>
      <c r="C147" s="204">
        <f>45*'Données projet'!E140+13.8*SUM('Données projet'!F140:G140)+'Données projet'!H140*10</f>
        <v>10</v>
      </c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30</v>
      </c>
      <c r="B148" s="187">
        <f>'Données projet'!D141</f>
        <v>12</v>
      </c>
      <c r="C148" s="204">
        <f>45*'Données projet'!E141+13.8*SUM('Données projet'!F141:G141)+'Données projet'!H141*10</f>
        <v>17</v>
      </c>
      <c r="D148" s="194">
        <f t="shared" ref="D148:D166" si="10">B148*C148</f>
        <v>204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35</v>
      </c>
      <c r="B149" s="187">
        <f>'Données projet'!D142</f>
        <v>21</v>
      </c>
      <c r="C149" s="204">
        <f>45*'Données projet'!E142+13.8*SUM('Données projet'!F142:G142)+'Données projet'!H142*10</f>
        <v>17</v>
      </c>
      <c r="D149" s="194">
        <f t="shared" si="10"/>
        <v>357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40</v>
      </c>
      <c r="B150" s="187">
        <f>'Données projet'!D143</f>
        <v>21</v>
      </c>
      <c r="C150" s="204">
        <f>45*'Données projet'!E143+13.8*SUM('Données projet'!F143:G143)+'Données projet'!H143*10</f>
        <v>24</v>
      </c>
      <c r="D150" s="194">
        <f t="shared" si="10"/>
        <v>504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45</v>
      </c>
      <c r="B151" s="187">
        <f>'Données projet'!D144</f>
        <v>21</v>
      </c>
      <c r="C151" s="204">
        <f>45*'Données projet'!E144+13.8*SUM('Données projet'!F144:G144)+'Données projet'!H144*10</f>
        <v>24</v>
      </c>
      <c r="D151" s="194">
        <f t="shared" si="10"/>
        <v>504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50</v>
      </c>
      <c r="B152" s="187">
        <f>'Données projet'!D145</f>
        <v>21</v>
      </c>
      <c r="C152" s="204">
        <f>45*'Données projet'!E145+13.8*SUM('Données projet'!F145:G145)+'Données projet'!H145*10</f>
        <v>31</v>
      </c>
      <c r="D152" s="194">
        <f t="shared" si="10"/>
        <v>651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55</v>
      </c>
      <c r="B153" s="187">
        <f>'Données projet'!D146</f>
        <v>21</v>
      </c>
      <c r="C153" s="204">
        <f>45*'Données projet'!E146+13.8*SUM('Données projet'!F146:G146)+'Données projet'!H146*10</f>
        <v>38</v>
      </c>
      <c r="D153" s="194">
        <f t="shared" si="10"/>
        <v>798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60</v>
      </c>
      <c r="B154" s="187">
        <f>'Données projet'!D147</f>
        <v>197</v>
      </c>
      <c r="C154" s="204">
        <f>45*'Données projet'!E147+13.8*SUM('Données projet'!F147:G147)+'Données projet'!H147*10</f>
        <v>41.5</v>
      </c>
      <c r="D154" s="194">
        <f t="shared" si="10"/>
        <v>8175.5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Séquoia toujours vert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>
        <v>2728</v>
      </c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15</v>
      </c>
      <c r="B178" s="193">
        <f>'Données projet'!D166</f>
        <v>0</v>
      </c>
      <c r="C178" s="206">
        <f>44*'Données projet'!E166+19.4*SUM('Données projet'!F166:G166)+'Données projet'!H166*10</f>
        <v>19.399999999999999</v>
      </c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20</v>
      </c>
      <c r="B179" s="193">
        <f>'Données projet'!D167</f>
        <v>45</v>
      </c>
      <c r="C179" s="206">
        <f>44*'Données projet'!E167+19.4*SUM('Données projet'!F167:G167)+'Données projet'!H167*10</f>
        <v>19.399999999999999</v>
      </c>
      <c r="D179" s="191">
        <f t="shared" ref="D179:D197" si="11">B179*C179</f>
        <v>872.99999999999989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25</v>
      </c>
      <c r="B180" s="193">
        <f>'Données projet'!D168</f>
        <v>70</v>
      </c>
      <c r="C180" s="206">
        <f>44*'Données projet'!E168+19.4*SUM('Données projet'!F168:G168)+'Données projet'!H168*10</f>
        <v>19.399999999999999</v>
      </c>
      <c r="D180" s="191">
        <f t="shared" si="11"/>
        <v>1358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30</v>
      </c>
      <c r="B181" s="193">
        <f>'Données projet'!D169</f>
        <v>70</v>
      </c>
      <c r="C181" s="206">
        <f>44*'Données projet'!E169+19.4*SUM('Données projet'!F169:G169)+'Données projet'!H169*10</f>
        <v>24.32</v>
      </c>
      <c r="D181" s="191">
        <f t="shared" si="11"/>
        <v>1702.4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35</v>
      </c>
      <c r="B182" s="193">
        <f>'Données projet'!D170</f>
        <v>70</v>
      </c>
      <c r="C182" s="206">
        <f>44*'Données projet'!E170+19.4*SUM('Données projet'!F170:G170)+'Données projet'!H170*10</f>
        <v>24.32</v>
      </c>
      <c r="D182" s="191">
        <f t="shared" si="11"/>
        <v>1702.4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40</v>
      </c>
      <c r="B183" s="193">
        <f>'Données projet'!D171</f>
        <v>70</v>
      </c>
      <c r="C183" s="206">
        <f>44*'Données projet'!E171+19.4*SUM('Données projet'!F171:G171)+'Données projet'!H171*10</f>
        <v>29.240000000000002</v>
      </c>
      <c r="D183" s="191">
        <f t="shared" si="11"/>
        <v>2046.8000000000002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45</v>
      </c>
      <c r="B184" s="193">
        <f>'Données projet'!D172</f>
        <v>60</v>
      </c>
      <c r="C184" s="206">
        <f>44*'Données projet'!E172+19.4*SUM('Données projet'!F172:G172)+'Données projet'!H172*10</f>
        <v>29.240000000000002</v>
      </c>
      <c r="D184" s="191">
        <f t="shared" si="11"/>
        <v>1754.4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50</v>
      </c>
      <c r="B185" s="193">
        <f>'Données projet'!D173</f>
        <v>51</v>
      </c>
      <c r="C185" s="206">
        <f>44*'Données projet'!E173+19.4*SUM('Données projet'!F173:G173)+'Données projet'!H173*10</f>
        <v>34.159999999999997</v>
      </c>
      <c r="D185" s="191">
        <f t="shared" si="11"/>
        <v>1742.1599999999999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55</v>
      </c>
      <c r="B186" s="193">
        <f>'Données projet'!D174</f>
        <v>44</v>
      </c>
      <c r="C186" s="206">
        <f>44*'Données projet'!E174+19.4*SUM('Données projet'!F174:G174)+'Données projet'!H174*10</f>
        <v>39.1188</v>
      </c>
      <c r="D186" s="191">
        <f t="shared" si="11"/>
        <v>1721.2272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60</v>
      </c>
      <c r="B187" s="193">
        <f>'Données projet'!D175</f>
        <v>711</v>
      </c>
      <c r="C187" s="206">
        <f>44*'Données projet'!E175+19.4*SUM('Données projet'!F175:G175)+'Données projet'!H175*10</f>
        <v>41.462400000000002</v>
      </c>
      <c r="D187" s="191">
        <f t="shared" si="11"/>
        <v>29479.7664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>Merisier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>
        <v>1858</v>
      </c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25</v>
      </c>
      <c r="B209" s="193">
        <f>'Données projet'!D192</f>
        <v>0</v>
      </c>
      <c r="C209" s="206">
        <f>80*'Données projet'!E192+13.8*SUM('Données projet'!F192:G192)+'Données projet'!H192*10</f>
        <v>10</v>
      </c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30</v>
      </c>
      <c r="B210" s="193">
        <f>'Données projet'!D193</f>
        <v>0</v>
      </c>
      <c r="C210" s="206">
        <f>80*'Données projet'!E193+13.8*SUM('Données projet'!F193:G193)+'Données projet'!H193*10</f>
        <v>10</v>
      </c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35</v>
      </c>
      <c r="B211" s="193">
        <f>'Données projet'!D194</f>
        <v>13</v>
      </c>
      <c r="C211" s="206">
        <f>80*'Données projet'!E194+13.8*SUM('Données projet'!F194:G194)+'Données projet'!H194*10</f>
        <v>24</v>
      </c>
      <c r="D211" s="191">
        <f t="shared" si="12"/>
        <v>312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40</v>
      </c>
      <c r="B212" s="193">
        <f>'Données projet'!D195</f>
        <v>14</v>
      </c>
      <c r="C212" s="206">
        <f>80*'Données projet'!E195+13.8*SUM('Données projet'!F195:G195)+'Données projet'!H195*10</f>
        <v>38</v>
      </c>
      <c r="D212" s="191">
        <f t="shared" si="12"/>
        <v>532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45</v>
      </c>
      <c r="B213" s="193">
        <f>'Données projet'!D196</f>
        <v>14</v>
      </c>
      <c r="C213" s="206">
        <f>80*'Données projet'!E196+13.8*SUM('Données projet'!F196:G196)+'Données projet'!H196*10</f>
        <v>52</v>
      </c>
      <c r="D213" s="191">
        <f t="shared" si="12"/>
        <v>728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50</v>
      </c>
      <c r="B214" s="193">
        <f>'Données projet'!D197</f>
        <v>14</v>
      </c>
      <c r="C214" s="206">
        <f>80*'Données projet'!E197+13.8*SUM('Données projet'!F197:G197)+'Données projet'!H197*10</f>
        <v>66</v>
      </c>
      <c r="D214" s="191">
        <f t="shared" si="12"/>
        <v>924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55</v>
      </c>
      <c r="B215" s="193">
        <f>'Données projet'!D198</f>
        <v>14</v>
      </c>
      <c r="C215" s="206">
        <f>80*'Données projet'!E198+13.8*SUM('Données projet'!F198:G198)+'Données projet'!H198*10</f>
        <v>66</v>
      </c>
      <c r="D215" s="191">
        <f t="shared" si="12"/>
        <v>924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60</v>
      </c>
      <c r="B216" s="193">
        <f>'Données projet'!D199</f>
        <v>148</v>
      </c>
      <c r="C216" s="206">
        <f>80*'Données projet'!E199+13.8*SUM('Données projet'!F199:G199)+'Données projet'!H199*10</f>
        <v>73</v>
      </c>
      <c r="D216" s="191">
        <f t="shared" si="12"/>
        <v>10804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Helena</cp:lastModifiedBy>
  <dcterms:created xsi:type="dcterms:W3CDTF">2021-02-01T08:22:39Z</dcterms:created>
  <dcterms:modified xsi:type="dcterms:W3CDTF">2022-04-21T14:17:01Z</dcterms:modified>
</cp:coreProperties>
</file>