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Coopératives partenaires\FBE\Hombourg Budange\"/>
    </mc:Choice>
  </mc:AlternateContent>
  <xr:revisionPtr revIDLastSave="0" documentId="13_ncr:1_{AF6BF53F-7A4D-4535-A4DB-D354BADBCBDE}" xr6:coauthVersionLast="36" xr6:coauthVersionMax="36" xr10:uidLastSave="{00000000-0000-0000-0000-000000000000}"/>
  <bookViews>
    <workbookView xWindow="0" yWindow="0" windowWidth="28800" windowHeight="12615" tabRatio="866" activeTab="2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<sst xmlns="http://schemas.openxmlformats.org/spreadsheetml/2006/main" count="1170" uniqueCount="324">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</sst>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1.8200025993930129</c:v>
                </c:pt>
                <c:pt idx="2">
                  <c:v>2.2271460557143614</c:v>
                </c:pt>
                <c:pt idx="3">
                  <c:v>2.7257223408805653</c:v>
                </c:pt>
                <c:pt idx="4">
                  <c:v>3.3363396054005867</c:v>
                </c:pt>
                <c:pt idx="5">
                  <c:v>4.0842667492458071</c:v>
                </c:pt>
                <c:pt idx="6">
                  <c:v>5.0004908413387135</c:v>
                </c:pt>
                <c:pt idx="7">
                  <c:v>6.1230151459017179</c:v>
                </c:pt>
                <c:pt idx="8">
                  <c:v>7.4984526507519211</c:v>
                </c:pt>
                <c:pt idx="9">
                  <c:v>9.1839825477855648</c:v>
                </c:pt>
                <c:pt idx="10">
                  <c:v>11.249752548961022</c:v>
                </c:pt>
                <c:pt idx="11">
                  <c:v>13.781828893065741</c:v>
                </c:pt>
                <c:pt idx="12">
                  <c:v>16.885819222543173</c:v>
                </c:pt>
                <c:pt idx="13">
                  <c:v>20.691322185911719</c:v>
                </c:pt>
                <c:pt idx="14">
                  <c:v>25.357392880378381</c:v>
                </c:pt>
                <c:pt idx="15">
                  <c:v>31.079256605083973</c:v>
                </c:pt>
                <c:pt idx="16">
                  <c:v>38.096556710736088</c:v>
                </c:pt>
                <c:pt idx="17">
                  <c:v>46.703487898146385</c:v>
                </c:pt>
                <c:pt idx="18">
                  <c:v>57.261246956647234</c:v>
                </c:pt>
                <c:pt idx="19">
                  <c:v>70.213332114011521</c:v>
                </c:pt>
                <c:pt idx="20">
                  <c:v>86.104344163215728</c:v>
                </c:pt>
                <c:pt idx="21">
                  <c:v>105.60309259425624</c:v>
                </c:pt>
                <c:pt idx="22">
                  <c:v>129.53099456014468</c:v>
                </c:pt>
                <c:pt idx="23">
                  <c:v>158.89698160706655</c:v>
                </c:pt>
                <c:pt idx="24">
                  <c:v>194.94040849944534</c:v>
                </c:pt>
                <c:pt idx="25">
                  <c:v>239.18380223416941</c:v>
                </c:pt>
                <c:pt idx="26">
                  <c:v>293.49771231347631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0" zoomScale="90" zoomScaleNormal="90" workbookViewId="0">
      <selection activeCell="H24" sqref="H2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129</v>
      </c>
      <c r="C9" s="35">
        <v>1</v>
      </c>
      <c r="D9" s="36">
        <f t="shared" ref="D9:D18" si="0">C9*$C$5</f>
        <v>2.7</v>
      </c>
      <c r="E9" s="37">
        <v>26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Robusta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26</v>
      </c>
      <c r="B36" s="63">
        <v>233.48</v>
      </c>
      <c r="C36" s="63">
        <v>1</v>
      </c>
      <c r="D36" s="63">
        <v>233.48</v>
      </c>
      <c r="E36" s="54">
        <v>0.9</v>
      </c>
      <c r="F36" s="54">
        <v>0.1</v>
      </c>
      <c r="G36" s="54"/>
      <c r="H36" s="54"/>
      <c r="I36" s="52">
        <f>IFERROR(B36/A36,"")</f>
        <v>8.98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abSelected="1" zoomScale="115" zoomScaleNormal="115" workbookViewId="0">
      <selection activeCell="E20" sqref="E2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Robusta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74.447287056432231</v>
      </c>
      <c r="T3" s="62">
        <f>IF('Données projet'!E9&gt;30,$R$33-$H$33,LOOKUP('Données projet'!$E$9,$A$3:$A$203,R3:R203)-LOOKUP('Données projet'!$E$9,$A$3:$A$203,$H$3:$H$203))</f>
        <v>325.27549009125408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8.98</v>
      </c>
      <c r="N4" s="14">
        <f>IF('Données projet'!$A$36&gt;35,N3+M4-V3,IF(A4&lt;'Données projet'!$A$36,$K$205^A4,IF(A4='Données projet'!$A$36,'Données projet'!$B$36,N3+M4-V3)))</f>
        <v>1.233350534411829</v>
      </c>
      <c r="O4" s="14">
        <f>N4*VLOOKUP('Données projet'!$B$9,Paramètres!$A$1:$I$89,3,0)*VLOOKUP('Données projet'!$B$9,Paramètres!$A$1:$I$89,5,0)</f>
        <v>0.70611784796146027</v>
      </c>
      <c r="P4" s="14">
        <f>EXP(-1.0587+0.8836*LN(O4)+0.284)</f>
        <v>0.33885972106802087</v>
      </c>
      <c r="Q4" s="22">
        <f t="shared" ref="Q4:Q34" si="2">(O4+P4)*0.475*44/12</f>
        <v>1.8200025993930129</v>
      </c>
      <c r="R4" s="62">
        <f t="shared" si="0"/>
        <v>259.70889148828189</v>
      </c>
      <c r="S4" s="62">
        <f ca="1">AVERAGE(OFFSET($R$3,0,0,'Données projet'!$E$9+1,1))-AVERAGE(OFFSET($H$3,0,0,'Données projet'!$E$9+1,1))</f>
        <v>74.447287056432231</v>
      </c>
      <c r="T4" s="62">
        <f>$T$3</f>
        <v>325.27549009125408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8.98</v>
      </c>
      <c r="N5" s="14">
        <f>IF('Données projet'!$A$36&gt;35,N4+M5-V4,IF(A5&lt;'Données projet'!$A$36,$K$205^A5,IF(A5='Données projet'!$A$36,'Données projet'!$B$36,N4+M5-V4)))</f>
        <v>1.521153540733944</v>
      </c>
      <c r="O5" s="14">
        <f>N5*VLOOKUP('Données projet'!$B$9,Paramètres!$A$1:$I$89,3,0)*VLOOKUP('Données projet'!$B$9,Paramètres!$A$1:$I$89,5,0)</f>
        <v>0.87089082514099758</v>
      </c>
      <c r="P5" s="14">
        <f t="shared" ref="P5:P68" si="33">EXP(-1.0587+0.8836*LN(O5)+0.284)</f>
        <v>0.40785332168064536</v>
      </c>
      <c r="Q5" s="22">
        <f t="shared" si="2"/>
        <v>2.2271460557143614</v>
      </c>
      <c r="R5" s="62">
        <f t="shared" si="0"/>
        <v>261.33825716682549</v>
      </c>
      <c r="S5" s="62">
        <f ca="1">AVERAGE(OFFSET($R$3,0,0,'Données projet'!$E$9+1,1))-AVERAGE(OFFSET($H$3,0,0,'Données projet'!$E$9+1,1))</f>
        <v>74.447287056432231</v>
      </c>
      <c r="T5" s="62">
        <f t="shared" ref="T5:T68" si="34">$T$3</f>
        <v>325.27549009125408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8.98</v>
      </c>
      <c r="N6" s="14">
        <f>IF('Données projet'!$A$36&gt;35,N5+M6-V5,IF(A6&lt;'Données projet'!$A$36,$K$205^A6,IF(A6='Données projet'!$A$36,'Données projet'!$B$36,N5+M6-V5)))</f>
        <v>1.8761155323866556</v>
      </c>
      <c r="O6" s="14">
        <f>N6*VLOOKUP('Données projet'!$B$9,Paramètres!$A$1:$I$89,3,0)*VLOOKUP('Données projet'!$B$9,Paramètres!$A$1:$I$89,5,0)</f>
        <v>1.0741136646020082</v>
      </c>
      <c r="P6" s="14">
        <f t="shared" si="33"/>
        <v>0.49089437800884267</v>
      </c>
      <c r="Q6" s="22">
        <f t="shared" si="2"/>
        <v>2.7257223408805653</v>
      </c>
      <c r="R6" s="62">
        <f t="shared" si="0"/>
        <v>263.05905567421388</v>
      </c>
      <c r="S6" s="62">
        <f ca="1">AVERAGE(OFFSET($R$3,0,0,'Données projet'!$E$9+1,1))-AVERAGE(OFFSET($H$3,0,0,'Données projet'!$E$9+1,1))</f>
        <v>74.447287056432231</v>
      </c>
      <c r="T6" s="62">
        <f t="shared" si="34"/>
        <v>325.27549009125408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8.98</v>
      </c>
      <c r="N7" s="14">
        <f>IF('Données projet'!$A$36&gt;35,N6+M7-V6,IF(A7&lt;'Données projet'!$A$36,$K$205^A7,IF(A7='Données projet'!$A$36,'Données projet'!$B$36,N6+M7-V6)))</f>
        <v>2.3139080944874149</v>
      </c>
      <c r="O7" s="14">
        <f>N7*VLOOKUP('Données projet'!$B$9,Paramètres!$A$1:$I$89,3,0)*VLOOKUP('Données projet'!$B$9,Paramètres!$A$1:$I$89,5,0)</f>
        <v>1.3247586622559346</v>
      </c>
      <c r="P7" s="14">
        <f t="shared" si="33"/>
        <v>0.59084302505540687</v>
      </c>
      <c r="Q7" s="22">
        <f t="shared" si="2"/>
        <v>3.3363396054005867</v>
      </c>
      <c r="R7" s="62">
        <f t="shared" si="0"/>
        <v>264.89189516095615</v>
      </c>
      <c r="S7" s="62">
        <f ca="1">AVERAGE(OFFSET($R$3,0,0,'Données projet'!$E$9+1,1))-AVERAGE(OFFSET($H$3,0,0,'Données projet'!$E$9+1,1))</f>
        <v>74.447287056432231</v>
      </c>
      <c r="T7" s="62">
        <f t="shared" si="34"/>
        <v>325.27549009125408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8.98</v>
      </c>
      <c r="N8" s="14">
        <f>IF('Données projet'!$A$36&gt;35,N7+M8-V7,IF(A8&lt;'Données projet'!$A$36,$K$205^A8,IF(A8='Données projet'!$A$36,'Données projet'!$B$36,N7+M8-V7)))</f>
        <v>2.85385978491591</v>
      </c>
      <c r="O8" s="14">
        <f>N8*VLOOKUP('Données projet'!$B$9,Paramètres!$A$1:$I$89,3,0)*VLOOKUP('Données projet'!$B$9,Paramètres!$A$1:$I$89,5,0)</f>
        <v>1.6338918040600567</v>
      </c>
      <c r="P8" s="14">
        <f t="shared" si="33"/>
        <v>0.71114173617677023</v>
      </c>
      <c r="Q8" s="22">
        <f t="shared" si="2"/>
        <v>4.0842667492458071</v>
      </c>
      <c r="R8" s="62">
        <f t="shared" si="0"/>
        <v>266.86204452702356</v>
      </c>
      <c r="S8" s="62">
        <f ca="1">AVERAGE(OFFSET($R$3,0,0,'Données projet'!$E$9+1,1))-AVERAGE(OFFSET($H$3,0,0,'Données projet'!$E$9+1,1))</f>
        <v>74.447287056432231</v>
      </c>
      <c r="T8" s="62">
        <f t="shared" si="34"/>
        <v>325.27549009125408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8.98</v>
      </c>
      <c r="N9" s="14">
        <f>IF('Données projet'!$A$36&gt;35,N8+M9-V8,IF(A9&lt;'Données projet'!$A$36,$K$205^A9,IF(A9='Données projet'!$A$36,'Données projet'!$B$36,N8+M9-V8)))</f>
        <v>3.5198094908624649</v>
      </c>
      <c r="O9" s="14">
        <f>N9*VLOOKUP('Données projet'!$B$9,Paramètres!$A$1:$I$89,3,0)*VLOOKUP('Données projet'!$B$9,Paramètres!$A$1:$I$89,5,0)</f>
        <v>2.0151613297085786</v>
      </c>
      <c r="P9" s="14">
        <f t="shared" si="33"/>
        <v>0.8559338901988166</v>
      </c>
      <c r="Q9" s="22">
        <f t="shared" si="2"/>
        <v>5.0004908413387135</v>
      </c>
      <c r="R9" s="62">
        <f t="shared" si="0"/>
        <v>269.00049084133872</v>
      </c>
      <c r="S9" s="62">
        <f ca="1">AVERAGE(OFFSET($R$3,0,0,'Données projet'!$E$9+1,1))-AVERAGE(OFFSET($H$3,0,0,'Données projet'!$E$9+1,1))</f>
        <v>74.447287056432231</v>
      </c>
      <c r="T9" s="62">
        <f t="shared" si="34"/>
        <v>325.27549009125408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8.98</v>
      </c>
      <c r="N10" s="14">
        <f>IF('Données projet'!$A$36&gt;35,N9+M10-V9,IF(A10&lt;'Données projet'!$A$36,$K$205^A10,IF(A10='Données projet'!$A$36,'Données projet'!$B$36,N9+M10-V9)))</f>
        <v>4.3411589165830478</v>
      </c>
      <c r="O10" s="14">
        <f>N10*VLOOKUP('Données projet'!$B$9,Paramètres!$A$1:$I$89,3,0)*VLOOKUP('Données projet'!$B$9,Paramètres!$A$1:$I$89,5,0)</f>
        <v>2.4854003029221268</v>
      </c>
      <c r="P10" s="14">
        <f t="shared" si="33"/>
        <v>1.0302064794137882</v>
      </c>
      <c r="Q10" s="22">
        <f t="shared" si="2"/>
        <v>6.1230151459017179</v>
      </c>
      <c r="R10" s="62">
        <f t="shared" si="0"/>
        <v>271.34523736812395</v>
      </c>
      <c r="S10" s="62">
        <f ca="1">AVERAGE(OFFSET($R$3,0,0,'Données projet'!$E$9+1,1))-AVERAGE(OFFSET($H$3,0,0,'Données projet'!$E$9+1,1))</f>
        <v>74.447287056432231</v>
      </c>
      <c r="T10" s="62">
        <f t="shared" si="34"/>
        <v>325.27549009125408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8.98</v>
      </c>
      <c r="N11" s="14">
        <f>IF('Données projet'!$A$36&gt;35,N10+M11-V10,IF(A11&lt;'Données projet'!$A$36,$K$205^A11,IF(A11='Données projet'!$A$36,'Données projet'!$B$36,N10+M11-V10)))</f>
        <v>5.3541706697343789</v>
      </c>
      <c r="O11" s="14">
        <f>N11*VLOOKUP('Données projet'!$B$9,Paramètres!$A$1:$I$89,3,0)*VLOOKUP('Données projet'!$B$9,Paramètres!$A$1:$I$89,5,0)</f>
        <v>3.0653697918363267</v>
      </c>
      <c r="P11" s="14">
        <f t="shared" si="33"/>
        <v>1.2399618736671676</v>
      </c>
      <c r="Q11" s="22">
        <f t="shared" si="2"/>
        <v>7.4984526507519211</v>
      </c>
      <c r="R11" s="62">
        <f t="shared" si="0"/>
        <v>273.94289709519637</v>
      </c>
      <c r="S11" s="62">
        <f ca="1">AVERAGE(OFFSET($R$3,0,0,'Données projet'!$E$9+1,1))-AVERAGE(OFFSET($H$3,0,0,'Données projet'!$E$9+1,1))</f>
        <v>74.447287056432231</v>
      </c>
      <c r="T11" s="62">
        <f t="shared" si="34"/>
        <v>325.27549009125408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8.98</v>
      </c>
      <c r="N12" s="14">
        <f>IF('Données projet'!$A$36&gt;35,N11+M12-V11,IF(A12&lt;'Données projet'!$A$36,$K$205^A12,IF(A12='Données projet'!$A$36,'Données projet'!$B$36,N11+M12-V11)))</f>
        <v>6.6035692568490365</v>
      </c>
      <c r="O12" s="14">
        <f>N12*VLOOKUP('Données projet'!$B$9,Paramètres!$A$1:$I$89,3,0)*VLOOKUP('Données projet'!$B$9,Paramètres!$A$1:$I$89,5,0)</f>
        <v>3.7806754709312105</v>
      </c>
      <c r="P12" s="14">
        <f t="shared" si="33"/>
        <v>1.4924245565054783</v>
      </c>
      <c r="Q12" s="22">
        <f t="shared" si="2"/>
        <v>9.1839825477855648</v>
      </c>
      <c r="R12" s="62">
        <f t="shared" si="0"/>
        <v>276.85064921445223</v>
      </c>
      <c r="S12" s="62">
        <f ca="1">AVERAGE(OFFSET($R$3,0,0,'Données projet'!$E$9+1,1))-AVERAGE(OFFSET($H$3,0,0,'Données projet'!$E$9+1,1))</f>
        <v>74.447287056432231</v>
      </c>
      <c r="T12" s="62">
        <f t="shared" si="34"/>
        <v>325.27549009125408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8.98</v>
      </c>
      <c r="N13" s="14">
        <f>IF('Données projet'!$A$36&gt;35,N12+M13-V12,IF(A13&lt;'Données projet'!$A$36,$K$205^A13,IF(A13='Données projet'!$A$36,'Données projet'!$B$36,N12+M13-V12)))</f>
        <v>8.1445156719602831</v>
      </c>
      <c r="O13" s="14">
        <f>N13*VLOOKUP('Données projet'!$B$9,Paramètres!$A$1:$I$89,3,0)*VLOOKUP('Données projet'!$B$9,Paramètres!$A$1:$I$89,5,0)</f>
        <v>4.6628981125107014</v>
      </c>
      <c r="P13" s="14">
        <f t="shared" si="33"/>
        <v>1.7962899538784016</v>
      </c>
      <c r="Q13" s="22">
        <f t="shared" si="2"/>
        <v>11.249752548961022</v>
      </c>
      <c r="R13" s="62">
        <f t="shared" si="0"/>
        <v>280.13864143784986</v>
      </c>
      <c r="S13" s="62">
        <f ca="1">AVERAGE(OFFSET($R$3,0,0,'Données projet'!$E$9+1,1))-AVERAGE(OFFSET($H$3,0,0,'Données projet'!$E$9+1,1))</f>
        <v>74.447287056432231</v>
      </c>
      <c r="T13" s="62">
        <f t="shared" si="34"/>
        <v>325.27549009125408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8.98</v>
      </c>
      <c r="N14" s="14">
        <f>IF('Données projet'!$A$36&gt;35,N13+M14-V13,IF(A14&lt;'Données projet'!$A$36,$K$205^A14,IF(A14='Données projet'!$A$36,'Données projet'!$B$36,N13+M14-V13)))</f>
        <v>10.045042756537731</v>
      </c>
      <c r="O14" s="14">
        <f>N14*VLOOKUP('Données projet'!$B$9,Paramètres!$A$1:$I$89,3,0)*VLOOKUP('Données projet'!$B$9,Paramètres!$A$1:$I$89,5,0)</f>
        <v>5.7509878789729818</v>
      </c>
      <c r="P14" s="14">
        <f t="shared" si="33"/>
        <v>2.1620239256580653</v>
      </c>
      <c r="Q14" s="22">
        <f t="shared" si="2"/>
        <v>13.781828893065741</v>
      </c>
      <c r="R14" s="62">
        <f t="shared" si="0"/>
        <v>283.89294000417686</v>
      </c>
      <c r="S14" s="62">
        <f ca="1">AVERAGE(OFFSET($R$3,0,0,'Données projet'!$E$9+1,1))-AVERAGE(OFFSET($H$3,0,0,'Données projet'!$E$9+1,1))</f>
        <v>74.447287056432231</v>
      </c>
      <c r="T14" s="62">
        <f t="shared" si="34"/>
        <v>325.27549009125408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8.98</v>
      </c>
      <c r="N15" s="14">
        <f>IF('Données projet'!$A$36&gt;35,N14+M15-V14,IF(A15&lt;'Données projet'!$A$36,$K$205^A15,IF(A15='Données projet'!$A$36,'Données projet'!$B$36,N14+M15-V14)))</f>
        <v>12.389058851965483</v>
      </c>
      <c r="O15" s="14">
        <f>N15*VLOOKUP('Données projet'!$B$9,Paramètres!$A$1:$I$89,3,0)*VLOOKUP('Données projet'!$B$9,Paramètres!$A$1:$I$89,5,0)</f>
        <v>7.0929839739272795</v>
      </c>
      <c r="P15" s="14">
        <f t="shared" si="33"/>
        <v>2.6022232351884198</v>
      </c>
      <c r="Q15" s="22">
        <f t="shared" si="2"/>
        <v>16.885819222543173</v>
      </c>
      <c r="R15" s="62">
        <f t="shared" si="0"/>
        <v>288.21915255587646</v>
      </c>
      <c r="S15" s="62">
        <f ca="1">AVERAGE(OFFSET($R$3,0,0,'Données projet'!$E$9+1,1))-AVERAGE(OFFSET($H$3,0,0,'Données projet'!$E$9+1,1))</f>
        <v>74.447287056432231</v>
      </c>
      <c r="T15" s="62">
        <f t="shared" si="34"/>
        <v>325.27549009125408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8.98</v>
      </c>
      <c r="N16" s="14">
        <f>IF('Données projet'!$A$36&gt;35,N15+M16-V15,IF(A16&lt;'Données projet'!$A$36,$K$205^A16,IF(A16='Données projet'!$A$36,'Données projet'!$B$36,N15+M16-V15)))</f>
        <v>15.280052355931229</v>
      </c>
      <c r="O16" s="14">
        <f>N16*VLOOKUP('Données projet'!$B$9,Paramètres!$A$1:$I$89,3,0)*VLOOKUP('Données projet'!$B$9,Paramètres!$A$1:$I$89,5,0)</f>
        <v>8.7481355748177467</v>
      </c>
      <c r="P16" s="14">
        <f t="shared" si="33"/>
        <v>3.1320494123086027</v>
      </c>
      <c r="Q16" s="22">
        <f t="shared" si="2"/>
        <v>20.691322185911719</v>
      </c>
      <c r="R16" s="62">
        <f t="shared" si="0"/>
        <v>293.24687774146724</v>
      </c>
      <c r="S16" s="62">
        <f ca="1">AVERAGE(OFFSET($R$3,0,0,'Données projet'!$E$9+1,1))-AVERAGE(OFFSET($H$3,0,0,'Données projet'!$E$9+1,1))</f>
        <v>74.447287056432231</v>
      </c>
      <c r="T16" s="62">
        <f t="shared" si="34"/>
        <v>325.27549009125408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8.98</v>
      </c>
      <c r="N17" s="14">
        <f>IF('Données projet'!$A$36&gt;35,N16+M17-V16,IF(A17&lt;'Données projet'!$A$36,$K$205^A17,IF(A17='Données projet'!$A$36,'Données projet'!$B$36,N16+M17-V16)))</f>
        <v>18.845660739028506</v>
      </c>
      <c r="O17" s="14">
        <f>N17*VLOOKUP('Données projet'!$B$9,Paramètres!$A$1:$I$89,3,0)*VLOOKUP('Données projet'!$B$9,Paramètres!$A$1:$I$89,5,0)</f>
        <v>10.789517686308601</v>
      </c>
      <c r="P17" s="14">
        <f t="shared" si="33"/>
        <v>3.7697509531431015</v>
      </c>
      <c r="Q17" s="22">
        <f t="shared" si="2"/>
        <v>25.357392880378381</v>
      </c>
      <c r="R17" s="62">
        <f t="shared" si="0"/>
        <v>299.13517065815614</v>
      </c>
      <c r="S17" s="62">
        <f ca="1">AVERAGE(OFFSET($R$3,0,0,'Données projet'!$E$9+1,1))-AVERAGE(OFFSET($H$3,0,0,'Données projet'!$E$9+1,1))</f>
        <v>74.447287056432231</v>
      </c>
      <c r="T17" s="62">
        <f t="shared" si="34"/>
        <v>325.27549009125408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8.98</v>
      </c>
      <c r="N18" s="14">
        <f>IF('Données projet'!$A$36&gt;35,N17+M18-V17,IF(A18&lt;'Données projet'!$A$36,$K$205^A18,IF(A18='Données projet'!$A$36,'Données projet'!$B$36,N17+M18-V17)))</f>
        <v>23.243305743824827</v>
      </c>
      <c r="O18" s="14">
        <f>N18*VLOOKUP('Données projet'!$B$9,Paramètres!$A$1:$I$89,3,0)*VLOOKUP('Données projet'!$B$9,Paramètres!$A$1:$I$89,5,0)</f>
        <v>13.307257404454589</v>
      </c>
      <c r="P18" s="14">
        <f t="shared" si="33"/>
        <v>4.5372918424835786</v>
      </c>
      <c r="Q18" s="22">
        <f t="shared" si="2"/>
        <v>31.079256605083973</v>
      </c>
      <c r="R18" s="62">
        <f t="shared" si="0"/>
        <v>306.07925660508397</v>
      </c>
      <c r="S18" s="62">
        <f ca="1">AVERAGE(OFFSET($R$3,0,0,'Données projet'!$E$9+1,1))-AVERAGE(OFFSET($H$3,0,0,'Données projet'!$E$9+1,1))</f>
        <v>74.447287056432231</v>
      </c>
      <c r="T18" s="62">
        <f t="shared" si="34"/>
        <v>325.27549009125408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8.98</v>
      </c>
      <c r="N19" s="14">
        <f>IF('Données projet'!$A$36&gt;35,N18+M19-V18,IF(A19&lt;'Données projet'!$A$36,$K$205^A19,IF(A19='Données projet'!$A$36,'Données projet'!$B$36,N18+M19-V18)))</f>
        <v>28.667143560643886</v>
      </c>
      <c r="O19" s="14">
        <f>N19*VLOOKUP('Données projet'!$B$9,Paramètres!$A$1:$I$89,3,0)*VLOOKUP('Données projet'!$B$9,Paramètres!$A$1:$I$89,5,0)</f>
        <v>16.412513031339838</v>
      </c>
      <c r="P19" s="14">
        <f t="shared" si="33"/>
        <v>5.4611080465947586</v>
      </c>
      <c r="Q19" s="22">
        <f t="shared" si="2"/>
        <v>38.096556710736088</v>
      </c>
      <c r="R19" s="62">
        <f t="shared" si="0"/>
        <v>314.31877893295831</v>
      </c>
      <c r="S19" s="62">
        <f ca="1">AVERAGE(OFFSET($R$3,0,0,'Données projet'!$E$9+1,1))-AVERAGE(OFFSET($H$3,0,0,'Données projet'!$E$9+1,1))</f>
        <v>74.447287056432231</v>
      </c>
      <c r="T19" s="62">
        <f t="shared" si="34"/>
        <v>325.27549009125408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8.98</v>
      </c>
      <c r="N20" s="14">
        <f>IF('Données projet'!$A$36&gt;35,N19+M20-V19,IF(A20&lt;'Données projet'!$A$36,$K$205^A20,IF(A20='Données projet'!$A$36,'Données projet'!$B$36,N19+M20-V19)))</f>
        <v>35.356636830580761</v>
      </c>
      <c r="O20" s="14">
        <f>N20*VLOOKUP('Données projet'!$B$9,Paramètres!$A$1:$I$89,3,0)*VLOOKUP('Données projet'!$B$9,Paramètres!$A$1:$I$89,5,0)</f>
        <v>20.242381718244097</v>
      </c>
      <c r="P20" s="14">
        <f t="shared" si="33"/>
        <v>6.5730180318878029</v>
      </c>
      <c r="Q20" s="22">
        <f t="shared" si="2"/>
        <v>46.703487898146385</v>
      </c>
      <c r="R20" s="62">
        <f t="shared" si="0"/>
        <v>324.14793234259082</v>
      </c>
      <c r="S20" s="62">
        <f ca="1">AVERAGE(OFFSET($R$3,0,0,'Données projet'!$E$9+1,1))-AVERAGE(OFFSET($H$3,0,0,'Données projet'!$E$9+1,1))</f>
        <v>74.447287056432231</v>
      </c>
      <c r="T20" s="62">
        <f t="shared" si="34"/>
        <v>325.27549009125408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8.98</v>
      </c>
      <c r="N21" s="14">
        <f>IF('Données projet'!$A$36&gt;35,N20+M21-V20,IF(A21&lt;'Données projet'!$A$36,$K$205^A21,IF(A21='Données projet'!$A$36,'Données projet'!$B$36,N20+M21-V20)))</f>
        <v>43.607126930001733</v>
      </c>
      <c r="O21" s="14">
        <f>N21*VLOOKUP('Données projet'!$B$9,Paramètres!$A$1:$I$89,3,0)*VLOOKUP('Données projet'!$B$9,Paramètres!$A$1:$I$89,5,0)</f>
        <v>24.965952309964592</v>
      </c>
      <c r="P21" s="14">
        <f t="shared" si="33"/>
        <v>7.911318669928562</v>
      </c>
      <c r="Q21" s="22">
        <f t="shared" si="2"/>
        <v>57.261246956647234</v>
      </c>
      <c r="R21" s="62">
        <f t="shared" si="0"/>
        <v>335.92791362331394</v>
      </c>
      <c r="S21" s="62">
        <f ca="1">AVERAGE(OFFSET($R$3,0,0,'Données projet'!$E$9+1,1))-AVERAGE(OFFSET($H$3,0,0,'Données projet'!$E$9+1,1))</f>
        <v>74.447287056432231</v>
      </c>
      <c r="T21" s="62">
        <f t="shared" si="34"/>
        <v>325.27549009125408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8.98</v>
      </c>
      <c r="N22" s="14">
        <f>IF('Données projet'!$A$36&gt;35,N21+M22-V21,IF(A22&lt;'Données projet'!$A$36,$K$205^A22,IF(A22='Données projet'!$A$36,'Données projet'!$B$36,N21+M22-V21)))</f>
        <v>53.782873303282088</v>
      </c>
      <c r="O22" s="14">
        <f>N22*VLOOKUP('Données projet'!$B$9,Paramètres!$A$1:$I$89,3,0)*VLOOKUP('Données projet'!$B$9,Paramètres!$A$1:$I$89,5,0)</f>
        <v>30.79177062359506</v>
      </c>
      <c r="P22" s="14">
        <f t="shared" si="33"/>
        <v>9.5221042744019933</v>
      </c>
      <c r="Q22" s="22">
        <f t="shared" si="2"/>
        <v>70.213332114011521</v>
      </c>
      <c r="R22" s="62">
        <f t="shared" si="0"/>
        <v>350.10222100290036</v>
      </c>
      <c r="S22" s="62">
        <f ca="1">AVERAGE(OFFSET($R$3,0,0,'Données projet'!$E$9+1,1))-AVERAGE(OFFSET($H$3,0,0,'Données projet'!$E$9+1,1))</f>
        <v>74.447287056432231</v>
      </c>
      <c r="T22" s="62">
        <f t="shared" si="34"/>
        <v>325.27549009125408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8.98</v>
      </c>
      <c r="N23" s="14">
        <f>IF('Données projet'!$A$36&gt;35,N22+M23-V22,IF(A23&lt;'Données projet'!$A$36,$K$205^A23,IF(A23='Données projet'!$A$36,'Données projet'!$B$36,N22+M23-V22)))</f>
        <v>66.333135530806658</v>
      </c>
      <c r="O23" s="14">
        <f>N23*VLOOKUP('Données projet'!$B$9,Paramètres!$A$1:$I$89,3,0)*VLOOKUP('Données projet'!$B$9,Paramètres!$A$1:$I$89,5,0)</f>
        <v>37.977046754097429</v>
      </c>
      <c r="P23" s="14">
        <f t="shared" si="33"/>
        <v>11.460854200858972</v>
      </c>
      <c r="Q23" s="22">
        <f t="shared" si="2"/>
        <v>86.104344163215728</v>
      </c>
      <c r="R23" s="62">
        <f t="shared" si="0"/>
        <v>367.21545527432687</v>
      </c>
      <c r="S23" s="62">
        <f ca="1">AVERAGE(OFFSET($R$3,0,0,'Données projet'!$E$9+1,1))-AVERAGE(OFFSET($H$3,0,0,'Données projet'!$E$9+1,1))</f>
        <v>74.447287056432231</v>
      </c>
      <c r="T23" s="62">
        <f t="shared" si="34"/>
        <v>325.27549009125408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8.98</v>
      </c>
      <c r="N24" s="14">
        <f>IF('Données projet'!$A$36&gt;35,N23+M24-V23,IF(A24&lt;'Données projet'!$A$36,$K$205^A24,IF(A24='Données projet'!$A$36,'Données projet'!$B$36,N23+M24-V23)))</f>
        <v>81.812008156132677</v>
      </c>
      <c r="O24" s="14">
        <f>N24*VLOOKUP('Données projet'!$B$9,Paramètres!$A$1:$I$89,3,0)*VLOOKUP('Données projet'!$B$9,Paramètres!$A$1:$I$89,5,0)</f>
        <v>46.839010909549081</v>
      </c>
      <c r="P24" s="14">
        <f t="shared" si="33"/>
        <v>13.79434369002389</v>
      </c>
      <c r="Q24" s="22">
        <f t="shared" si="2"/>
        <v>105.60309259425624</v>
      </c>
      <c r="R24" s="62">
        <f t="shared" si="0"/>
        <v>387.93642592758954</v>
      </c>
      <c r="S24" s="62">
        <f ca="1">AVERAGE(OFFSET($R$3,0,0,'Données projet'!$E$9+1,1))-AVERAGE(OFFSET($H$3,0,0,'Données projet'!$E$9+1,1))</f>
        <v>74.447287056432231</v>
      </c>
      <c r="T24" s="62">
        <f t="shared" si="34"/>
        <v>325.27549009125408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8.98</v>
      </c>
      <c r="N25" s="14">
        <f>IF('Données projet'!$A$36&gt;35,N24+M25-V24,IF(A25&lt;'Données projet'!$A$36,$K$205^A25,IF(A25='Données projet'!$A$36,'Données projet'!$B$36,N24+M25-V24)))</f>
        <v>100.90288398067115</v>
      </c>
      <c r="O25" s="14">
        <f>N25*VLOOKUP('Données projet'!$B$9,Paramètres!$A$1:$I$89,3,0)*VLOOKUP('Données projet'!$B$9,Paramètres!$A$1:$I$89,5,0)</f>
        <v>57.768919136613846</v>
      </c>
      <c r="P25" s="14">
        <f t="shared" si="33"/>
        <v>16.602943768732388</v>
      </c>
      <c r="Q25" s="22">
        <f t="shared" si="2"/>
        <v>129.53099456014468</v>
      </c>
      <c r="R25" s="62">
        <f t="shared" si="0"/>
        <v>413.08655011570022</v>
      </c>
      <c r="S25" s="62">
        <f ca="1">AVERAGE(OFFSET($R$3,0,0,'Données projet'!$E$9+1,1))-AVERAGE(OFFSET($H$3,0,0,'Données projet'!$E$9+1,1))</f>
        <v>74.447287056432231</v>
      </c>
      <c r="T25" s="62">
        <f t="shared" si="34"/>
        <v>325.27549009125408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8.98</v>
      </c>
      <c r="N26" s="14">
        <f>IF('Données projet'!$A$36&gt;35,N25+M26-V25,IF(A26&lt;'Données projet'!$A$36,$K$205^A26,IF(A26='Données projet'!$A$36,'Données projet'!$B$36,N25+M26-V25)))</f>
        <v>124.44862588125551</v>
      </c>
      <c r="O26" s="14">
        <f>N26*VLOOKUP('Données projet'!$B$9,Paramètres!$A$1:$I$89,3,0)*VLOOKUP('Données projet'!$B$9,Paramètres!$A$1:$I$89,5,0)</f>
        <v>71.24932728953641</v>
      </c>
      <c r="P26" s="14">
        <f t="shared" si="33"/>
        <v>19.983389422654902</v>
      </c>
      <c r="Q26" s="22">
        <f t="shared" si="2"/>
        <v>158.89698160706655</v>
      </c>
      <c r="R26" s="62">
        <f t="shared" si="0"/>
        <v>443.67475938484432</v>
      </c>
      <c r="S26" s="62">
        <f ca="1">AVERAGE(OFFSET($R$3,0,0,'Données projet'!$E$9+1,1))-AVERAGE(OFFSET($H$3,0,0,'Données projet'!$E$9+1,1))</f>
        <v>74.447287056432231</v>
      </c>
      <c r="T26" s="62">
        <f t="shared" si="34"/>
        <v>325.27549009125408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8.98</v>
      </c>
      <c r="N27" s="14">
        <f>IF('Données projet'!$A$36&gt;35,N26+M27-V26,IF(A27&lt;'Données projet'!$A$36,$K$205^A27,IF(A27='Données projet'!$A$36,'Données projet'!$B$36,N26+M27-V26)))</f>
        <v>153.48877923746426</v>
      </c>
      <c r="O27" s="14">
        <f>N27*VLOOKUP('Données projet'!$B$9,Paramètres!$A$1:$I$89,3,0)*VLOOKUP('Données projet'!$B$9,Paramètres!$A$1:$I$89,5,0)</f>
        <v>87.875395889033044</v>
      </c>
      <c r="P27" s="14">
        <f t="shared" si="33"/>
        <v>24.052111383375756</v>
      </c>
      <c r="Q27" s="22">
        <f t="shared" si="2"/>
        <v>194.94040849944534</v>
      </c>
      <c r="R27" s="62">
        <f t="shared" si="0"/>
        <v>480.94040849944531</v>
      </c>
      <c r="S27" s="62">
        <f ca="1">AVERAGE(OFFSET($R$3,0,0,'Données projet'!$E$9+1,1))-AVERAGE(OFFSET($H$3,0,0,'Données projet'!$E$9+1,1))</f>
        <v>74.447287056432231</v>
      </c>
      <c r="T27" s="62">
        <f t="shared" si="34"/>
        <v>325.27549009125408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8.98</v>
      </c>
      <c r="N28" s="14">
        <f>IF('Données projet'!$A$36&gt;35,N27+M28-V27,IF(A28&lt;'Données projet'!$A$36,$K$205^A28,IF(A28='Données projet'!$A$36,'Données projet'!$B$36,N27+M28-V27)))</f>
        <v>189.3054678987458</v>
      </c>
      <c r="O28" s="14">
        <f>N28*VLOOKUP('Données projet'!$B$9,Paramètres!$A$1:$I$89,3,0)*VLOOKUP('Données projet'!$B$9,Paramètres!$A$1:$I$89,5,0)</f>
        <v>108.38116648138995</v>
      </c>
      <c r="P28" s="14">
        <f t="shared" si="33"/>
        <v>28.949246284640342</v>
      </c>
      <c r="Q28" s="22">
        <f t="shared" si="2"/>
        <v>239.18380223416941</v>
      </c>
      <c r="R28" s="62">
        <f t="shared" si="0"/>
        <v>526.40602445639161</v>
      </c>
      <c r="S28" s="62">
        <f ca="1">AVERAGE(OFFSET($R$3,0,0,'Données projet'!$E$9+1,1))-AVERAGE(OFFSET($H$3,0,0,'Données projet'!$E$9+1,1))</f>
        <v>74.447287056432231</v>
      </c>
      <c r="T28" s="62">
        <f t="shared" si="34"/>
        <v>325.27549009125408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>
        <f>VLOOKUP(A29,'Données projet'!$A$35:$I$55,2,0)</f>
        <v>233.48</v>
      </c>
      <c r="L29" s="13">
        <f>VLOOKUP(A29,'Données projet'!$A$35:$I$55,9,0)</f>
        <v>8.98</v>
      </c>
      <c r="M29" s="13">
        <f t="array" ref="M29">INDEX(L:L,MIN(IF(ISNUMBER(L29:L225),ROW(L29:L225),"")))</f>
        <v>8.98</v>
      </c>
      <c r="N29" s="14">
        <f>IF('Données projet'!$A$36&gt;35,N28+M29-V28,IF(A29&lt;'Données projet'!$A$36,$K$205^A29,IF(A29='Données projet'!$A$36,'Données projet'!$B$36,N28+M29-V28)))</f>
        <v>233.48</v>
      </c>
      <c r="O29" s="14">
        <f>N29*VLOOKUP('Données projet'!$B$9,Paramètres!$A$1:$I$89,3,0)*VLOOKUP('Données projet'!$B$9,Paramètres!$A$1:$I$89,5,0)</f>
        <v>133.67196959999998</v>
      </c>
      <c r="P29" s="14">
        <f t="shared" si="33"/>
        <v>34.843463307259171</v>
      </c>
      <c r="Q29" s="22">
        <f t="shared" si="2"/>
        <v>293.49771231347631</v>
      </c>
      <c r="R29" s="62">
        <f t="shared" si="0"/>
        <v>581.94215675792077</v>
      </c>
      <c r="S29" s="62">
        <f ca="1">AVERAGE(OFFSET($R$3,0,0,'Données projet'!$E$9+1,1))-AVERAGE(OFFSET($H$3,0,0,'Données projet'!$E$9+1,1))</f>
        <v>74.447287056432231</v>
      </c>
      <c r="T29" s="62">
        <f t="shared" si="34"/>
        <v>325.27549009125408</v>
      </c>
      <c r="U29" s="16">
        <f>IF(ISNA(VLOOKUP(A29,'Données projet'!$A$35:$I$55,3,0)),0,VLOOKUP(A29,'Données projet'!$A$35:$I$55,3,0))</f>
        <v>1</v>
      </c>
      <c r="V29" s="16">
        <f>IF(ISNA(VLOOKUP(A29,'Données projet'!$A$35:$I$55,4,0)),0,VLOOKUP(A29,'Données projet'!$A$35:$I$55,4,0))</f>
        <v>233.48</v>
      </c>
      <c r="W29" s="17">
        <f>IF(ISNA(VLOOKUP(A29,'Données projet'!$A$35:$I$55,5,0)),0%,VLOOKUP(A29,'Données projet'!$A$35:$I$55,5,0)*VLOOKUP('Données projet'!$B$9,Paramètres!$A$1:$I$89,7,0))</f>
        <v>0.54</v>
      </c>
      <c r="X29" s="17">
        <f>IF(ISNA(VLOOKUP(A29,'Données projet'!$A$35:$I$55,6,0)),0%,VLOOKUP(A29,'Données projet'!$A$35:$I$55,6,0)*VLOOKUP('Données projet'!$B$9,Paramètres!$A$1:$I$89,7,0))</f>
        <v>0.06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79.796017601979642</v>
      </c>
      <c r="AA29" s="23">
        <f>EXP(-LN(2)/25)*AA28+(1-EXP(-LN(2)/25))/(LN(2)/25)*Calculateur!V29*Calculateur!X29*VLOOKUP('Données projet'!$B$9,Paramètres!$A$1:$I$89,3,0)*0.475*44/12</f>
        <v>8.8313144751126931</v>
      </c>
      <c r="AB29" s="23">
        <f>EXP(-LN(2)/2)*AB28+(1-EXP(-LN(2)/2))/(LN(2)/2)*V29*Y29*VLOOKUP('Données projet'!$B$9,Paramètres!$A$1:$I$89,3,0)*0.475*44/12</f>
        <v>0</v>
      </c>
      <c r="AC29" s="24">
        <f t="shared" si="3"/>
        <v>88.627332077092333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74.447287056432231</v>
      </c>
      <c r="T30" s="62">
        <f t="shared" si="34"/>
        <v>325.27549009125408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78.231266367569717</v>
      </c>
      <c r="AA30" s="23">
        <f>EXP(-LN(2)/25)*AA29+(1-EXP(-LN(2)/25))/(LN(2)/25)*Calculateur!V30*Calculateur!X30*VLOOKUP('Données projet'!$B$9,Paramètres!$A$1:$I$89,3,0)*0.475*44/12</f>
        <v>8.5898217163720929</v>
      </c>
      <c r="AB30" s="23">
        <f>EXP(-LN(2)/2)*AB29+(1-EXP(-LN(2)/2))/(LN(2)/2)*V30*Y30*VLOOKUP('Données projet'!$B$9,Paramètres!$A$1:$I$89,3,0)*0.475*44/12</f>
        <v>0</v>
      </c>
      <c r="AC30" s="24">
        <f t="shared" si="3"/>
        <v>86.821088083941817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74.447287056432231</v>
      </c>
      <c r="T31" s="62">
        <f t="shared" si="34"/>
        <v>325.27549009125408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76.697198950462564</v>
      </c>
      <c r="AA31" s="23">
        <f>EXP(-LN(2)/25)*AA30+(1-EXP(-LN(2)/25))/(LN(2)/25)*Calculateur!V31*Calculateur!X31*VLOOKUP('Données projet'!$B$9,Paramètres!$A$1:$I$89,3,0)*0.475*44/12</f>
        <v>8.3549325898188069</v>
      </c>
      <c r="AB31" s="23">
        <f>EXP(-LN(2)/2)*AB30+(1-EXP(-LN(2)/2))/(LN(2)/2)*V31*Y31*VLOOKUP('Données projet'!$B$9,Paramètres!$A$1:$I$89,3,0)*0.475*44/12</f>
        <v>0</v>
      </c>
      <c r="AC31" s="24">
        <f t="shared" si="3"/>
        <v>85.052131540281366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74.447287056432231</v>
      </c>
      <c r="T32" s="62">
        <f t="shared" si="34"/>
        <v>325.27549009125408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75.19321365971615</v>
      </c>
      <c r="AA32" s="23">
        <f>EXP(-LN(2)/25)*AA31+(1-EXP(-LN(2)/25))/(LN(2)/25)*Calculateur!V32*Calculateur!X32*VLOOKUP('Données projet'!$B$9,Paramètres!$A$1:$I$89,3,0)*0.475*44/12</f>
        <v>8.1264665187834026</v>
      </c>
      <c r="AB32" s="23">
        <f>EXP(-LN(2)/2)*AB31+(1-EXP(-LN(2)/2))/(LN(2)/2)*V32*Y32*VLOOKUP('Données projet'!$B$9,Paramètres!$A$1:$I$89,3,0)*0.475*44/12</f>
        <v>0</v>
      </c>
      <c r="AC32" s="24">
        <f t="shared" si="3"/>
        <v>83.319680178499553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74.447287056432231</v>
      </c>
      <c r="T33" s="62">
        <f t="shared" si="34"/>
        <v>325.27549009125408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73.718720603180827</v>
      </c>
      <c r="AA33" s="23">
        <f>EXP(-LN(2)/25)*AA32+(1-EXP(-LN(2)/25))/(LN(2)/25)*Calculateur!V33*Calculateur!X33*VLOOKUP('Données projet'!$B$9,Paramètres!$A$1:$I$89,3,0)*0.475*44/12</f>
        <v>7.9042478644749696</v>
      </c>
      <c r="AB33" s="23">
        <f>EXP(-LN(2)/2)*AB32+(1-EXP(-LN(2)/2))/(LN(2)/2)*V33*Y33*VLOOKUP('Données projet'!$B$9,Paramètres!$A$1:$I$89,3,0)*0.475*44/12</f>
        <v>0</v>
      </c>
      <c r="AC33" s="24">
        <f t="shared" si="3"/>
        <v>81.622968467655795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74.447287056432231</v>
      </c>
      <c r="T34" s="62">
        <f t="shared" si="34"/>
        <v>325.27549009125408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72.273141456132194</v>
      </c>
      <c r="AA34" s="23">
        <f>EXP(-LN(2)/25)*AA33+(1-EXP(-LN(2)/25))/(LN(2)/25)*Calculateur!V34*Calculateur!X34*VLOOKUP('Données projet'!$B$9,Paramètres!$A$1:$I$89,3,0)*0.475*44/12</f>
        <v>7.6881057909545714</v>
      </c>
      <c r="AB34" s="23">
        <f>EXP(-LN(2)/2)*AB33+(1-EXP(-LN(2)/2))/(LN(2)/2)*V34*Y34*VLOOKUP('Données projet'!$B$9,Paramètres!$A$1:$I$89,3,0)*0.475*44/12</f>
        <v>0</v>
      </c>
      <c r="AC34" s="24">
        <f t="shared" si="3"/>
        <v>79.96124724708676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74.447287056432231</v>
      </c>
      <c r="T35" s="62">
        <f t="shared" si="34"/>
        <v>325.27549009125408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70.855909234440972</v>
      </c>
      <c r="AA35" s="23">
        <f>EXP(-LN(2)/25)*AA34+(1-EXP(-LN(2)/25))/(LN(2)/25)*Calculateur!V35*Calculateur!X35*VLOOKUP('Données projet'!$B$9,Paramètres!$A$1:$I$89,3,0)*0.475*44/12</f>
        <v>7.4778741338010066</v>
      </c>
      <c r="AB35" s="23">
        <f>EXP(-LN(2)/2)*AB34+(1-EXP(-LN(2)/2))/(LN(2)/2)*V35*Y35*VLOOKUP('Données projet'!$B$9,Paramètres!$A$1:$I$89,3,0)*0.475*44/12</f>
        <v>0</v>
      </c>
      <c r="AC35" s="24">
        <f t="shared" si="3"/>
        <v>78.333783368241981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74.447287056432231</v>
      </c>
      <c r="T36" s="62">
        <f t="shared" si="34"/>
        <v>325.27549009125408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69.466468072190807</v>
      </c>
      <c r="AA36" s="23">
        <f>EXP(-LN(2)/25)*AA35+(1-EXP(-LN(2)/25))/(LN(2)/25)*Calculateur!V36*Calculateur!X36*VLOOKUP('Données projet'!$B$9,Paramètres!$A$1:$I$89,3,0)*0.475*44/12</f>
        <v>7.2733912723679079</v>
      </c>
      <c r="AB36" s="23">
        <f>EXP(-LN(2)/2)*AB35+(1-EXP(-LN(2)/2))/(LN(2)/2)*V36*Y36*VLOOKUP('Données projet'!$B$9,Paramètres!$A$1:$I$89,3,0)*0.475*44/12</f>
        <v>0</v>
      </c>
      <c r="AC36" s="24">
        <f t="shared" si="3"/>
        <v>76.73985934455871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74.447287056432231</v>
      </c>
      <c r="T37" s="62">
        <f t="shared" si="34"/>
        <v>325.27549009125408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68.104273003656942</v>
      </c>
      <c r="AA37" s="23">
        <f>EXP(-LN(2)/25)*AA36+(1-EXP(-LN(2)/25))/(LN(2)/25)*Calculateur!V37*Calculateur!X37*VLOOKUP('Données projet'!$B$9,Paramètres!$A$1:$I$89,3,0)*0.475*44/12</f>
        <v>7.0745000055339844</v>
      </c>
      <c r="AB37" s="23">
        <f>EXP(-LN(2)/2)*AB36+(1-EXP(-LN(2)/2))/(LN(2)/2)*V37*Y37*VLOOKUP('Données projet'!$B$9,Paramètres!$A$1:$I$89,3,0)*0.475*44/12</f>
        <v>0</v>
      </c>
      <c r="AC37" s="24">
        <f t="shared" si="3"/>
        <v>75.178773009190934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74.447287056432231</v>
      </c>
      <c r="T38" s="62">
        <f t="shared" si="34"/>
        <v>325.27549009125408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66.768789749560071</v>
      </c>
      <c r="AA38" s="23">
        <f>EXP(-LN(2)/25)*AA37+(1-EXP(-LN(2)/25))/(LN(2)/25)*Calculateur!V38*Calculateur!X38*VLOOKUP('Données projet'!$B$9,Paramètres!$A$1:$I$89,3,0)*0.475*44/12</f>
        <v>6.8810474308508711</v>
      </c>
      <c r="AB38" s="23">
        <f>EXP(-LN(2)/2)*AB37+(1-EXP(-LN(2)/2))/(LN(2)/2)*V38*Y38*VLOOKUP('Données projet'!$B$9,Paramètres!$A$1:$I$89,3,0)*0.475*44/12</f>
        <v>0</v>
      </c>
      <c r="AC38" s="24">
        <f t="shared" si="3"/>
        <v>73.649837180410941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74.447287056432231</v>
      </c>
      <c r="T39" s="62">
        <f t="shared" si="34"/>
        <v>325.27549009125408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65.459494507511693</v>
      </c>
      <c r="AA39" s="23">
        <f>EXP(-LN(2)/25)*AA38+(1-EXP(-LN(2)/25))/(LN(2)/25)*Calculateur!V39*Calculateur!X39*VLOOKUP('Données projet'!$B$9,Paramètres!$A$1:$I$89,3,0)*0.475*44/12</f>
        <v>6.6928848269956962</v>
      </c>
      <c r="AB39" s="23">
        <f>EXP(-LN(2)/2)*AB38+(1-EXP(-LN(2)/2))/(LN(2)/2)*V39*Y39*VLOOKUP('Données projet'!$B$9,Paramètres!$A$1:$I$89,3,0)*0.475*44/12</f>
        <v>0</v>
      </c>
      <c r="AC39" s="24">
        <f t="shared" si="3"/>
        <v>72.152379334507387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74.447287056432231</v>
      </c>
      <c r="T40" s="62">
        <f t="shared" si="34"/>
        <v>325.27549009125408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64.175873746568641</v>
      </c>
      <c r="AA40" s="23">
        <f>EXP(-LN(2)/25)*AA39+(1-EXP(-LN(2)/25))/(LN(2)/25)*Calculateur!V40*Calculateur!X40*VLOOKUP('Données projet'!$B$9,Paramètres!$A$1:$I$89,3,0)*0.475*44/12</f>
        <v>6.509867539437983</v>
      </c>
      <c r="AB40" s="23">
        <f>EXP(-LN(2)/2)*AB39+(1-EXP(-LN(2)/2))/(LN(2)/2)*V40*Y40*VLOOKUP('Données projet'!$B$9,Paramètres!$A$1:$I$89,3,0)*0.475*44/12</f>
        <v>0</v>
      </c>
      <c r="AC40" s="24">
        <f t="shared" si="3"/>
        <v>70.685741286006618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74.447287056432231</v>
      </c>
      <c r="T41" s="62">
        <f t="shared" si="34"/>
        <v>325.27549009125408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62.917424005816322</v>
      </c>
      <c r="AA41" s="23">
        <f>EXP(-LN(2)/25)*AA40+(1-EXP(-LN(2)/25))/(LN(2)/25)*Calculateur!V41*Calculateur!X41*VLOOKUP('Données projet'!$B$9,Paramètres!$A$1:$I$89,3,0)*0.475*44/12</f>
        <v>6.3318548692329957</v>
      </c>
      <c r="AB41" s="23">
        <f>EXP(-LN(2)/2)*AB40+(1-EXP(-LN(2)/2))/(LN(2)/2)*V41*Y41*VLOOKUP('Données projet'!$B$9,Paramètres!$A$1:$I$89,3,0)*0.475*44/12</f>
        <v>0</v>
      </c>
      <c r="AC41" s="24">
        <f t="shared" si="3"/>
        <v>69.249278875049313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74.447287056432231</v>
      </c>
      <c r="T42" s="62">
        <f t="shared" si="34"/>
        <v>325.27549009125408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61.683651696901606</v>
      </c>
      <c r="AA42" s="23">
        <f>EXP(-LN(2)/25)*AA41+(1-EXP(-LN(2)/25))/(LN(2)/25)*Calculateur!V42*Calculateur!X42*VLOOKUP('Données projet'!$B$9,Paramètres!$A$1:$I$89,3,0)*0.475*44/12</f>
        <v>6.1587099648560431</v>
      </c>
      <c r="AB42" s="23">
        <f>EXP(-LN(2)/2)*AB41+(1-EXP(-LN(2)/2))/(LN(2)/2)*V42*Y42*VLOOKUP('Données projet'!$B$9,Paramètres!$A$1:$I$89,3,0)*0.475*44/12</f>
        <v>0</v>
      </c>
      <c r="AC42" s="24">
        <f t="shared" si="3"/>
        <v>67.84236166175765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74.447287056432231</v>
      </c>
      <c r="T43" s="62">
        <f t="shared" si="34"/>
        <v>325.27549009125408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60.474072910437904</v>
      </c>
      <c r="AA43" s="23">
        <f>EXP(-LN(2)/25)*AA42+(1-EXP(-LN(2)/25))/(LN(2)/25)*Calculateur!V43*Calculateur!X43*VLOOKUP('Données projet'!$B$9,Paramètres!$A$1:$I$89,3,0)*0.475*44/12</f>
        <v>5.9902997169945733</v>
      </c>
      <c r="AB43" s="23">
        <f>EXP(-LN(2)/2)*AB42+(1-EXP(-LN(2)/2))/(LN(2)/2)*V43*Y43*VLOOKUP('Données projet'!$B$9,Paramètres!$A$1:$I$89,3,0)*0.475*44/12</f>
        <v>0</v>
      </c>
      <c r="AC43" s="24">
        <f t="shared" si="3"/>
        <v>66.464372627432482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74.447287056432231</v>
      </c>
      <c r="T44" s="62">
        <f t="shared" si="34"/>
        <v>325.27549009125408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59.288213226206544</v>
      </c>
      <c r="AA44" s="23">
        <f>EXP(-LN(2)/25)*AA43+(1-EXP(-LN(2)/25))/(LN(2)/25)*Calculateur!V44*Calculateur!X44*VLOOKUP('Données projet'!$B$9,Paramètres!$A$1:$I$89,3,0)*0.475*44/12</f>
        <v>5.8264946562171858</v>
      </c>
      <c r="AB44" s="23">
        <f>EXP(-LN(2)/2)*AB43+(1-EXP(-LN(2)/2))/(LN(2)/2)*V44*Y44*VLOOKUP('Données projet'!$B$9,Paramètres!$A$1:$I$89,3,0)*0.475*44/12</f>
        <v>0</v>
      </c>
      <c r="AC44" s="24">
        <f t="shared" si="3"/>
        <v>65.11470788242373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74.447287056432231</v>
      </c>
      <c r="T45" s="62">
        <f t="shared" si="34"/>
        <v>325.27549009125408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58.125607527079978</v>
      </c>
      <c r="AA45" s="23">
        <f>EXP(-LN(2)/25)*AA44+(1-EXP(-LN(2)/25))/(LN(2)/25)*Calculateur!V45*Calculateur!X45*VLOOKUP('Données projet'!$B$9,Paramètres!$A$1:$I$89,3,0)*0.475*44/12</f>
        <v>5.6671688534408897</v>
      </c>
      <c r="AB45" s="23">
        <f>EXP(-LN(2)/2)*AB44+(1-EXP(-LN(2)/2))/(LN(2)/2)*V45*Y45*VLOOKUP('Données projet'!$B$9,Paramètres!$A$1:$I$89,3,0)*0.475*44/12</f>
        <v>0</v>
      </c>
      <c r="AC45" s="24">
        <f t="shared" si="3"/>
        <v>63.79277638052087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74.447287056432231</v>
      </c>
      <c r="T46" s="62">
        <f t="shared" si="34"/>
        <v>325.27549009125408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56.985799816593826</v>
      </c>
      <c r="AA46" s="23">
        <f>EXP(-LN(2)/25)*AA45+(1-EXP(-LN(2)/25))/(LN(2)/25)*Calculateur!V46*Calculateur!X46*VLOOKUP('Données projet'!$B$9,Paramètres!$A$1:$I$89,3,0)*0.475*44/12</f>
        <v>5.512199823120091</v>
      </c>
      <c r="AB46" s="23">
        <f>EXP(-LN(2)/2)*AB45+(1-EXP(-LN(2)/2))/(LN(2)/2)*V46*Y46*VLOOKUP('Données projet'!$B$9,Paramètres!$A$1:$I$89,3,0)*0.475*44/12</f>
        <v>0</v>
      </c>
      <c r="AC46" s="24">
        <f t="shared" si="3"/>
        <v>62.497999639713917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74.447287056432231</v>
      </c>
      <c r="T47" s="62">
        <f t="shared" si="34"/>
        <v>325.27549009125408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55.868343040096249</v>
      </c>
      <c r="AA47" s="23">
        <f>EXP(-LN(2)/25)*AA46+(1-EXP(-LN(2)/25))/(LN(2)/25)*Calculateur!V47*Calculateur!X47*VLOOKUP('Données projet'!$B$9,Paramètres!$A$1:$I$89,3,0)*0.475*44/12</f>
        <v>5.3614684290828816</v>
      </c>
      <c r="AB47" s="23">
        <f>EXP(-LN(2)/2)*AB46+(1-EXP(-LN(2)/2))/(LN(2)/2)*V47*Y47*VLOOKUP('Données projet'!$B$9,Paramètres!$A$1:$I$89,3,0)*0.475*44/12</f>
        <v>0</v>
      </c>
      <c r="AC47" s="24">
        <f t="shared" si="3"/>
        <v>61.229811469179133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74.447287056432231</v>
      </c>
      <c r="T48" s="62">
        <f t="shared" si="34"/>
        <v>325.27549009125408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54.772798909404457</v>
      </c>
      <c r="AA48" s="23">
        <f>EXP(-LN(2)/25)*AA47+(1-EXP(-LN(2)/25))/(LN(2)/25)*Calculateur!V48*Calculateur!X48*VLOOKUP('Données projet'!$B$9,Paramètres!$A$1:$I$89,3,0)*0.475*44/12</f>
        <v>5.2148587929422394</v>
      </c>
      <c r="AB48" s="23">
        <f>EXP(-LN(2)/2)*AB47+(1-EXP(-LN(2)/2))/(LN(2)/2)*V48*Y48*VLOOKUP('Données projet'!$B$9,Paramètres!$A$1:$I$89,3,0)*0.475*44/12</f>
        <v>0</v>
      </c>
      <c r="AC48" s="24">
        <f t="shared" si="3"/>
        <v>59.987657702346695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74.447287056432231</v>
      </c>
      <c r="T49" s="62">
        <f t="shared" si="34"/>
        <v>325.27549009125408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53.698737730899595</v>
      </c>
      <c r="AA49" s="23">
        <f>EXP(-LN(2)/25)*AA48+(1-EXP(-LN(2)/25))/(LN(2)/25)*Calculateur!V49*Calculateur!X49*VLOOKUP('Données projet'!$B$9,Paramètres!$A$1:$I$89,3,0)*0.475*44/12</f>
        <v>5.0722582050117291</v>
      </c>
      <c r="AB49" s="23">
        <f>EXP(-LN(2)/2)*AB48+(1-EXP(-LN(2)/2))/(LN(2)/2)*V49*Y49*VLOOKUP('Données projet'!$B$9,Paramètres!$A$1:$I$89,3,0)*0.475*44/12</f>
        <v>0</v>
      </c>
      <c r="AC49" s="24">
        <f t="shared" si="3"/>
        <v>58.770995935911323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74.447287056432231</v>
      </c>
      <c r="T50" s="62">
        <f t="shared" si="34"/>
        <v>325.27549009125408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52.645738236992578</v>
      </c>
      <c r="AA50" s="23">
        <f>EXP(-LN(2)/25)*AA49+(1-EXP(-LN(2)/25))/(LN(2)/25)*Calculateur!V50*Calculateur!X50*VLOOKUP('Données projet'!$B$9,Paramètres!$A$1:$I$89,3,0)*0.475*44/12</f>
        <v>4.9335570376572173</v>
      </c>
      <c r="AB50" s="23">
        <f>EXP(-LN(2)/2)*AB49+(1-EXP(-LN(2)/2))/(LN(2)/2)*V50*Y50*VLOOKUP('Données projet'!$B$9,Paramètres!$A$1:$I$89,3,0)*0.475*44/12</f>
        <v>0</v>
      </c>
      <c r="AC50" s="24">
        <f t="shared" si="3"/>
        <v>57.579295274649795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74.447287056432231</v>
      </c>
      <c r="T51" s="62">
        <f t="shared" si="34"/>
        <v>325.27549009125408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51.61338742089481</v>
      </c>
      <c r="AA51" s="23">
        <f>EXP(-LN(2)/25)*AA50+(1-EXP(-LN(2)/25))/(LN(2)/25)*Calculateur!V51*Calculateur!X51*VLOOKUP('Données projet'!$B$9,Paramètres!$A$1:$I$89,3,0)*0.475*44/12</f>
        <v>4.7986486610179915</v>
      </c>
      <c r="AB51" s="23">
        <f>EXP(-LN(2)/2)*AB50+(1-EXP(-LN(2)/2))/(LN(2)/2)*V51*Y51*VLOOKUP('Données projet'!$B$9,Paramètres!$A$1:$I$89,3,0)*0.475*44/12</f>
        <v>0</v>
      </c>
      <c r="AC51" s="24">
        <f t="shared" si="3"/>
        <v>56.412036081912802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74.447287056432231</v>
      </c>
      <c r="T52" s="62">
        <f t="shared" si="34"/>
        <v>325.27549009125408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50.601280374628892</v>
      </c>
      <c r="AA52" s="23">
        <f>EXP(-LN(2)/25)*AA51+(1-EXP(-LN(2)/25))/(LN(2)/25)*Calculateur!V52*Calculateur!X52*VLOOKUP('Données projet'!$B$9,Paramètres!$A$1:$I$89,3,0)*0.475*44/12</f>
        <v>4.6674293610324886</v>
      </c>
      <c r="AB52" s="23">
        <f>EXP(-LN(2)/2)*AB51+(1-EXP(-LN(2)/2))/(LN(2)/2)*V52*Y52*VLOOKUP('Données projet'!$B$9,Paramètres!$A$1:$I$89,3,0)*0.475*44/12</f>
        <v>0</v>
      </c>
      <c r="AC52" s="24">
        <f t="shared" si="3"/>
        <v>55.268709735661382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74.447287056432231</v>
      </c>
      <c r="T53" s="62">
        <f t="shared" si="34"/>
        <v>325.27549009125408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49.60902013021591</v>
      </c>
      <c r="AA53" s="23">
        <f>EXP(-LN(2)/25)*AA52+(1-EXP(-LN(2)/25))/(LN(2)/25)*Calculateur!V53*Calculateur!X53*VLOOKUP('Données projet'!$B$9,Paramètres!$A$1:$I$89,3,0)*0.475*44/12</f>
        <v>4.5397982597056128</v>
      </c>
      <c r="AB53" s="23">
        <f>EXP(-LN(2)/2)*AB52+(1-EXP(-LN(2)/2))/(LN(2)/2)*V53*Y53*VLOOKUP('Données projet'!$B$9,Paramètres!$A$1:$I$89,3,0)*0.475*44/12</f>
        <v>0</v>
      </c>
      <c r="AC53" s="24">
        <f t="shared" si="3"/>
        <v>54.148818389921523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74.447287056432231</v>
      </c>
      <c r="T54" s="62">
        <f t="shared" si="34"/>
        <v>325.27549009125408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48.636217503976873</v>
      </c>
      <c r="AA54" s="23">
        <f>EXP(-LN(2)/25)*AA53+(1-EXP(-LN(2)/25))/(LN(2)/25)*Calculateur!V54*Calculateur!X54*VLOOKUP('Données projet'!$B$9,Paramètres!$A$1:$I$89,3,0)*0.475*44/12</f>
        <v>4.4156572375563483</v>
      </c>
      <c r="AB54" s="23">
        <f>EXP(-LN(2)/2)*AB53+(1-EXP(-LN(2)/2))/(LN(2)/2)*V54*Y54*VLOOKUP('Données projet'!$B$9,Paramètres!$A$1:$I$89,3,0)*0.475*44/12</f>
        <v>0</v>
      </c>
      <c r="AC54" s="24">
        <f t="shared" si="3"/>
        <v>53.051874741533219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74.447287056432231</v>
      </c>
      <c r="T55" s="62">
        <f t="shared" si="34"/>
        <v>325.27549009125408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47.682490943887373</v>
      </c>
      <c r="AA55" s="23">
        <f>EXP(-LN(2)/25)*AA54+(1-EXP(-LN(2)/25))/(LN(2)/25)*Calculateur!V55*Calculateur!X55*VLOOKUP('Données projet'!$B$9,Paramètres!$A$1:$I$89,3,0)*0.475*44/12</f>
        <v>4.2949108581860482</v>
      </c>
      <c r="AB55" s="23">
        <f>EXP(-LN(2)/2)*AB54+(1-EXP(-LN(2)/2))/(LN(2)/2)*V55*Y55*VLOOKUP('Données projet'!$B$9,Paramètres!$A$1:$I$89,3,0)*0.475*44/12</f>
        <v>0</v>
      </c>
      <c r="AC55" s="24">
        <f t="shared" si="3"/>
        <v>51.977401802073423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74.447287056432231</v>
      </c>
      <c r="T56" s="62">
        <f t="shared" si="34"/>
        <v>325.27549009125408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46.747466379925463</v>
      </c>
      <c r="AA56" s="23">
        <f>EXP(-LN(2)/25)*AA55+(1-EXP(-LN(2)/25))/(LN(2)/25)*Calculateur!V56*Calculateur!X56*VLOOKUP('Données projet'!$B$9,Paramètres!$A$1:$I$89,3,0)*0.475*44/12</f>
        <v>4.1774662949094052</v>
      </c>
      <c r="AB56" s="23">
        <f>EXP(-LN(2)/2)*AB55+(1-EXP(-LN(2)/2))/(LN(2)/2)*V56*Y56*VLOOKUP('Données projet'!$B$9,Paramètres!$A$1:$I$89,3,0)*0.475*44/12</f>
        <v>0</v>
      </c>
      <c r="AC56" s="24">
        <f t="shared" si="3"/>
        <v>50.924932674834871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74.447287056432231</v>
      </c>
      <c r="T57" s="62">
        <f t="shared" si="34"/>
        <v>325.27549009125408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45.830777077354178</v>
      </c>
      <c r="AA57" s="23">
        <f>EXP(-LN(2)/25)*AA56+(1-EXP(-LN(2)/25))/(LN(2)/25)*Calculateur!V57*Calculateur!X57*VLOOKUP('Données projet'!$B$9,Paramètres!$A$1:$I$89,3,0)*0.475*44/12</f>
        <v>4.0632332593917031</v>
      </c>
      <c r="AB57" s="23">
        <f>EXP(-LN(2)/2)*AB56+(1-EXP(-LN(2)/2))/(LN(2)/2)*V57*Y57*VLOOKUP('Données projet'!$B$9,Paramètres!$A$1:$I$89,3,0)*0.475*44/12</f>
        <v>0</v>
      </c>
      <c r="AC57" s="24">
        <f t="shared" si="3"/>
        <v>49.894010336745879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74.447287056432231</v>
      </c>
      <c r="T58" s="62">
        <f t="shared" si="34"/>
        <v>325.27549009125408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44.932063492881049</v>
      </c>
      <c r="AA58" s="23">
        <f>EXP(-LN(2)/25)*AA57+(1-EXP(-LN(2)/25))/(LN(2)/25)*Calculateur!V58*Calculateur!X58*VLOOKUP('Données projet'!$B$9,Paramètres!$A$1:$I$89,3,0)*0.475*44/12</f>
        <v>3.9521239322374866</v>
      </c>
      <c r="AB58" s="23">
        <f>EXP(-LN(2)/2)*AB57+(1-EXP(-LN(2)/2))/(LN(2)/2)*V58*Y58*VLOOKUP('Données projet'!$B$9,Paramètres!$A$1:$I$89,3,0)*0.475*44/12</f>
        <v>0</v>
      </c>
      <c r="AC58" s="24">
        <f t="shared" si="3"/>
        <v>48.884187425118533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74.447287056432231</v>
      </c>
      <c r="T59" s="62">
        <f t="shared" si="34"/>
        <v>325.27549009125408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44.05097313363828</v>
      </c>
      <c r="AA59" s="23">
        <f>EXP(-LN(2)/25)*AA58+(1-EXP(-LN(2)/25))/(LN(2)/25)*Calculateur!V59*Calculateur!X59*VLOOKUP('Données projet'!$B$9,Paramètres!$A$1:$I$89,3,0)*0.475*44/12</f>
        <v>3.8440528954772875</v>
      </c>
      <c r="AB59" s="23">
        <f>EXP(-LN(2)/2)*AB58+(1-EXP(-LN(2)/2))/(LN(2)/2)*V59*Y59*VLOOKUP('Données projet'!$B$9,Paramètres!$A$1:$I$89,3,0)*0.475*44/12</f>
        <v>0</v>
      </c>
      <c r="AC59" s="24">
        <f t="shared" si="3"/>
        <v>47.89502602911557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74.447287056432231</v>
      </c>
      <c r="T60" s="62">
        <f t="shared" si="34"/>
        <v>325.27549009125408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43.187160418928208</v>
      </c>
      <c r="AA60" s="23">
        <f>EXP(-LN(2)/25)*AA59+(1-EXP(-LN(2)/25))/(LN(2)/25)*Calculateur!V60*Calculateur!X60*VLOOKUP('Données projet'!$B$9,Paramètres!$A$1:$I$89,3,0)*0.475*44/12</f>
        <v>3.7389370669005051</v>
      </c>
      <c r="AB60" s="23">
        <f>EXP(-LN(2)/2)*AB59+(1-EXP(-LN(2)/2))/(LN(2)/2)*V60*Y60*VLOOKUP('Données projet'!$B$9,Paramètres!$A$1:$I$89,3,0)*0.475*44/12</f>
        <v>0</v>
      </c>
      <c r="AC60" s="24">
        <f t="shared" si="3"/>
        <v>46.926097485828713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74.447287056432231</v>
      </c>
      <c r="T61" s="62">
        <f t="shared" si="34"/>
        <v>325.27549009125408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42.34028654467987</v>
      </c>
      <c r="AA61" s="23">
        <f>EXP(-LN(2)/25)*AA60+(1-EXP(-LN(2)/25))/(LN(2)/25)*Calculateur!V61*Calculateur!X61*VLOOKUP('Données projet'!$B$9,Paramètres!$A$1:$I$89,3,0)*0.475*44/12</f>
        <v>3.6366956361839557</v>
      </c>
      <c r="AB61" s="23">
        <f>EXP(-LN(2)/2)*AB60+(1-EXP(-LN(2)/2))/(LN(2)/2)*V61*Y61*VLOOKUP('Données projet'!$B$9,Paramètres!$A$1:$I$89,3,0)*0.475*44/12</f>
        <v>0</v>
      </c>
      <c r="AC61" s="24">
        <f t="shared" si="3"/>
        <v>45.976982180863828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74.447287056432231</v>
      </c>
      <c r="T62" s="62">
        <f t="shared" si="34"/>
        <v>325.27549009125408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41.510019350563482</v>
      </c>
      <c r="AA62" s="23">
        <f>EXP(-LN(2)/25)*AA61+(1-EXP(-LN(2)/25))/(LN(2)/25)*Calculateur!V62*Calculateur!X62*VLOOKUP('Données projet'!$B$9,Paramètres!$A$1:$I$89,3,0)*0.475*44/12</f>
        <v>3.537250002766994</v>
      </c>
      <c r="AB62" s="23">
        <f>EXP(-LN(2)/2)*AB61+(1-EXP(-LN(2)/2))/(LN(2)/2)*V62*Y62*VLOOKUP('Données projet'!$B$9,Paramètres!$A$1:$I$89,3,0)*0.475*44/12</f>
        <v>0</v>
      </c>
      <c r="AC62" s="24">
        <f t="shared" si="3"/>
        <v>45.047269353330478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74.447287056432231</v>
      </c>
      <c r="T63" s="62">
        <f t="shared" si="34"/>
        <v>325.27549009125408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40.696033189710732</v>
      </c>
      <c r="AA63" s="23">
        <f>EXP(-LN(2)/25)*AA62+(1-EXP(-LN(2)/25))/(LN(2)/25)*Calculateur!V63*Calculateur!X63*VLOOKUP('Données projet'!$B$9,Paramètres!$A$1:$I$89,3,0)*0.475*44/12</f>
        <v>3.4405237154254373</v>
      </c>
      <c r="AB63" s="23">
        <f>EXP(-LN(2)/2)*AB62+(1-EXP(-LN(2)/2))/(LN(2)/2)*V63*Y63*VLOOKUP('Données projet'!$B$9,Paramètres!$A$1:$I$89,3,0)*0.475*44/12</f>
        <v>0</v>
      </c>
      <c r="AC63" s="24">
        <f t="shared" si="3"/>
        <v>44.136556905136167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74.447287056432231</v>
      </c>
      <c r="T64" s="62">
        <f t="shared" si="34"/>
        <v>325.27549009125408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39.898008800989771</v>
      </c>
      <c r="AA64" s="23">
        <f>EXP(-LN(2)/25)*AA63+(1-EXP(-LN(2)/25))/(LN(2)/25)*Calculateur!V64*Calculateur!X64*VLOOKUP('Données projet'!$B$9,Paramètres!$A$1:$I$89,3,0)*0.475*44/12</f>
        <v>3.3464424134978499</v>
      </c>
      <c r="AB64" s="23">
        <f>EXP(-LN(2)/2)*AB63+(1-EXP(-LN(2)/2))/(LN(2)/2)*V64*Y64*VLOOKUP('Données projet'!$B$9,Paramètres!$A$1:$I$89,3,0)*0.475*44/12</f>
        <v>0</v>
      </c>
      <c r="AC64" s="24">
        <f t="shared" si="3"/>
        <v>43.244451214487619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74.447287056432231</v>
      </c>
      <c r="T65" s="62">
        <f t="shared" si="34"/>
        <v>325.27549009125408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39.115633183784809</v>
      </c>
      <c r="AA65" s="23">
        <f>EXP(-LN(2)/25)*AA64+(1-EXP(-LN(2)/25))/(LN(2)/25)*Calculateur!V65*Calculateur!X65*VLOOKUP('Données projet'!$B$9,Paramètres!$A$1:$I$89,3,0)*0.475*44/12</f>
        <v>3.2549337697189928</v>
      </c>
      <c r="AB65" s="23">
        <f>EXP(-LN(2)/2)*AB64+(1-EXP(-LN(2)/2))/(LN(2)/2)*V65*Y65*VLOOKUP('Données projet'!$B$9,Paramètres!$A$1:$I$89,3,0)*0.475*44/12</f>
        <v>0</v>
      </c>
      <c r="AC65" s="24">
        <f t="shared" si="3"/>
        <v>42.370566953503804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74.447287056432231</v>
      </c>
      <c r="T66" s="62">
        <f t="shared" si="34"/>
        <v>325.27549009125408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38.348599475231232</v>
      </c>
      <c r="AA66" s="23">
        <f>EXP(-LN(2)/25)*AA65+(1-EXP(-LN(2)/25))/(LN(2)/25)*Calculateur!V66*Calculateur!X66*VLOOKUP('Données projet'!$B$9,Paramètres!$A$1:$I$89,3,0)*0.475*44/12</f>
        <v>3.1659274346164992</v>
      </c>
      <c r="AB66" s="23">
        <f>EXP(-LN(2)/2)*AB65+(1-EXP(-LN(2)/2))/(LN(2)/2)*V66*Y66*VLOOKUP('Données projet'!$B$9,Paramètres!$A$1:$I$89,3,0)*0.475*44/12</f>
        <v>0</v>
      </c>
      <c r="AC66" s="24">
        <f t="shared" si="3"/>
        <v>41.514526909847731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74.447287056432231</v>
      </c>
      <c r="T67" s="62">
        <f t="shared" si="34"/>
        <v>325.27549009125408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37.596606829858025</v>
      </c>
      <c r="AA67" s="23">
        <f>EXP(-LN(2)/25)*AA66+(1-EXP(-LN(2)/25))/(LN(2)/25)*Calculateur!V67*Calculateur!X67*VLOOKUP('Données projet'!$B$9,Paramètres!$A$1:$I$89,3,0)*0.475*44/12</f>
        <v>3.0793549824280229</v>
      </c>
      <c r="AB67" s="23">
        <f>EXP(-LN(2)/2)*AB66+(1-EXP(-LN(2)/2))/(LN(2)/2)*V67*Y67*VLOOKUP('Données projet'!$B$9,Paramètres!$A$1:$I$89,3,0)*0.475*44/12</f>
        <v>0</v>
      </c>
      <c r="AC67" s="24">
        <f t="shared" si="3"/>
        <v>40.675961812286047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74.447287056432231</v>
      </c>
      <c r="T68" s="62">
        <f t="shared" si="34"/>
        <v>325.27549009125408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36.859360301590364</v>
      </c>
      <c r="AA68" s="23">
        <f>EXP(-LN(2)/25)*AA67+(1-EXP(-LN(2)/25))/(LN(2)/25)*Calculateur!V68*Calculateur!X68*VLOOKUP('Données projet'!$B$9,Paramètres!$A$1:$I$89,3,0)*0.475*44/12</f>
        <v>2.995149858497288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39.854510160087649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74.447287056432231</v>
      </c>
      <c r="T69" s="62">
        <f t="shared" ref="T69:T132" si="88">$T$3</f>
        <v>325.27549009125408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36.136570728066047</v>
      </c>
      <c r="AA69" s="23">
        <f>EXP(-LN(2)/25)*AA68+(1-EXP(-LN(2)/25))/(LN(2)/25)*Calculateur!V69*Calculateur!X69*VLOOKUP('Données projet'!$B$9,Paramètres!$A$1:$I$89,3,0)*0.475*44/12</f>
        <v>2.9132473281085942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39.049818056174644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74.447287056432231</v>
      </c>
      <c r="T70" s="62">
        <f t="shared" si="88"/>
        <v>325.27549009125408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35.427954617220436</v>
      </c>
      <c r="AA70" s="23">
        <f>EXP(-LN(2)/25)*AA69+(1-EXP(-LN(2)/25))/(LN(2)/25)*Calculateur!V70*Calculateur!X70*VLOOKUP('Données projet'!$B$9,Paramètres!$A$1:$I$89,3,0)*0.475*44/12</f>
        <v>2.8335844267204462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38.261539043940886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74.447287056432231</v>
      </c>
      <c r="T71" s="62">
        <f t="shared" si="88"/>
        <v>325.27549009125408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34.733234036095354</v>
      </c>
      <c r="AA71" s="23">
        <f>EXP(-LN(2)/25)*AA70+(1-EXP(-LN(2)/25))/(LN(2)/25)*Calculateur!V71*Calculateur!X71*VLOOKUP('Données projet'!$B$9,Paramètres!$A$1:$I$89,3,0)*0.475*44/12</f>
        <v>2.7560999115600469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37.489333947655403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74.447287056432231</v>
      </c>
      <c r="T72" s="62">
        <f t="shared" si="88"/>
        <v>325.27549009125408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34.052136501828421</v>
      </c>
      <c r="AA72" s="23">
        <f>EXP(-LN(2)/25)*AA71+(1-EXP(-LN(2)/25))/(LN(2)/25)*Calculateur!V72*Calculateur!X72*VLOOKUP('Données projet'!$B$9,Paramètres!$A$1:$I$89,3,0)*0.475*44/12</f>
        <v>2.6807342145414421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36.732870716369867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74.447287056432231</v>
      </c>
      <c r="T73" s="62">
        <f t="shared" si="88"/>
        <v>325.27549009125408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33.384394874779993</v>
      </c>
      <c r="AA73" s="23">
        <f>EXP(-LN(2)/25)*AA72+(1-EXP(-LN(2)/25))/(LN(2)/25)*Calculateur!V73*Calculateur!X73*VLOOKUP('Données projet'!$B$9,Paramètres!$A$1:$I$89,3,0)*0.475*44/12</f>
        <v>2.607429396471121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35.991824271251112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74.447287056432231</v>
      </c>
      <c r="T74" s="62">
        <f t="shared" si="88"/>
        <v>325.27549009125408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32.729747253755804</v>
      </c>
      <c r="AA74" s="23">
        <f>EXP(-LN(2)/25)*AA73+(1-EXP(-LN(2)/25))/(LN(2)/25)*Calculateur!V74*Calculateur!X74*VLOOKUP('Données projet'!$B$9,Paramètres!$A$1:$I$89,3,0)*0.475*44/12</f>
        <v>2.5361291025058654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35.265876356261671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74.447287056432231</v>
      </c>
      <c r="T75" s="62">
        <f t="shared" si="88"/>
        <v>325.27549009125408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32.087936873284278</v>
      </c>
      <c r="AA75" s="23">
        <f>EXP(-LN(2)/25)*AA74+(1-EXP(-LN(2)/25))/(LN(2)/25)*Calculateur!V75*Calculateur!X75*VLOOKUP('Données projet'!$B$9,Paramètres!$A$1:$I$89,3,0)*0.475*44/12</f>
        <v>2.4667785188286095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34.55471539211289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74.447287056432231</v>
      </c>
      <c r="T76" s="62">
        <f t="shared" si="88"/>
        <v>325.27549009125408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31.458712002908118</v>
      </c>
      <c r="AA76" s="23">
        <f>EXP(-LN(2)/25)*AA75+(1-EXP(-LN(2)/25))/(LN(2)/25)*Calculateur!V76*Calculateur!X76*VLOOKUP('Données projet'!$B$9,Paramètres!$A$1:$I$89,3,0)*0.475*44/12</f>
        <v>2.3993243305089966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33.858036333417118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74.447287056432231</v>
      </c>
      <c r="T77" s="62">
        <f t="shared" si="88"/>
        <v>325.27549009125408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30.841825848450764</v>
      </c>
      <c r="AA77" s="23">
        <f>EXP(-LN(2)/25)*AA76+(1-EXP(-LN(2)/25))/(LN(2)/25)*Calculateur!V77*Calculateur!X77*VLOOKUP('Données projet'!$B$9,Paramètres!$A$1:$I$89,3,0)*0.475*44/12</f>
        <v>2.3337146805162452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33.175540528967012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74.447287056432231</v>
      </c>
      <c r="T78" s="62">
        <f t="shared" si="88"/>
        <v>325.27549009125408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30.237036455218917</v>
      </c>
      <c r="AA78" s="23">
        <f>EXP(-LN(2)/25)*AA77+(1-EXP(-LN(2)/25))/(LN(2)/25)*Calculateur!V78*Calculateur!X78*VLOOKUP('Données projet'!$B$9,Paramètres!$A$1:$I$89,3,0)*0.475*44/12</f>
        <v>2.2698991298528073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32.506935585071723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74.447287056432231</v>
      </c>
      <c r="T79" s="62">
        <f t="shared" si="88"/>
        <v>325.27549009125408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29.64410661310324</v>
      </c>
      <c r="AA79" s="23">
        <f>EXP(-LN(2)/25)*AA78+(1-EXP(-LN(2)/25))/(LN(2)/25)*Calculateur!V79*Calculateur!X79*VLOOKUP('Données projet'!$B$9,Paramètres!$A$1:$I$89,3,0)*0.475*44/12</f>
        <v>2.207828618778175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31.851935231881416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74.447287056432231</v>
      </c>
      <c r="T80" s="62">
        <f t="shared" si="88"/>
        <v>325.27549009125408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29.062803763539957</v>
      </c>
      <c r="AA80" s="23">
        <f>EXP(-LN(2)/25)*AA79+(1-EXP(-LN(2)/25))/(LN(2)/25)*Calculateur!V80*Calculateur!X80*VLOOKUP('Données projet'!$B$9,Paramètres!$A$1:$I$89,3,0)*0.475*44/12</f>
        <v>2.147455429093025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31.210259192632982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74.447287056432231</v>
      </c>
      <c r="T81" s="62">
        <f t="shared" si="88"/>
        <v>325.27549009125408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28.492899908296881</v>
      </c>
      <c r="AA81" s="23">
        <f>EXP(-LN(2)/25)*AA80+(1-EXP(-LN(2)/25))/(LN(2)/25)*Calculateur!V81*Calculateur!X81*VLOOKUP('Données projet'!$B$9,Paramètres!$A$1:$I$89,3,0)*0.475*44/12</f>
        <v>2.0887331474547035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30.581633055751585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74.447287056432231</v>
      </c>
      <c r="T82" s="62">
        <f t="shared" si="88"/>
        <v>325.27549009125408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27.934171520048093</v>
      </c>
      <c r="AA82" s="23">
        <f>EXP(-LN(2)/25)*AA81+(1-EXP(-LN(2)/25))/(LN(2)/25)*Calculateur!V82*Calculateur!X82*VLOOKUP('Données projet'!$B$9,Paramètres!$A$1:$I$89,3,0)*0.475*44/12</f>
        <v>2.0316166296958524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29.965788149743943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74.447287056432231</v>
      </c>
      <c r="T83" s="62">
        <f t="shared" si="88"/>
        <v>325.27549009125408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27.386399454702197</v>
      </c>
      <c r="AA83" s="23">
        <f>EXP(-LN(2)/25)*AA82+(1-EXP(-LN(2)/25))/(LN(2)/25)*Calculateur!V83*Calculateur!X83*VLOOKUP('Données projet'!$B$9,Paramètres!$A$1:$I$89,3,0)*0.475*44/12</f>
        <v>1.9760619661187442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29.362461420820942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74.447287056432231</v>
      </c>
      <c r="T84" s="62">
        <f t="shared" si="88"/>
        <v>325.27549009125408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26.849368865449765</v>
      </c>
      <c r="AA84" s="23">
        <f>EXP(-LN(2)/25)*AA83+(1-EXP(-LN(2)/25))/(LN(2)/25)*Calculateur!V84*Calculateur!X84*VLOOKUP('Données projet'!$B$9,Paramètres!$A$1:$I$89,3,0)*0.475*44/12</f>
        <v>1.9220264477386446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28.77139531318841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74.447287056432231</v>
      </c>
      <c r="T85" s="62">
        <f t="shared" si="88"/>
        <v>325.27549009125408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26.322869118496257</v>
      </c>
      <c r="AA85" s="23">
        <f>EXP(-LN(2)/25)*AA84+(1-EXP(-LN(2)/25))/(LN(2)/25)*Calculateur!V85*Calculateur!X85*VLOOKUP('Données projet'!$B$9,Paramètres!$A$1:$I$89,3,0)*0.475*44/12</f>
        <v>1.8694685334502534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28.192337651946509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74.447287056432231</v>
      </c>
      <c r="T86" s="62">
        <f t="shared" si="88"/>
        <v>325.27549009125408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25.806693710447373</v>
      </c>
      <c r="AA86" s="23">
        <f>EXP(-LN(2)/25)*AA85+(1-EXP(-LN(2)/25))/(LN(2)/25)*Calculateur!V86*Calculateur!X86*VLOOKUP('Données projet'!$B$9,Paramètres!$A$1:$I$89,3,0)*0.475*44/12</f>
        <v>1.8183478180919788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27.625041528539352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74.447287056432231</v>
      </c>
      <c r="T87" s="62">
        <f t="shared" si="88"/>
        <v>325.27549009125408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25.300640187314414</v>
      </c>
      <c r="AA87" s="23">
        <f>EXP(-LN(2)/25)*AA86+(1-EXP(-LN(2)/25))/(LN(2)/25)*Calculateur!V87*Calculateur!X87*VLOOKUP('Données projet'!$B$9,Paramètres!$A$1:$I$89,3,0)*0.475*44/12</f>
        <v>1.7686250013834977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27.069265188697912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74.447287056432231</v>
      </c>
      <c r="T88" s="62">
        <f t="shared" si="88"/>
        <v>325.27549009125408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24.804510065107923</v>
      </c>
      <c r="AA88" s="23">
        <f>EXP(-LN(2)/25)*AA87+(1-EXP(-LN(2)/25))/(LN(2)/25)*Calculateur!V88*Calculateur!X88*VLOOKUP('Données projet'!$B$9,Paramètres!$A$1:$I$89,3,0)*0.475*44/12</f>
        <v>1.7202618577127193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26.524771922820641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74.447287056432231</v>
      </c>
      <c r="T89" s="62">
        <f t="shared" si="88"/>
        <v>325.27549009125408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24.318108751988408</v>
      </c>
      <c r="AA89" s="23">
        <f>EXP(-LN(2)/25)*AA88+(1-EXP(-LN(2)/25))/(LN(2)/25)*Calculateur!V89*Calculateur!X89*VLOOKUP('Données projet'!$B$9,Paramètres!$A$1:$I$89,3,0)*0.475*44/12</f>
        <v>1.6732212067489256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25.991329958737335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74.447287056432231</v>
      </c>
      <c r="T90" s="62">
        <f t="shared" si="88"/>
        <v>325.27549009125408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23.841245471943658</v>
      </c>
      <c r="AA90" s="23">
        <f>EXP(-LN(2)/25)*AA89+(1-EXP(-LN(2)/25))/(LN(2)/25)*Calculateur!V90*Calculateur!X90*VLOOKUP('Données projet'!$B$9,Paramètres!$A$1:$I$89,3,0)*0.475*44/12</f>
        <v>1.6274668848594971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25.468712356803156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74.447287056432231</v>
      </c>
      <c r="T91" s="62">
        <f t="shared" si="88"/>
        <v>325.27549009125408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23.373733189962707</v>
      </c>
      <c r="AA91" s="23">
        <f>EXP(-LN(2)/25)*AA90+(1-EXP(-LN(2)/25))/(LN(2)/25)*Calculateur!V91*Calculateur!X91*VLOOKUP('Données projet'!$B$9,Paramètres!$A$1:$I$89,3,0)*0.475*44/12</f>
        <v>1.5829637173082503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24.956696907270956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74.447287056432231</v>
      </c>
      <c r="T92" s="62">
        <f t="shared" si="88"/>
        <v>325.27549009125408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22.915388538677064</v>
      </c>
      <c r="AA92" s="23">
        <f>EXP(-LN(2)/25)*AA91+(1-EXP(-LN(2)/25))/(LN(2)/25)*Calculateur!V92*Calculateur!X92*VLOOKUP('Données projet'!$B$9,Paramètres!$A$1:$I$89,3,0)*0.475*44/12</f>
        <v>1.5396774912140121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24.455066029891075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74.447287056432231</v>
      </c>
      <c r="T93" s="62">
        <f t="shared" si="88"/>
        <v>325.27549009125408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22.4660317464405</v>
      </c>
      <c r="AA93" s="23">
        <f>EXP(-LN(2)/25)*AA92+(1-EXP(-LN(2)/25))/(LN(2)/25)*Calculateur!V93*Calculateur!X93*VLOOKUP('Données projet'!$B$9,Paramètres!$A$1:$I$89,3,0)*0.475*44/12</f>
        <v>1.4975749292486447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23.963606675689146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74.447287056432231</v>
      </c>
      <c r="T94" s="62">
        <f t="shared" si="88"/>
        <v>325.27549009125408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22.025486566819115</v>
      </c>
      <c r="AA94" s="23">
        <f>EXP(-LN(2)/25)*AA93+(1-EXP(-LN(2)/25))/(LN(2)/25)*Calculateur!V94*Calculateur!X94*VLOOKUP('Données projet'!$B$9,Paramètres!$A$1:$I$89,3,0)*0.475*44/12</f>
        <v>1.4566236640542978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23.482110230873413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74.447287056432231</v>
      </c>
      <c r="T95" s="62">
        <f t="shared" si="88"/>
        <v>325.27549009125408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21.593580209464079</v>
      </c>
      <c r="AA95" s="23">
        <f>EXP(-LN(2)/25)*AA94+(1-EXP(-LN(2)/25))/(LN(2)/25)*Calculateur!V95*Calculateur!X95*VLOOKUP('Données projet'!$B$9,Paramètres!$A$1:$I$89,3,0)*0.475*44/12</f>
        <v>1.4167922133602238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23.010372422824304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74.447287056432231</v>
      </c>
      <c r="T96" s="62">
        <f t="shared" si="88"/>
        <v>325.27549009125408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21.17014327233991</v>
      </c>
      <c r="AA96" s="23">
        <f>EXP(-LN(2)/25)*AA95+(1-EXP(-LN(2)/25))/(LN(2)/25)*Calculateur!V96*Calculateur!X96*VLOOKUP('Données projet'!$B$9,Paramètres!$A$1:$I$89,3,0)*0.475*44/12</f>
        <v>1.3780499557800241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22.548193228119935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74.447287056432231</v>
      </c>
      <c r="T97" s="62">
        <f t="shared" si="88"/>
        <v>325.27549009125408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20.755009675281716</v>
      </c>
      <c r="AA97" s="23">
        <f>EXP(-LN(2)/25)*AA96+(1-EXP(-LN(2)/25))/(LN(2)/25)*Calculateur!V97*Calculateur!X97*VLOOKUP('Données projet'!$B$9,Paramètres!$A$1:$I$89,3,0)*0.475*44/12</f>
        <v>1.3403671072707217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22.095376782552439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74.447287056432231</v>
      </c>
      <c r="T98" s="62">
        <f t="shared" si="88"/>
        <v>325.27549009125408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20.348016594855341</v>
      </c>
      <c r="AA98" s="23">
        <f>EXP(-LN(2)/25)*AA97+(1-EXP(-LN(2)/25))/(LN(2)/25)*Calculateur!V98*Calculateur!X98*VLOOKUP('Données projet'!$B$9,Paramètres!$A$1:$I$89,3,0)*0.475*44/12</f>
        <v>1.3037146982355612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21.651731293090904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74.447287056432231</v>
      </c>
      <c r="T99" s="62">
        <f t="shared" si="88"/>
        <v>325.27549009125408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19.949004400494861</v>
      </c>
      <c r="AA99" s="23">
        <f>EXP(-LN(2)/25)*AA98+(1-EXP(-LN(2)/25))/(LN(2)/25)*Calculateur!V99*Calculateur!X99*VLOOKUP('Données projet'!$B$9,Paramètres!$A$1:$I$89,3,0)*0.475*44/12</f>
        <v>1.2680645512529334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21.217068951747795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74.447287056432231</v>
      </c>
      <c r="T100" s="62">
        <f t="shared" si="88"/>
        <v>325.27549009125408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19.557816591892379</v>
      </c>
      <c r="AA100" s="23">
        <f>EXP(-LN(2)/25)*AA99+(1-EXP(-LN(2)/25))/(LN(2)/25)*Calculateur!V100*Calculateur!X100*VLOOKUP('Données projet'!$B$9,Paramètres!$A$1:$I$89,3,0)*0.475*44/12</f>
        <v>1.2333892594143054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20.791205851306685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74.447287056432231</v>
      </c>
      <c r="T101" s="62">
        <f t="shared" si="88"/>
        <v>325.27549009125408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19.174299737615591</v>
      </c>
      <c r="AA101" s="23">
        <f>EXP(-LN(2)/25)*AA100+(1-EXP(-LN(2)/25))/(LN(2)/25)*Calculateur!V101*Calculateur!X101*VLOOKUP('Données projet'!$B$9,Paramètres!$A$1:$I$89,3,0)*0.475*44/12</f>
        <v>1.199662165254499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20.373961902870089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74.447287056432231</v>
      </c>
      <c r="T102" s="62">
        <f t="shared" si="88"/>
        <v>325.27549009125408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18.798303414928988</v>
      </c>
      <c r="AA102" s="23">
        <f>EXP(-LN(2)/25)*AA101+(1-EXP(-LN(2)/25))/(LN(2)/25)*Calculateur!V102*Calculateur!X102*VLOOKUP('Données projet'!$B$9,Paramètres!$A$1:$I$89,3,0)*0.475*44/12</f>
        <v>1.1668573402581233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19.96516075518711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74.447287056432231</v>
      </c>
      <c r="T103" s="62">
        <f t="shared" si="88"/>
        <v>325.27549009125408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18.429680150795157</v>
      </c>
      <c r="AA103" s="23">
        <f>EXP(-LN(2)/25)*AA102+(1-EXP(-LN(2)/25))/(LN(2)/25)*Calculateur!V103*Calculateur!X103*VLOOKUP('Données projet'!$B$9,Paramètres!$A$1:$I$89,3,0)*0.475*44/12</f>
        <v>1.1349495649264043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19.564629715721562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74.447287056432231</v>
      </c>
      <c r="T104" s="62">
        <f t="shared" si="88"/>
        <v>325.27549009125408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18.068285364032999</v>
      </c>
      <c r="AA104" s="23">
        <f>EXP(-LN(2)/25)*AA103+(1-EXP(-LN(2)/25))/(LN(2)/25)*Calculateur!V104*Calculateur!X104*VLOOKUP('Données projet'!$B$9,Paramètres!$A$1:$I$89,3,0)*0.475*44/12</f>
        <v>1.1039143093890882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19.172199673422085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74.447287056432231</v>
      </c>
      <c r="T105" s="62">
        <f t="shared" si="88"/>
        <v>325.27549009125408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17.713977308610193</v>
      </c>
      <c r="AA105" s="23">
        <f>EXP(-LN(2)/25)*AA104+(1-EXP(-LN(2)/25))/(LN(2)/25)*Calculateur!V105*Calculateur!X105*VLOOKUP('Données projet'!$B$9,Paramètres!$A$1:$I$89,3,0)*0.475*44/12</f>
        <v>1.0737277145465132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18.787705023156708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74.447287056432231</v>
      </c>
      <c r="T106" s="62">
        <f t="shared" si="88"/>
        <v>325.27549009125408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17.366617018047656</v>
      </c>
      <c r="AA106" s="23">
        <f>EXP(-LN(2)/25)*AA105+(1-EXP(-LN(2)/25))/(LN(2)/25)*Calculateur!V106*Calculateur!X106*VLOOKUP('Données projet'!$B$9,Paramètres!$A$1:$I$89,3,0)*0.475*44/12</f>
        <v>1.0443665737273522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18.410983591775008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74.447287056432231</v>
      </c>
      <c r="T107" s="62">
        <f t="shared" si="88"/>
        <v>325.27549009125408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17.026068250914189</v>
      </c>
      <c r="AA107" s="23">
        <f>EXP(-LN(2)/25)*AA106+(1-EXP(-LN(2)/25))/(LN(2)/25)*Calculateur!V107*Calculateur!X107*VLOOKUP('Données projet'!$B$9,Paramètres!$A$1:$I$89,3,0)*0.475*44/12</f>
        <v>1.0158083148479267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18.041876565762117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74.447287056432231</v>
      </c>
      <c r="T108" s="62">
        <f t="shared" si="88"/>
        <v>325.27549009125408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16.692197437389975</v>
      </c>
      <c r="AA108" s="23">
        <f>EXP(-LN(2)/25)*AA107+(1-EXP(-LN(2)/25))/(LN(2)/25)*Calculateur!V108*Calculateur!X108*VLOOKUP('Données projet'!$B$9,Paramètres!$A$1:$I$89,3,0)*0.475*44/12</f>
        <v>0.98803098305937254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17.680228420449346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74.447287056432231</v>
      </c>
      <c r="T109" s="62">
        <f t="shared" si="88"/>
        <v>325.27549009125408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16.36487362687788</v>
      </c>
      <c r="AA109" s="23">
        <f>EXP(-LN(2)/25)*AA108+(1-EXP(-LN(2)/25))/(LN(2)/25)*Calculateur!V109*Calculateur!X109*VLOOKUP('Données projet'!$B$9,Paramètres!$A$1:$I$89,3,0)*0.475*44/12</f>
        <v>0.96101322386932275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17.325886850747203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74.447287056432231</v>
      </c>
      <c r="T110" s="62">
        <f t="shared" si="88"/>
        <v>325.27549009125408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16.043968436642118</v>
      </c>
      <c r="AA110" s="23">
        <f>EXP(-LN(2)/25)*AA109+(1-EXP(-LN(2)/25))/(LN(2)/25)*Calculateur!V110*Calculateur!X110*VLOOKUP('Données projet'!$B$9,Paramètres!$A$1:$I$89,3,0)*0.475*44/12</f>
        <v>0.93473426672512705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16.978702703367244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74.447287056432231</v>
      </c>
      <c r="T111" s="62">
        <f t="shared" si="88"/>
        <v>325.27549009125408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15.72935600145404</v>
      </c>
      <c r="AA111" s="23">
        <f>EXP(-LN(2)/25)*AA110+(1-EXP(-LN(2)/25))/(LN(2)/25)*Calculateur!V111*Calculateur!X111*VLOOKUP('Données projet'!$B$9,Paramètres!$A$1:$I$89,3,0)*0.475*44/12</f>
        <v>0.90917390904598971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16.638529910500029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74.447287056432231</v>
      </c>
      <c r="T112" s="62">
        <f t="shared" si="88"/>
        <v>325.27549009125408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15.420912924225362</v>
      </c>
      <c r="AA112" s="23">
        <f>EXP(-LN(2)/25)*AA111+(1-EXP(-LN(2)/25))/(LN(2)/25)*Calculateur!V112*Calculateur!X112*VLOOKUP('Données projet'!$B$9,Paramètres!$A$1:$I$89,3,0)*0.475*44/12</f>
        <v>0.88431250069174916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16.305225424917111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74.447287056432231</v>
      </c>
      <c r="T113" s="62">
        <f t="shared" si="88"/>
        <v>325.27549009125408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15.118518227609439</v>
      </c>
      <c r="AA113" s="23">
        <f>EXP(-LN(2)/25)*AA112+(1-EXP(-LN(2)/25))/(LN(2)/25)*Calculateur!V113*Calculateur!X113*VLOOKUP('Données projet'!$B$9,Paramètres!$A$1:$I$89,3,0)*0.475*44/12</f>
        <v>0.86013092885636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15.978649156465799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74.447287056432231</v>
      </c>
      <c r="T114" s="62">
        <f t="shared" si="88"/>
        <v>325.27549009125408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14.8220533065516</v>
      </c>
      <c r="AA114" s="23">
        <f>EXP(-LN(2)/25)*AA113+(1-EXP(-LN(2)/25))/(LN(2)/25)*Calculateur!V114*Calculateur!X114*VLOOKUP('Données projet'!$B$9,Paramètres!$A$1:$I$89,3,0)*0.475*44/12</f>
        <v>0.83661060337446314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15.658663909926064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74.447287056432231</v>
      </c>
      <c r="T115" s="62">
        <f t="shared" si="88"/>
        <v>325.27549009125408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14.531401881769959</v>
      </c>
      <c r="AA115" s="23">
        <f>EXP(-LN(2)/25)*AA114+(1-EXP(-LN(2)/25))/(LN(2)/25)*Calculateur!V115*Calculateur!X115*VLOOKUP('Données projet'!$B$9,Paramètres!$A$1:$I$89,3,0)*0.475*44/12</f>
        <v>0.81373344242974888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15.345135324199708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74.447287056432231</v>
      </c>
      <c r="T116" s="62">
        <f t="shared" si="88"/>
        <v>325.27549009125408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14.246449954148423</v>
      </c>
      <c r="AA116" s="23">
        <f>EXP(-LN(2)/25)*AA115+(1-EXP(-LN(2)/25))/(LN(2)/25)*Calculateur!V116*Calculateur!X116*VLOOKUP('Données projet'!$B$9,Paramètres!$A$1:$I$89,3,0)*0.475*44/12</f>
        <v>0.79148185865412546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15.037931812802547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74.447287056432231</v>
      </c>
      <c r="T117" s="62">
        <f t="shared" si="88"/>
        <v>325.27549009125408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13.96708576002403</v>
      </c>
      <c r="AA117" s="23">
        <f>EXP(-LN(2)/25)*AA116+(1-EXP(-LN(2)/25))/(LN(2)/25)*Calculateur!V117*Calculateur!X117*VLOOKUP('Données projet'!$B$9,Paramètres!$A$1:$I$89,3,0)*0.475*44/12</f>
        <v>0.76983874560700638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14.736924505631038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74.447287056432231</v>
      </c>
      <c r="T118" s="62">
        <f t="shared" si="88"/>
        <v>325.27549009125408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13.693199727351084</v>
      </c>
      <c r="AA118" s="23">
        <f>EXP(-LN(2)/25)*AA117+(1-EXP(-LN(2)/25))/(LN(2)/25)*Calculateur!V118*Calculateur!X118*VLOOKUP('Données projet'!$B$9,Paramètres!$A$1:$I$89,3,0)*0.475*44/12</f>
        <v>0.74878746462432266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14.441987191975407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74.447287056432231</v>
      </c>
      <c r="T119" s="62">
        <f t="shared" si="88"/>
        <v>325.27549009125408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13.424684432724868</v>
      </c>
      <c r="AA119" s="23">
        <f>EXP(-LN(2)/25)*AA118+(1-EXP(-LN(2)/25))/(LN(2)/25)*Calculateur!V119*Calculateur!X119*VLOOKUP('Données projet'!$B$9,Paramètres!$A$1:$I$89,3,0)*0.475*44/12</f>
        <v>0.72831183202714922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14.152996264752018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74.447287056432231</v>
      </c>
      <c r="T120" s="62">
        <f t="shared" si="88"/>
        <v>325.27549009125408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13.161434559248116</v>
      </c>
      <c r="AA120" s="23">
        <f>EXP(-LN(2)/25)*AA119+(1-EXP(-LN(2)/25))/(LN(2)/25)*Calculateur!V120*Calculateur!X120*VLOOKUP('Données projet'!$B$9,Paramètres!$A$1:$I$89,3,0)*0.475*44/12</f>
        <v>0.7083961066801121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13.869830665928228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74.447287056432231</v>
      </c>
      <c r="T121" s="62">
        <f t="shared" si="88"/>
        <v>325.27549009125408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12.903346855223674</v>
      </c>
      <c r="AA121" s="23">
        <f>EXP(-LN(2)/25)*AA120+(1-EXP(-LN(2)/25))/(LN(2)/25)*Calculateur!V121*Calculateur!X121*VLOOKUP('Données projet'!$B$9,Paramètres!$A$1:$I$89,3,0)*0.475*44/12</f>
        <v>0.68902497789001227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13.592371833113686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74.447287056432231</v>
      </c>
      <c r="T122" s="62">
        <f t="shared" si="88"/>
        <v>325.27549009125408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12.650320093657195</v>
      </c>
      <c r="AA122" s="23">
        <f>EXP(-LN(2)/25)*AA121+(1-EXP(-LN(2)/25))/(LN(2)/25)*Calculateur!V122*Calculateur!X122*VLOOKUP('Données projet'!$B$9,Paramètres!$A$1:$I$89,3,0)*0.475*44/12</f>
        <v>0.67018355363536108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13.320503647292556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74.447287056432231</v>
      </c>
      <c r="T123" s="62">
        <f t="shared" si="88"/>
        <v>325.27549009125408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12.402255032553949</v>
      </c>
      <c r="AA123" s="23">
        <f>EXP(-LN(2)/25)*AA122+(1-EXP(-LN(2)/25))/(LN(2)/25)*Calculateur!V123*Calculateur!X123*VLOOKUP('Données projet'!$B$9,Paramètres!$A$1:$I$89,3,0)*0.475*44/12</f>
        <v>0.65185734911778082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13.054112381671731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74.447287056432231</v>
      </c>
      <c r="T124" s="62">
        <f t="shared" si="88"/>
        <v>325.27549009125408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12.159054375994192</v>
      </c>
      <c r="AA124" s="23">
        <f>EXP(-LN(2)/25)*AA123+(1-EXP(-LN(2)/25))/(LN(2)/25)*Calculateur!V124*Calculateur!X124*VLOOKUP('Données projet'!$B$9,Paramètres!$A$1:$I$89,3,0)*0.475*44/12</f>
        <v>0.63403227562646691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12.793086651620659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74.447287056432231</v>
      </c>
      <c r="T125" s="62">
        <f t="shared" si="88"/>
        <v>325.27549009125408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11.920622735971817</v>
      </c>
      <c r="AA125" s="23">
        <f>EXP(-LN(2)/25)*AA124+(1-EXP(-LN(2)/25))/(LN(2)/25)*Calculateur!V125*Calculateur!X125*VLOOKUP('Données projet'!$B$9,Paramètres!$A$1:$I$89,3,0)*0.475*44/12</f>
        <v>0.61669462970715294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12.53731736567897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74.447287056432231</v>
      </c>
      <c r="T126" s="62">
        <f t="shared" si="88"/>
        <v>325.27549009125408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11.686866594981341</v>
      </c>
      <c r="AA126" s="23">
        <f>EXP(-LN(2)/25)*AA125+(1-EXP(-LN(2)/25))/(LN(2)/25)*Calculateur!V126*Calculateur!X126*VLOOKUP('Données projet'!$B$9,Paramètres!$A$1:$I$89,3,0)*0.475*44/12</f>
        <v>0.59983108262724971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12.28669767760859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74.447287056432231</v>
      </c>
      <c r="T127" s="62">
        <f t="shared" si="88"/>
        <v>325.27549009125408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11.45769426933852</v>
      </c>
      <c r="AA127" s="23">
        <f>EXP(-LN(2)/25)*AA126+(1-EXP(-LN(2)/25))/(LN(2)/25)*Calculateur!V127*Calculateur!X127*VLOOKUP('Données projet'!$B$9,Paramètres!$A$1:$I$89,3,0)*0.475*44/12</f>
        <v>0.58342867012906185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12.041122939467581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74.447287056432231</v>
      </c>
      <c r="T128" s="62">
        <f t="shared" si="88"/>
        <v>325.27549009125408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11.233015873220237</v>
      </c>
      <c r="AA128" s="23">
        <f>EXP(-LN(2)/25)*AA127+(1-EXP(-LN(2)/25))/(LN(2)/25)*Calculateur!V128*Calculateur!X128*VLOOKUP('Données projet'!$B$9,Paramètres!$A$1:$I$89,3,0)*0.475*44/12</f>
        <v>0.56747478246320238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11.80049065568344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74.447287056432231</v>
      </c>
      <c r="T129" s="62">
        <f t="shared" si="88"/>
        <v>325.27549009125408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11.012743283409545</v>
      </c>
      <c r="AA129" s="23">
        <f>EXP(-LN(2)/25)*AA128+(1-EXP(-LN(2)/25))/(LN(2)/25)*Calculateur!V129*Calculateur!X129*VLOOKUP('Données projet'!$B$9,Paramètres!$A$1:$I$89,3,0)*0.475*44/12</f>
        <v>0.55195715469454432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11.56470043810409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74.447287056432231</v>
      </c>
      <c r="T130" s="62">
        <f t="shared" si="88"/>
        <v>325.27549009125408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10.796790104732027</v>
      </c>
      <c r="AA130" s="23">
        <f>EXP(-LN(2)/25)*AA129+(1-EXP(-LN(2)/25))/(LN(2)/25)*Calculateur!V130*Calculateur!X130*VLOOKUP('Données projet'!$B$9,Paramètres!$A$1:$I$89,3,0)*0.475*44/12</f>
        <v>0.53686385727325681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11.333653962005284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74.447287056432231</v>
      </c>
      <c r="T131" s="62">
        <f t="shared" si="88"/>
        <v>325.27549009125408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10.585071636169943</v>
      </c>
      <c r="AA131" s="23">
        <f>EXP(-LN(2)/25)*AA130+(1-EXP(-LN(2)/25))/(LN(2)/25)*Calculateur!V131*Calculateur!X131*VLOOKUP('Données projet'!$B$9,Paramètres!$A$1:$I$89,3,0)*0.475*44/12</f>
        <v>0.52218328686367632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11.107254923033619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74.447287056432231</v>
      </c>
      <c r="T132" s="62">
        <f t="shared" si="88"/>
        <v>325.27549009125408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10.377504837640846</v>
      </c>
      <c r="AA132" s="23">
        <f>EXP(-LN(2)/25)*AA131+(1-EXP(-LN(2)/25))/(LN(2)/25)*Calculateur!V132*Calculateur!X132*VLOOKUP('Données projet'!$B$9,Paramètres!$A$1:$I$89,3,0)*0.475*44/12</f>
        <v>0.50790415742396355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10.885408995064809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74.447287056432231</v>
      </c>
      <c r="T133" s="62">
        <f t="shared" ref="T133:T196" si="142">$T$3</f>
        <v>325.27549009125408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10.174008297427658</v>
      </c>
      <c r="AA133" s="23">
        <f>EXP(-LN(2)/25)*AA132+(1-EXP(-LN(2)/25))/(LN(2)/25)*Calculateur!V133*Calculateur!X133*VLOOKUP('Données projet'!$B$9,Paramètres!$A$1:$I$89,3,0)*0.475*44/12</f>
        <v>0.49401549152968643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10.668023788957345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74.447287056432231</v>
      </c>
      <c r="T134" s="62">
        <f t="shared" si="142"/>
        <v>325.27549009125408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9.974502200247418</v>
      </c>
      <c r="AA134" s="23">
        <f>EXP(-LN(2)/25)*AA133+(1-EXP(-LN(2)/25))/(LN(2)/25)*Calculateur!V134*Calculateur!X134*VLOOKUP('Données projet'!$B$9,Paramètres!$A$1:$I$89,3,0)*0.475*44/12</f>
        <v>0.48050661193466154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10.455008812182079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74.447287056432231</v>
      </c>
      <c r="T135" s="62">
        <f t="shared" si="142"/>
        <v>325.27549009125408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9.7789082959461791</v>
      </c>
      <c r="AA135" s="23">
        <f>EXP(-LN(2)/25)*AA134+(1-EXP(-LN(2)/25))/(LN(2)/25)*Calculateur!V135*Calculateur!X135*VLOOKUP('Données projet'!$B$9,Paramètres!$A$1:$I$89,3,0)*0.475*44/12</f>
        <v>0.46736713336256369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10.246275429308742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74.447287056432231</v>
      </c>
      <c r="T136" s="62">
        <f t="shared" si="142"/>
        <v>325.27549009125408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9.587149868807785</v>
      </c>
      <c r="AA136" s="23">
        <f>EXP(-LN(2)/25)*AA135+(1-EXP(-LN(2)/25))/(LN(2)/25)*Calculateur!V136*Calculateur!X136*VLOOKUP('Données projet'!$B$9,Paramètres!$A$1:$I$89,3,0)*0.475*44/12</f>
        <v>0.45458695452299502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10.04173682333078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74.447287056432231</v>
      </c>
      <c r="T137" s="62">
        <f t="shared" si="142"/>
        <v>325.27549009125408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9.3991517074644833</v>
      </c>
      <c r="AA137" s="23">
        <f>EXP(-LN(2)/25)*AA136+(1-EXP(-LN(2)/25))/(LN(2)/25)*Calculateur!V137*Calculateur!X137*VLOOKUP('Données projet'!$B$9,Paramètres!$A$1:$I$89,3,0)*0.475*44/12</f>
        <v>0.44215625034587475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9.8413079578103577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74.447287056432231</v>
      </c>
      <c r="T138" s="62">
        <f t="shared" si="142"/>
        <v>325.27549009125408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9.2148400753975679</v>
      </c>
      <c r="AA138" s="23">
        <f>EXP(-LN(2)/25)*AA137+(1-EXP(-LN(2)/25))/(LN(2)/25)*Calculateur!V138*Calculateur!X138*VLOOKUP('Données projet'!$B$9,Paramètres!$A$1:$I$89,3,0)*0.475*44/12</f>
        <v>0.43006546442818017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9.6449055398257482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74.447287056432231</v>
      </c>
      <c r="T139" s="62">
        <f t="shared" si="142"/>
        <v>325.27549009125408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9.0341426820164887</v>
      </c>
      <c r="AA139" s="23">
        <f>EXP(-LN(2)/25)*AA138+(1-EXP(-LN(2)/25))/(LN(2)/25)*Calculateur!V139*Calculateur!X139*VLOOKUP('Données projet'!$B$9,Paramètres!$A$1:$I$89,3,0)*0.475*44/12</f>
        <v>0.41830530168723173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9.4524479837037205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74.447287056432231</v>
      </c>
      <c r="T140" s="62">
        <f t="shared" si="142"/>
        <v>325.27549009125408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8.856988654305086</v>
      </c>
      <c r="AA140" s="23">
        <f>EXP(-LN(2)/25)*AA139+(1-EXP(-LN(2)/25))/(LN(2)/25)*Calculateur!V140*Calculateur!X140*VLOOKUP('Données projet'!$B$9,Paramètres!$A$1:$I$89,3,0)*0.475*44/12</f>
        <v>0.4068667212148746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9.2638553755199613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74.447287056432231</v>
      </c>
      <c r="T141" s="62">
        <f t="shared" si="142"/>
        <v>325.27549009125408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8.6833085090238171</v>
      </c>
      <c r="AA141" s="23">
        <f>EXP(-LN(2)/25)*AA140+(1-EXP(-LN(2)/25))/(LN(2)/25)*Calculateur!V141*Calculateur!X141*VLOOKUP('Données projet'!$B$9,Paramètres!$A$1:$I$89,3,0)*0.475*44/12</f>
        <v>0.3957409293270629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9.0790494383508804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74.447287056432231</v>
      </c>
      <c r="T142" s="62">
        <f t="shared" si="142"/>
        <v>325.27549009125408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8.513034125457084</v>
      </c>
      <c r="AA142" s="23">
        <f>EXP(-LN(2)/25)*AA141+(1-EXP(-LN(2)/25))/(LN(2)/25)*Calculateur!V142*Calculateur!X142*VLOOKUP('Données projet'!$B$9,Paramètres!$A$1:$I$89,3,0)*0.475*44/12</f>
        <v>0.38491937280350336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8.8979534982605877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74.447287056432231</v>
      </c>
      <c r="T143" s="62">
        <f t="shared" si="142"/>
        <v>325.27549009125408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8.3460987186949769</v>
      </c>
      <c r="AA143" s="23">
        <f>EXP(-LN(2)/25)*AA142+(1-EXP(-LN(2)/25))/(LN(2)/25)*Calculateur!V143*Calculateur!X143*VLOOKUP('Données projet'!$B$9,Paramètres!$A$1:$I$89,3,0)*0.475*44/12</f>
        <v>0.3743937323121615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8.7204924510071375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74.447287056432231</v>
      </c>
      <c r="T144" s="62">
        <f t="shared" si="142"/>
        <v>325.27549009125408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8.1824368134389296</v>
      </c>
      <c r="AA144" s="23">
        <f>EXP(-LN(2)/25)*AA143+(1-EXP(-LN(2)/25))/(LN(2)/25)*Calculateur!V144*Calculateur!X144*VLOOKUP('Données projet'!$B$9,Paramètres!$A$1:$I$89,3,0)*0.475*44/12</f>
        <v>0.36415591601357472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8.5465927294525041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74.447287056432231</v>
      </c>
      <c r="T145" s="62">
        <f t="shared" si="142"/>
        <v>325.27549009125408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8.0219842183210481</v>
      </c>
      <c r="AA145" s="23">
        <f>EXP(-LN(2)/25)*AA144+(1-EXP(-LN(2)/25))/(LN(2)/25)*Calculateur!V145*Calculateur!X145*VLOOKUP('Données projet'!$B$9,Paramètres!$A$1:$I$89,3,0)*0.475*44/12</f>
        <v>0.35419805334005616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8.3761822716611043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74.447287056432231</v>
      </c>
      <c r="T146" s="62">
        <f t="shared" si="142"/>
        <v>325.27549009125408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7.8646780007270092</v>
      </c>
      <c r="AA146" s="23">
        <f>EXP(-LN(2)/25)*AA145+(1-EXP(-LN(2)/25))/(LN(2)/25)*Calculateur!V146*Calculateur!X146*VLOOKUP('Données projet'!$B$9,Paramètres!$A$1:$I$89,3,0)*0.475*44/12</f>
        <v>0.34451248894500625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8.2091904896720163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74.447287056432231</v>
      </c>
      <c r="T147" s="62">
        <f t="shared" si="142"/>
        <v>325.27549009125408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7.7104564621126706</v>
      </c>
      <c r="AA147" s="23">
        <f>EXP(-LN(2)/25)*AA146+(1-EXP(-LN(2)/25))/(LN(2)/25)*Calculateur!V147*Calculateur!X147*VLOOKUP('Données projet'!$B$9,Paramètres!$A$1:$I$89,3,0)*0.475*44/12</f>
        <v>0.33509177681768065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8.0455482389303512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74.447287056432231</v>
      </c>
      <c r="T148" s="62">
        <f t="shared" si="142"/>
        <v>325.27549009125408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7.5592591138047087</v>
      </c>
      <c r="AA148" s="23">
        <f>EXP(-LN(2)/25)*AA147+(1-EXP(-LN(2)/25))/(LN(2)/25)*Calculateur!V148*Calculateur!X148*VLOOKUP('Données projet'!$B$9,Paramètres!$A$1:$I$89,3,0)*0.475*44/12</f>
        <v>0.32592867455889052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7.8851877883635995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74.447287056432231</v>
      </c>
      <c r="T149" s="62">
        <f t="shared" si="142"/>
        <v>325.27549009125408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7.4110266532757896</v>
      </c>
      <c r="AA149" s="23">
        <f>EXP(-LN(2)/25)*AA148+(1-EXP(-LN(2)/25))/(LN(2)/25)*Calculateur!V149*Calculateur!X149*VLOOKUP('Données projet'!$B$9,Paramètres!$A$1:$I$89,3,0)*0.475*44/12</f>
        <v>0.31701613781323357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7.728042791089023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74.447287056432231</v>
      </c>
      <c r="T150" s="62">
        <f t="shared" si="142"/>
        <v>325.27549009125408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7.2657009408849689</v>
      </c>
      <c r="AA150" s="23">
        <f>EXP(-LN(2)/25)*AA149+(1-EXP(-LN(2)/25))/(LN(2)/25)*Calculateur!V150*Calculateur!X150*VLOOKUP('Données projet'!$B$9,Paramètres!$A$1:$I$89,3,0)*0.475*44/12</f>
        <v>0.30834731485357658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7.5740482557385453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74.447287056432231</v>
      </c>
      <c r="T151" s="62">
        <f t="shared" si="142"/>
        <v>325.27549009125408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7.1232249770742007</v>
      </c>
      <c r="AA151" s="23">
        <f>EXP(-LN(2)/25)*AA150+(1-EXP(-LN(2)/25))/(LN(2)/25)*Calculateur!V151*Calculateur!X151*VLOOKUP('Données projet'!$B$9,Paramètres!$A$1:$I$89,3,0)*0.475*44/12</f>
        <v>0.29991554131362497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7.4231405183878252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74.447287056432231</v>
      </c>
      <c r="T152" s="62">
        <f t="shared" si="142"/>
        <v>325.27549009125408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6.9835428800120045</v>
      </c>
      <c r="AA152" s="23">
        <f>EXP(-LN(2)/25)*AA151+(1-EXP(-LN(2)/25))/(LN(2)/25)*Calculateur!V152*Calculateur!X152*VLOOKUP('Données projet'!$B$9,Paramètres!$A$1:$I$89,3,0)*0.475*44/12</f>
        <v>0.29171433506453104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7.275257215076536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74.447287056432231</v>
      </c>
      <c r="T153" s="62">
        <f t="shared" si="142"/>
        <v>325.27549009125408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6.8465998636755314</v>
      </c>
      <c r="AA153" s="23">
        <f>EXP(-LN(2)/25)*AA152+(1-EXP(-LN(2)/25))/(LN(2)/25)*Calculateur!V153*Calculateur!X153*VLOOKUP('Données projet'!$B$9,Paramètres!$A$1:$I$89,3,0)*0.475*44/12</f>
        <v>0.2837373912316013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7.1303372549071327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74.447287056432231</v>
      </c>
      <c r="T154" s="62">
        <f t="shared" si="142"/>
        <v>325.27549009125408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6.7123422163624236</v>
      </c>
      <c r="AA154" s="23">
        <f>EXP(-LN(2)/25)*AA153+(1-EXP(-LN(2)/25))/(LN(2)/25)*Calculateur!V154*Calculateur!X154*VLOOKUP('Données projet'!$B$9,Paramètres!$A$1:$I$89,3,0)*0.475*44/12</f>
        <v>0.27597857734727227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6.9883207937096961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74.447287056432231</v>
      </c>
      <c r="T155" s="62">
        <f t="shared" si="142"/>
        <v>325.27549009125408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6.5807172796240474</v>
      </c>
      <c r="AA155" s="23">
        <f>EXP(-LN(2)/25)*AA154+(1-EXP(-LN(2)/25))/(LN(2)/25)*Calculateur!V155*Calculateur!X155*VLOOKUP('Données projet'!$B$9,Paramètres!$A$1:$I$89,3,0)*0.475*44/12</f>
        <v>0.26843192863662846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6.849149208260676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74.447287056432231</v>
      </c>
      <c r="T156" s="62">
        <f t="shared" si="142"/>
        <v>325.27549009125408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6.4516734276118264</v>
      </c>
      <c r="AA156" s="23">
        <f>EXP(-LN(2)/25)*AA155+(1-EXP(-LN(2)/25))/(LN(2)/25)*Calculateur!V156*Calculateur!X156*VLOOKUP('Données projet'!$B$9,Paramètres!$A$1:$I$89,3,0)*0.475*44/12</f>
        <v>0.26109164343183822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6.7127650710436644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74.447287056432231</v>
      </c>
      <c r="T157" s="62">
        <f t="shared" si="142"/>
        <v>325.27549009125408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6.3251600468285876</v>
      </c>
      <c r="AA157" s="23">
        <f>EXP(-LN(2)/25)*AA156+(1-EXP(-LN(2)/25))/(LN(2)/25)*Calculateur!V157*Calculateur!X157*VLOOKUP('Données projet'!$B$9,Paramètres!$A$1:$I$89,3,0)*0.475*44/12</f>
        <v>0.25395207871198183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6.5791121255405693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74.447287056432231</v>
      </c>
      <c r="T158" s="62">
        <f t="shared" si="142"/>
        <v>325.27549009125408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6.2011275162769648</v>
      </c>
      <c r="AA158" s="23">
        <f>EXP(-LN(2)/25)*AA157+(1-EXP(-LN(2)/25))/(LN(2)/25)*Calculateur!V158*Calculateur!X158*VLOOKUP('Données projet'!$B$9,Paramètres!$A$1:$I$89,3,0)*0.475*44/12</f>
        <v>0.24700774576484327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6.4481352620418084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74.447287056432231</v>
      </c>
      <c r="T159" s="62">
        <f t="shared" si="142"/>
        <v>325.27549009125408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6.079527187997086</v>
      </c>
      <c r="AA159" s="23">
        <f>EXP(-LN(2)/25)*AA158+(1-EXP(-LN(2)/25))/(LN(2)/25)*Calculateur!V159*Calculateur!X159*VLOOKUP('Données projet'!$B$9,Paramètres!$A$1:$I$89,3,0)*0.475*44/12</f>
        <v>0.24025330596733083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6.3197804939644167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74.447287056432231</v>
      </c>
      <c r="T160" s="62">
        <f t="shared" si="142"/>
        <v>325.27549009125408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5.9603113679858986</v>
      </c>
      <c r="AA160" s="23">
        <f>EXP(-LN(2)/25)*AA159+(1-EXP(-LN(2)/25))/(LN(2)/25)*Calculateur!V160*Calculateur!X160*VLOOKUP('Données projet'!$B$9,Paramètres!$A$1:$I$89,3,0)*0.475*44/12</f>
        <v>0.2336835666812819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6.1939949346671801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74.447287056432231</v>
      </c>
      <c r="T161" s="62">
        <f t="shared" si="142"/>
        <v>325.27549009125408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5.8434332974906606</v>
      </c>
      <c r="AA161" s="23">
        <f>EXP(-LN(2)/25)*AA160+(1-EXP(-LN(2)/25))/(LN(2)/25)*Calculateur!V161*Calculateur!X161*VLOOKUP('Données projet'!$B$9,Paramètres!$A$1:$I$89,3,0)*0.475*44/12</f>
        <v>0.22729347726149757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6.0707267747521581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74.447287056432231</v>
      </c>
      <c r="T162" s="62">
        <f t="shared" si="142"/>
        <v>325.27549009125408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5.72884713466925</v>
      </c>
      <c r="AA162" s="23">
        <f>EXP(-LN(2)/25)*AA161+(1-EXP(-LN(2)/25))/(LN(2)/25)*Calculateur!V162*Calculateur!X162*VLOOKUP('Données projet'!$B$9,Paramètres!$A$1:$I$89,3,0)*0.475*44/12</f>
        <v>0.22107812517293743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5.9499252598421872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74.447287056432231</v>
      </c>
      <c r="T163" s="62">
        <f t="shared" si="142"/>
        <v>325.27549009125408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5.6165079366101098</v>
      </c>
      <c r="AA163" s="23">
        <f>EXP(-LN(2)/25)*AA162+(1-EXP(-LN(2)/25))/(LN(2)/25)*Calculateur!V163*Calculateur!X163*VLOOKUP('Données projet'!$B$9,Paramètres!$A$1:$I$89,3,0)*0.475*44/12</f>
        <v>0.21503273221409014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5.8315406688242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74.447287056432231</v>
      </c>
      <c r="T164" s="62">
        <f t="shared" si="142"/>
        <v>325.27549009125408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5.5063716417047637</v>
      </c>
      <c r="AA164" s="23">
        <f>EXP(-LN(2)/25)*AA163+(1-EXP(-LN(2)/25))/(LN(2)/25)*Calculateur!V164*Calculateur!X164*VLOOKUP('Données projet'!$B$9,Paramètres!$A$1:$I$89,3,0)*0.475*44/12</f>
        <v>0.20915265084361592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5.7155242925483796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74.447287056432231</v>
      </c>
      <c r="T165" s="62">
        <f t="shared" si="142"/>
        <v>325.27549009125408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5.3983950523660047</v>
      </c>
      <c r="AA165" s="23">
        <f>EXP(-LN(2)/25)*AA164+(1-EXP(-LN(2)/25))/(LN(2)/25)*Calculateur!V165*Calculateur!X165*VLOOKUP('Données projet'!$B$9,Paramètres!$A$1:$I$89,3,0)*0.475*44/12</f>
        <v>0.20343336060743736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5.6018284129734424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74.447287056432231</v>
      </c>
      <c r="T166" s="62">
        <f t="shared" si="142"/>
        <v>325.27549009125408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5.2925358180849624</v>
      </c>
      <c r="AA166" s="23">
        <f>EXP(-LN(2)/25)*AA165+(1-EXP(-LN(2)/25))/(LN(2)/25)*Calculateur!V166*Calculateur!X166*VLOOKUP('Données projet'!$B$9,Paramètres!$A$1:$I$89,3,0)*0.475*44/12</f>
        <v>0.1978704646635315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5.4904062827484941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74.447287056432231</v>
      </c>
      <c r="T167" s="62">
        <f t="shared" si="142"/>
        <v>325.27549009125408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5.1887524188204139</v>
      </c>
      <c r="AA167" s="23">
        <f>EXP(-LN(2)/25)*AA166+(1-EXP(-LN(2)/25))/(LN(2)/25)*Calculateur!V167*Calculateur!X167*VLOOKUP('Données projet'!$B$9,Paramètres!$A$1:$I$89,3,0)*0.475*44/12</f>
        <v>0.19245968640175173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5.3812121052221658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74.447287056432231</v>
      </c>
      <c r="T168" s="62">
        <f t="shared" si="142"/>
        <v>325.27549009125408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5.0870041487138202</v>
      </c>
      <c r="AA168" s="23">
        <f>EXP(-LN(2)/25)*AA167+(1-EXP(-LN(2)/25))/(LN(2)/25)*Calculateur!V168*Calculateur!X168*VLOOKUP('Données projet'!$B$9,Paramètres!$A$1:$I$89,3,0)*0.475*44/12</f>
        <v>0.1871968661560808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5.2742010148699014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74.447287056432231</v>
      </c>
      <c r="T169" s="62">
        <f t="shared" si="142"/>
        <v>325.27549009125408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4.9872511001237001</v>
      </c>
      <c r="AA169" s="23">
        <f>EXP(-LN(2)/25)*AA168+(1-EXP(-LN(2)/25))/(LN(2)/25)*Calculateur!V169*Calculateur!X169*VLOOKUP('Données projet'!$B$9,Paramètres!$A$1:$I$89,3,0)*0.475*44/12</f>
        <v>0.18207795800678742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5.1693290581304874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74.447287056432231</v>
      </c>
      <c r="T170" s="62">
        <f t="shared" si="142"/>
        <v>325.27549009125408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4.8894541479730806</v>
      </c>
      <c r="AA170" s="23">
        <f>EXP(-LN(2)/25)*AA169+(1-EXP(-LN(2)/25))/(LN(2)/25)*Calculateur!V170*Calculateur!X170*VLOOKUP('Données projet'!$B$9,Paramètres!$A$1:$I$89,3,0)*0.475*44/12</f>
        <v>0.17709902667002814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5.0665531746431087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74.447287056432231</v>
      </c>
      <c r="T171" s="62">
        <f t="shared" si="142"/>
        <v>325.27549009125408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4.7935749344038836</v>
      </c>
      <c r="AA171" s="23">
        <f>EXP(-LN(2)/25)*AA170+(1-EXP(-LN(2)/25))/(LN(2)/25)*Calculateur!V171*Calculateur!X171*VLOOKUP('Données projet'!$B$9,Paramètres!$A$1:$I$89,3,0)*0.475*44/12</f>
        <v>0.17225624447250318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4.9658311788763871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74.447287056432231</v>
      </c>
      <c r="T172" s="62">
        <f t="shared" si="142"/>
        <v>325.27549009125408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4.6995758537322327</v>
      </c>
      <c r="AA172" s="23">
        <f>EXP(-LN(2)/25)*AA171+(1-EXP(-LN(2)/25))/(LN(2)/25)*Calculateur!V172*Calculateur!X172*VLOOKUP('Données projet'!$B$9,Paramètres!$A$1:$I$89,3,0)*0.475*44/12</f>
        <v>0.16754588840884038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4.8671217421410731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74.447287056432231</v>
      </c>
      <c r="T173" s="62">
        <f t="shared" si="142"/>
        <v>325.27549009125408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4.6074200376987751</v>
      </c>
      <c r="AA173" s="23">
        <f>EXP(-LN(2)/25)*AA172+(1-EXP(-LN(2)/25))/(LN(2)/25)*Calculateur!V173*Calculateur!X173*VLOOKUP('Données projet'!$B$9,Paramètres!$A$1:$I$89,3,0)*0.475*44/12</f>
        <v>0.16296433727944531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4.77038437497822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74.447287056432231</v>
      </c>
      <c r="T174" s="62">
        <f t="shared" si="142"/>
        <v>325.27549009125408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4.5170713410082364</v>
      </c>
      <c r="AA174" s="23">
        <f>EXP(-LN(2)/25)*AA173+(1-EXP(-LN(2)/25))/(LN(2)/25)*Calculateur!V174*Calculateur!X174*VLOOKUP('Données projet'!$B$9,Paramètres!$A$1:$I$89,3,0)*0.475*44/12</f>
        <v>0.15850806890661684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4.6755794099148531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74.447287056432231</v>
      </c>
      <c r="T175" s="62">
        <f t="shared" si="142"/>
        <v>325.27549009125408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4.428494327152535</v>
      </c>
      <c r="AA175" s="23">
        <f>EXP(-LN(2)/25)*AA174+(1-EXP(-LN(2)/25))/(LN(2)/25)*Calculateur!V175*Calculateur!X175*VLOOKUP('Données projet'!$B$9,Paramètres!$A$1:$I$89,3,0)*0.475*44/12</f>
        <v>0.15417365742678835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4.5826679845793237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74.447287056432231</v>
      </c>
      <c r="T176" s="62">
        <f t="shared" si="142"/>
        <v>325.27549009125408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4.3416542545119006</v>
      </c>
      <c r="AA176" s="23">
        <f>EXP(-LN(2)/25)*AA175+(1-EXP(-LN(2)/25))/(LN(2)/25)*Calculateur!V176*Calculateur!X176*VLOOKUP('Données projet'!$B$9,Paramètres!$A$1:$I$89,3,0)*0.475*44/12</f>
        <v>0.14995777065681254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4.4916120251687133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74.447287056432231</v>
      </c>
      <c r="T177" s="62">
        <f t="shared" si="142"/>
        <v>325.27549009125408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4.2565170627285349</v>
      </c>
      <c r="AA177" s="23">
        <f>EXP(-LN(2)/25)*AA176+(1-EXP(-LN(2)/25))/(LN(2)/25)*Calculateur!V177*Calculateur!X177*VLOOKUP('Données projet'!$B$9,Paramètres!$A$1:$I$89,3,0)*0.475*44/12</f>
        <v>0.14585716753226557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4.4023742302608007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74.447287056432231</v>
      </c>
      <c r="T178" s="62">
        <f t="shared" si="142"/>
        <v>325.27549009125408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4.1730493593474813</v>
      </c>
      <c r="AA178" s="23">
        <f>EXP(-LN(2)/25)*AA177+(1-EXP(-LN(2)/25))/(LN(2)/25)*Calculateur!V178*Calculateur!X178*VLOOKUP('Données projet'!$B$9,Paramètres!$A$1:$I$89,3,0)*0.475*44/12</f>
        <v>0.14186869561580071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4.3149180549632824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74.447287056432231</v>
      </c>
      <c r="T179" s="62">
        <f t="shared" si="142"/>
        <v>325.27549009125408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4.0912184067194577</v>
      </c>
      <c r="AA179" s="23">
        <f>EXP(-LN(2)/25)*AA178+(1-EXP(-LN(2)/25))/(LN(2)/25)*Calculateur!V179*Calculateur!X179*VLOOKUP('Données projet'!$B$9,Paramètres!$A$1:$I$89,3,0)*0.475*44/12</f>
        <v>0.13798928867363619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4.2292076953930939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74.447287056432231</v>
      </c>
      <c r="T180" s="62">
        <f t="shared" si="142"/>
        <v>325.27549009125408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4.010992109160517</v>
      </c>
      <c r="AA180" s="23">
        <f>EXP(-LN(2)/25)*AA179+(1-EXP(-LN(2)/25))/(LN(2)/25)*Calculateur!V180*Calculateur!X180*VLOOKUP('Données projet'!$B$9,Paramètres!$A$1:$I$89,3,0)*0.475*44/12</f>
        <v>0.13421596431831428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4.1452080734788312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74.447287056432231</v>
      </c>
      <c r="T181" s="62">
        <f t="shared" si="142"/>
        <v>325.27549009125408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3.9323390003634975</v>
      </c>
      <c r="AA181" s="23">
        <f>EXP(-LN(2)/25)*AA180+(1-EXP(-LN(2)/25))/(LN(2)/25)*Calculateur!V181*Calculateur!X181*VLOOKUP('Données projet'!$B$9,Paramètres!$A$1:$I$89,3,0)*0.475*44/12</f>
        <v>0.13054582171591916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4.0628848220794165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74.447287056432231</v>
      </c>
      <c r="T182" s="62">
        <f t="shared" si="142"/>
        <v>325.27549009125408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3.8552282310563282</v>
      </c>
      <c r="AA182" s="23">
        <f>EXP(-LN(2)/25)*AA181+(1-EXP(-LN(2)/25))/(LN(2)/25)*Calculateur!V182*Calculateur!X182*VLOOKUP('Données projet'!$B$9,Paramètres!$A$1:$I$89,3,0)*0.475*44/12</f>
        <v>0.12697603935599094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3.9822042704123191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74.447287056432231</v>
      </c>
      <c r="T183" s="62">
        <f t="shared" si="142"/>
        <v>325.27549009125408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3.7796295569023473</v>
      </c>
      <c r="AA183" s="23">
        <f>EXP(-LN(2)/25)*AA182+(1-EXP(-LN(2)/25))/(LN(2)/25)*Calculateur!V183*Calculateur!X183*VLOOKUP('Données projet'!$B$9,Paramètres!$A$1:$I$89,3,0)*0.475*44/12</f>
        <v>0.12350387288242166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3.9031334297847691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74.447287056432231</v>
      </c>
      <c r="T184" s="62">
        <f t="shared" si="142"/>
        <v>325.27549009125408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3.7055133266378877</v>
      </c>
      <c r="AA184" s="23">
        <f>EXP(-LN(2)/25)*AA183+(1-EXP(-LN(2)/25))/(LN(2)/25)*Calculateur!V184*Calculateur!X184*VLOOKUP('Données projet'!$B$9,Paramètres!$A$1:$I$89,3,0)*0.475*44/12</f>
        <v>0.12012665298366544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3.825639979621553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74.447287056432231</v>
      </c>
      <c r="T185" s="62">
        <f t="shared" si="142"/>
        <v>325.27549009125408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3.6328504704424778</v>
      </c>
      <c r="AA185" s="23">
        <f>EXP(-LN(2)/25)*AA184+(1-EXP(-LN(2)/25))/(LN(2)/25)*Calculateur!V185*Calculateur!X185*VLOOKUP('Données projet'!$B$9,Paramètres!$A$1:$I$89,3,0)*0.475*44/12</f>
        <v>0.11684178334064098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3.7496922537831185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74.447287056432231</v>
      </c>
      <c r="T186" s="62">
        <f t="shared" si="142"/>
        <v>325.27549009125408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3.5616124885370937</v>
      </c>
      <c r="AA186" s="23">
        <f>EXP(-LN(2)/25)*AA185+(1-EXP(-LN(2)/25))/(LN(2)/25)*Calculateur!V186*Calculateur!X186*VLOOKUP('Données projet'!$B$9,Paramètres!$A$1:$I$89,3,0)*0.475*44/12</f>
        <v>0.11364673863074881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3.6752592271678424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74.447287056432231</v>
      </c>
      <c r="T187" s="62">
        <f t="shared" si="142"/>
        <v>325.27549009125408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3.4917714400059956</v>
      </c>
      <c r="AA187" s="23">
        <f>EXP(-LN(2)/25)*AA186+(1-EXP(-LN(2)/25))/(LN(2)/25)*Calculateur!V187*Calculateur!X187*VLOOKUP('Données projet'!$B$9,Paramètres!$A$1:$I$89,3,0)*0.475*44/12</f>
        <v>0.11053906258646874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3.6023105025924642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74.447287056432231</v>
      </c>
      <c r="T188" s="62">
        <f t="shared" si="142"/>
        <v>325.27549009125408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3.423299931837759</v>
      </c>
      <c r="AA188" s="23">
        <f>EXP(-LN(2)/25)*AA187+(1-EXP(-LN(2)/25))/(LN(2)/25)*Calculateur!V188*Calculateur!X188*VLOOKUP('Données projet'!$B$9,Paramètres!$A$1:$I$89,3,0)*0.475*44/12</f>
        <v>0.1075163661070451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3.5308162979448041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74.447287056432231</v>
      </c>
      <c r="T189" s="62">
        <f t="shared" si="142"/>
        <v>325.27549009125408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3.3561711081812056</v>
      </c>
      <c r="AA189" s="23">
        <f>EXP(-LN(2)/25)*AA188+(1-EXP(-LN(2)/25))/(LN(2)/25)*Calculateur!V189*Calculateur!X189*VLOOKUP('Données projet'!$B$9,Paramètres!$A$1:$I$89,3,0)*0.475*44/12</f>
        <v>0.10457632542180799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3.4607474336030135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74.447287056432231</v>
      </c>
      <c r="T190" s="62">
        <f t="shared" si="142"/>
        <v>325.27549009125408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3.2903586398120175</v>
      </c>
      <c r="AA190" s="23">
        <f>EXP(-LN(2)/25)*AA189+(1-EXP(-LN(2)/25))/(LN(2)/25)*Calculateur!V190*Calculateur!X190*VLOOKUP('Données projet'!$B$9,Paramètres!$A$1:$I$89,3,0)*0.475*44/12</f>
        <v>0.10171668030371871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3.3920753201157363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74.447287056432231</v>
      </c>
      <c r="T191" s="62">
        <f t="shared" si="142"/>
        <v>325.27549009125408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3.225836713805907</v>
      </c>
      <c r="AA191" s="23">
        <f>EXP(-LN(2)/25)*AA190+(1-EXP(-LN(2)/25))/(LN(2)/25)*Calculateur!V191*Calculateur!X191*VLOOKUP('Données projet'!$B$9,Paramètres!$A$1:$I$89,3,0)*0.475*44/12</f>
        <v>9.8935232331765779E-2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3.3247719461376728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74.447287056432231</v>
      </c>
      <c r="T192" s="62">
        <f t="shared" si="142"/>
        <v>325.27549009125408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3.1625800234142876</v>
      </c>
      <c r="AA192" s="23">
        <f>EXP(-LN(2)/25)*AA191+(1-EXP(-LN(2)/25))/(LN(2)/25)*Calculateur!V192*Calculateur!X192*VLOOKUP('Données projet'!$B$9,Paramètres!$A$1:$I$89,3,0)*0.475*44/12</f>
        <v>9.6229843200875895E-2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3.2588098666151635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74.447287056432231</v>
      </c>
      <c r="T193" s="62">
        <f t="shared" si="142"/>
        <v>325.27549009125408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3.1005637581384762</v>
      </c>
      <c r="AA193" s="23">
        <f>EXP(-LN(2)/25)*AA192+(1-EXP(-LN(2)/25))/(LN(2)/25)*Calculateur!V193*Calculateur!X193*VLOOKUP('Données projet'!$B$9,Paramètres!$A$1:$I$89,3,0)*0.475*44/12</f>
        <v>9.359843307804043E-2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3.1941621912165168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74.447287056432231</v>
      </c>
      <c r="T194" s="62">
        <f t="shared" si="142"/>
        <v>325.27549009125408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3.0397635939985368</v>
      </c>
      <c r="AA194" s="23">
        <f>EXP(-LN(2)/25)*AA193+(1-EXP(-LN(2)/25))/(LN(2)/25)*Calculateur!V194*Calculateur!X194*VLOOKUP('Données projet'!$B$9,Paramètres!$A$1:$I$89,3,0)*0.475*44/12</f>
        <v>9.1038979003393736E-2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3.1308025730019304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74.447287056432231</v>
      </c>
      <c r="T195" s="62">
        <f t="shared" si="142"/>
        <v>325.27549009125408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2.9801556839929435</v>
      </c>
      <c r="AA195" s="23">
        <f>EXP(-LN(2)/25)*AA194+(1-EXP(-LN(2)/25))/(LN(2)/25)*Calculateur!V195*Calculateur!X195*VLOOKUP('Données projet'!$B$9,Paramètres!$A$1:$I$89,3,0)*0.475*44/12</f>
        <v>8.8549513335014096E-2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3.0687051973279575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74.447287056432231</v>
      </c>
      <c r="T196" s="62">
        <f t="shared" si="142"/>
        <v>325.27549009125408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2.9217166487453246</v>
      </c>
      <c r="AA196" s="23">
        <f>EXP(-LN(2)/25)*AA195+(1-EXP(-LN(2)/25))/(LN(2)/25)*Calculateur!V196*Calculateur!X196*VLOOKUP('Données projet'!$B$9,Paramètres!$A$1:$I$89,3,0)*0.475*44/12</f>
        <v>8.6128122236251617E-2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3.0078447709815763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74.447287056432231</v>
      </c>
      <c r="T197" s="62">
        <f t="shared" ref="T197:T203" si="204">$T$3</f>
        <v>325.27549009125408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2.8644235673346197</v>
      </c>
      <c r="AA197" s="23">
        <f>EXP(-LN(2)/25)*AA196+(1-EXP(-LN(2)/25))/(LN(2)/25)*Calculateur!V197*Calculateur!X197*VLOOKUP('Données projet'!$B$9,Paramètres!$A$1:$I$89,3,0)*0.475*44/12</f>
        <v>8.3772944204420219E-2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2.9481965115390398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74.447287056432231</v>
      </c>
      <c r="T198" s="62">
        <f t="shared" si="204"/>
        <v>325.27549009125408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2.8082539683050496</v>
      </c>
      <c r="AA198" s="23">
        <f>EXP(-LN(2)/25)*AA197+(1-EXP(-LN(2)/25))/(LN(2)/25)*Calculateur!V198*Calculateur!X198*VLOOKUP('Données projet'!$B$9,Paramètres!$A$1:$I$89,3,0)*0.475*44/12</f>
        <v>8.1482168639722671E-2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2.889736136944772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74.447287056432231</v>
      </c>
      <c r="T199" s="62">
        <f t="shared" si="204"/>
        <v>325.27549009125408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2.753185820852377</v>
      </c>
      <c r="AA199" s="23">
        <f>EXP(-LN(2)/25)*AA198+(1-EXP(-LN(2)/25))/(LN(2)/25)*Calculateur!V199*Calculateur!X199*VLOOKUP('Données projet'!$B$9,Paramètres!$A$1:$I$89,3,0)*0.475*44/12</f>
        <v>7.9254034453308433E-2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2.8324398553056853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74.447287056432231</v>
      </c>
      <c r="T200" s="62">
        <f t="shared" si="204"/>
        <v>325.27549009125408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2.6991975261829975</v>
      </c>
      <c r="AA200" s="23">
        <f>EXP(-LN(2)/25)*AA199+(1-EXP(-LN(2)/25))/(LN(2)/25)*Calculateur!V200*Calculateur!X200*VLOOKUP('Données projet'!$B$9,Paramètres!$A$1:$I$89,3,0)*0.475*44/12</f>
        <v>7.7086828713394173E-2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2.7762843548963918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74.447287056432231</v>
      </c>
      <c r="T201" s="62">
        <f t="shared" si="204"/>
        <v>325.27549009125408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2.6462679090424763</v>
      </c>
      <c r="AA201" s="23">
        <f>EXP(-LN(2)/25)*AA200+(1-EXP(-LN(2)/25))/(LN(2)/25)*Calculateur!V201*Calculateur!X201*VLOOKUP('Données projet'!$B$9,Paramètres!$A$1:$I$89,3,0)*0.475*44/12</f>
        <v>7.497888532840627E-2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2.7212467943708827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74.447287056432231</v>
      </c>
      <c r="T202" s="62">
        <f t="shared" si="204"/>
        <v>325.27549009125408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2.5943762094102021</v>
      </c>
      <c r="AA202" s="23">
        <f>EXP(-LN(2)/25)*AA201+(1-EXP(-LN(2)/25))/(LN(2)/25)*Calculateur!V202*Calculateur!X202*VLOOKUP('Données projet'!$B$9,Paramètres!$A$1:$I$89,3,0)*0.475*44/12</f>
        <v>7.2928583766132787E-2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2.667304793176335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74.447287056432231</v>
      </c>
      <c r="T203" s="62">
        <f t="shared" si="204"/>
        <v>325.27549009125408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2.5435020743569052</v>
      </c>
      <c r="AA203" s="23">
        <f>EXP(-LN(2)/25)*AA202+(1-EXP(-LN(2)/25))/(LN(2)/25)*Calculateur!V203*Calculateur!X203*VLOOKUP('Données projet'!$B$9,Paramètres!$A$1:$I$89,3,0)*0.475*44/12</f>
        <v>7.0934347807900353E-2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2.6144364221648058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1.233350534411829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O16" sqref="O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Robusta</v>
      </c>
      <c r="B6" s="155">
        <f>'Données projet'!D9</f>
        <v>2.7</v>
      </c>
      <c r="C6" s="156">
        <f ca="1">IF(OR('Données projet'!B9="",'Données projet'!C9="",'Données projet'!C9=0%),0,Calculateur!S3)</f>
        <v>74.447287056432231</v>
      </c>
      <c r="D6" s="156">
        <f>IF(OR('Données projet'!B9="",'Données projet'!C9="",'Données projet'!C9=0%),0,Calculateur!T3)</f>
        <v>325.27549009125408</v>
      </c>
      <c r="E6" s="156">
        <f ca="1">MIN(C6,D6)</f>
        <v>74.447287056432231</v>
      </c>
      <c r="F6" s="156">
        <f ca="1">E6*B6</f>
        <v>201.00767505236703</v>
      </c>
      <c r="G6" s="156">
        <f ca="1">F6*(100%-'Données projet'!$C$24)*(100%-'Données projet'!$C$25)*(100%-'Données projet'!$C$26)*(100%-'Données projet'!$C$27)</f>
        <v>180.90690754713034</v>
      </c>
      <c r="H6" s="157">
        <f>IF(OR('Données projet'!B9="",'Données projet'!C9="",'Données projet'!C9=0%),0,AVERAGE(Calculateur!$AC$3:$AC$33)*B6)</f>
        <v>37.054730352844238</v>
      </c>
      <c r="I6" s="158">
        <f>H6*(100%-'Données projet'!$C$24)*(100%-'Données projet'!$C$25)*(100%-'Données projet'!$C$26)*(100%-'Données projet'!$C$27)</f>
        <v>33.349257317559818</v>
      </c>
      <c r="J6" s="159">
        <f>IF(OR('Données projet'!B9="",'Données projet'!C9="",'Données projet'!C9=0%),0,SUM(Calculateur!$V$3:$V$33)*VLOOKUP('Données projet'!$B$9,Paramètres!$A$1:$I$89,9,0)*B6)</f>
        <v>649.30788000000007</v>
      </c>
      <c r="K6" s="160">
        <f>J6*(100%-'Données projet'!$C$24)*(100%-'Données projet'!$C$25)*(100%-'Données projet'!$C$26)*(100%-'Données projet'!$C$27)</f>
        <v>584.37709200000006</v>
      </c>
      <c r="L6" s="161">
        <f ca="1">G6+I6+K6</f>
        <v>798.63325686469022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201.00767505236703</v>
      </c>
      <c r="G16" s="175">
        <f t="shared" ca="1" si="3"/>
        <v>180.90690754713034</v>
      </c>
      <c r="H16" s="176">
        <f t="shared" si="3"/>
        <v>37.054730352844238</v>
      </c>
      <c r="I16" s="176">
        <f t="shared" si="3"/>
        <v>33.349257317559818</v>
      </c>
      <c r="J16" s="177">
        <f t="shared" si="3"/>
        <v>649.30788000000007</v>
      </c>
      <c r="K16" s="177">
        <f t="shared" si="3"/>
        <v>584.37709200000006</v>
      </c>
      <c r="L16" s="178">
        <f t="shared" ca="1" si="3"/>
        <v>798.63325686469022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Robusta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0" zoomScale="90" zoomScaleNormal="90" workbookViewId="0">
      <selection activeCell="G29" sqref="G2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Robusta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750.92142577293635</v>
      </c>
      <c r="U10" s="190">
        <f>'Données projet'!D9</f>
        <v>2.7</v>
      </c>
      <c r="V10" s="189">
        <f>U10*T10</f>
        <v>2027.4878495869282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Robusta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1851</v>
      </c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1265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500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600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26</v>
      </c>
      <c r="B23" s="193">
        <f>'Données projet'!D36</f>
        <v>233.48</v>
      </c>
      <c r="C23" s="206">
        <v>35</v>
      </c>
      <c r="D23" s="194">
        <f>B23*C23</f>
        <v>8171.7999999999993</v>
      </c>
      <c r="E23" s="206"/>
      <c r="F23" s="261"/>
      <c r="H23" s="203">
        <v>3</v>
      </c>
      <c r="I23" s="204">
        <v>700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-5819.5612817895408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-5819.5612817895408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str">
        <f>IF(O59+1&lt;=MIN('Données projet'!$E$9:$E$18),O59+1,"STOP")</f>
        <v>STOP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2022-04-11T12:47:53Z</dcterms:modified>
</cp:coreProperties>
</file>