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Dossier boisement Grudé\"/>
    </mc:Choice>
  </mc:AlternateContent>
  <xr:revisionPtr revIDLastSave="0" documentId="13_ncr:1_{D1C9375B-6F3C-4394-9FB5-27162F44F147}" xr6:coauthVersionLast="47" xr6:coauthVersionMax="47" xr10:uidLastSave="{00000000-0000-0000-0000-000000000000}"/>
  <bookViews>
    <workbookView xWindow="2868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l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<sst xmlns="http://schemas.openxmlformats.org/spreadsheetml/2006/main" count="1172" uniqueCount="324">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</sst>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21" borderId="1" xfId="0" applyFont="1" applyFill="1" applyBorder="1" applyAlignment="1" applyProtection="1">
      <alignment horizontal="center" wrapText="1"/>
      <protection locked="0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1" xfId="0" applyFont="1" applyFill="1" applyBorder="1" applyAlignment="1" applyProtection="1">
      <alignment horizontal="center"/>
      <protection locked="0"/>
    </xf>
    <xf numFmtId="0" fontId="32" fillId="21" borderId="55" xfId="0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523.12924541243819</c:v>
                </c:pt>
                <c:pt idx="117">
                  <c:v>523.12924541243819</c:v>
                </c:pt>
                <c:pt idx="118">
                  <c:v>523.12924541243819</c:v>
                </c:pt>
                <c:pt idx="119">
                  <c:v>523.12924541243819</c:v>
                </c:pt>
                <c:pt idx="120">
                  <c:v>523.12924541243819</c:v>
                </c:pt>
                <c:pt idx="121">
                  <c:v>523.12924541243819</c:v>
                </c:pt>
                <c:pt idx="122">
                  <c:v>523.12924541243819</c:v>
                </c:pt>
                <c:pt idx="123">
                  <c:v>523.12924541243819</c:v>
                </c:pt>
                <c:pt idx="124">
                  <c:v>523.12924541243819</c:v>
                </c:pt>
                <c:pt idx="125">
                  <c:v>523.12924541243819</c:v>
                </c:pt>
                <c:pt idx="126">
                  <c:v>523.12924541243819</c:v>
                </c:pt>
                <c:pt idx="127">
                  <c:v>523.12924541243819</c:v>
                </c:pt>
                <c:pt idx="128">
                  <c:v>523.12924541243819</c:v>
                </c:pt>
                <c:pt idx="129">
                  <c:v>523.12924541243819</c:v>
                </c:pt>
                <c:pt idx="130">
                  <c:v>523.12924541243819</c:v>
                </c:pt>
                <c:pt idx="131">
                  <c:v>523.12924541243819</c:v>
                </c:pt>
                <c:pt idx="132">
                  <c:v>523.12924541243819</c:v>
                </c:pt>
                <c:pt idx="133">
                  <c:v>523.12924541243819</c:v>
                </c:pt>
                <c:pt idx="134">
                  <c:v>523.12924541243819</c:v>
                </c:pt>
                <c:pt idx="135">
                  <c:v>523.12924541243819</c:v>
                </c:pt>
                <c:pt idx="136">
                  <c:v>523.12924541243819</c:v>
                </c:pt>
                <c:pt idx="137">
                  <c:v>523.12924541243819</c:v>
                </c:pt>
                <c:pt idx="138">
                  <c:v>523.12924541243819</c:v>
                </c:pt>
                <c:pt idx="139">
                  <c:v>523.12924541243819</c:v>
                </c:pt>
                <c:pt idx="140">
                  <c:v>523.12924541243819</c:v>
                </c:pt>
                <c:pt idx="141">
                  <c:v>523.12924541243819</c:v>
                </c:pt>
                <c:pt idx="142">
                  <c:v>523.12924541243819</c:v>
                </c:pt>
                <c:pt idx="143">
                  <c:v>523.12924541243819</c:v>
                </c:pt>
                <c:pt idx="144">
                  <c:v>523.12924541243819</c:v>
                </c:pt>
                <c:pt idx="145">
                  <c:v>523.12924541243819</c:v>
                </c:pt>
                <c:pt idx="146">
                  <c:v>523.12924541243819</c:v>
                </c:pt>
                <c:pt idx="147">
                  <c:v>523.12924541243819</c:v>
                </c:pt>
                <c:pt idx="148">
                  <c:v>523.12924541243819</c:v>
                </c:pt>
                <c:pt idx="149">
                  <c:v>523.12924541243819</c:v>
                </c:pt>
                <c:pt idx="150">
                  <c:v>523.12924541243819</c:v>
                </c:pt>
                <c:pt idx="151">
                  <c:v>523.12924541243819</c:v>
                </c:pt>
                <c:pt idx="152">
                  <c:v>523.12924541243819</c:v>
                </c:pt>
                <c:pt idx="153">
                  <c:v>523.12924541243819</c:v>
                </c:pt>
                <c:pt idx="154">
                  <c:v>523.12924541243819</c:v>
                </c:pt>
                <c:pt idx="155">
                  <c:v>523.12924541243819</c:v>
                </c:pt>
                <c:pt idx="156">
                  <c:v>523.12924541243819</c:v>
                </c:pt>
                <c:pt idx="157">
                  <c:v>523.12924541243819</c:v>
                </c:pt>
                <c:pt idx="158">
                  <c:v>523.12924541243819</c:v>
                </c:pt>
                <c:pt idx="159">
                  <c:v>523.12924541243819</c:v>
                </c:pt>
                <c:pt idx="160">
                  <c:v>523.12924541243819</c:v>
                </c:pt>
                <c:pt idx="161">
                  <c:v>523.12924541243819</c:v>
                </c:pt>
                <c:pt idx="162">
                  <c:v>523.12924541243819</c:v>
                </c:pt>
                <c:pt idx="163">
                  <c:v>523.12924541243819</c:v>
                </c:pt>
                <c:pt idx="164">
                  <c:v>523.12924541243819</c:v>
                </c:pt>
                <c:pt idx="165">
                  <c:v>523.12924541243819</c:v>
                </c:pt>
                <c:pt idx="166">
                  <c:v>523.12924541243819</c:v>
                </c:pt>
                <c:pt idx="167">
                  <c:v>523.12924541243819</c:v>
                </c:pt>
                <c:pt idx="168">
                  <c:v>523.12924541243819</c:v>
                </c:pt>
                <c:pt idx="169">
                  <c:v>523.12924541243819</c:v>
                </c:pt>
                <c:pt idx="170">
                  <c:v>523.12924541243819</c:v>
                </c:pt>
                <c:pt idx="171">
                  <c:v>523.12924541243819</c:v>
                </c:pt>
                <c:pt idx="172">
                  <c:v>523.12924541243819</c:v>
                </c:pt>
                <c:pt idx="173">
                  <c:v>523.12924541243819</c:v>
                </c:pt>
                <c:pt idx="174">
                  <c:v>523.12924541243819</c:v>
                </c:pt>
                <c:pt idx="175">
                  <c:v>523.12924541243819</c:v>
                </c:pt>
                <c:pt idx="176">
                  <c:v>523.12924541243819</c:v>
                </c:pt>
                <c:pt idx="177">
                  <c:v>523.12924541243819</c:v>
                </c:pt>
                <c:pt idx="178">
                  <c:v>523.12924541243819</c:v>
                </c:pt>
                <c:pt idx="179">
                  <c:v>523.12924541243819</c:v>
                </c:pt>
                <c:pt idx="180">
                  <c:v>523.12924541243819</c:v>
                </c:pt>
                <c:pt idx="181">
                  <c:v>523.12924541243819</c:v>
                </c:pt>
                <c:pt idx="182">
                  <c:v>523.12924541243819</c:v>
                </c:pt>
                <c:pt idx="183">
                  <c:v>523.12924541243819</c:v>
                </c:pt>
                <c:pt idx="184">
                  <c:v>523.12924541243819</c:v>
                </c:pt>
                <c:pt idx="185">
                  <c:v>523.12924541243819</c:v>
                </c:pt>
                <c:pt idx="186">
                  <c:v>523.12924541243819</c:v>
                </c:pt>
                <c:pt idx="187">
                  <c:v>523.12924541243819</c:v>
                </c:pt>
                <c:pt idx="188">
                  <c:v>523.12924541243819</c:v>
                </c:pt>
                <c:pt idx="189">
                  <c:v>523.12924541243819</c:v>
                </c:pt>
                <c:pt idx="190">
                  <c:v>523.12924541243819</c:v>
                </c:pt>
                <c:pt idx="191">
                  <c:v>523.12924541243819</c:v>
                </c:pt>
                <c:pt idx="192">
                  <c:v>523.12924541243819</c:v>
                </c:pt>
                <c:pt idx="193">
                  <c:v>523.12924541243819</c:v>
                </c:pt>
                <c:pt idx="194">
                  <c:v>523.12924541243819</c:v>
                </c:pt>
                <c:pt idx="195">
                  <c:v>523.12924541243819</c:v>
                </c:pt>
                <c:pt idx="196">
                  <c:v>523.12924541243819</c:v>
                </c:pt>
                <c:pt idx="197">
                  <c:v>523.12924541243819</c:v>
                </c:pt>
                <c:pt idx="198">
                  <c:v>523.12924541243819</c:v>
                </c:pt>
                <c:pt idx="199">
                  <c:v>523.12924541243819</c:v>
                </c:pt>
                <c:pt idx="200">
                  <c:v>523.12924541243819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584.7539010360191</c:v>
                </c:pt>
                <c:pt idx="117">
                  <c:v>584.7539010360191</c:v>
                </c:pt>
                <c:pt idx="118">
                  <c:v>584.7539010360191</c:v>
                </c:pt>
                <c:pt idx="119">
                  <c:v>584.7539010360191</c:v>
                </c:pt>
                <c:pt idx="120">
                  <c:v>584.7539010360191</c:v>
                </c:pt>
                <c:pt idx="121">
                  <c:v>584.7539010360191</c:v>
                </c:pt>
                <c:pt idx="122">
                  <c:v>584.7539010360191</c:v>
                </c:pt>
                <c:pt idx="123">
                  <c:v>584.7539010360191</c:v>
                </c:pt>
                <c:pt idx="124">
                  <c:v>584.7539010360191</c:v>
                </c:pt>
                <c:pt idx="125">
                  <c:v>584.7539010360191</c:v>
                </c:pt>
                <c:pt idx="126">
                  <c:v>584.7539010360191</c:v>
                </c:pt>
                <c:pt idx="127">
                  <c:v>584.7539010360191</c:v>
                </c:pt>
                <c:pt idx="128">
                  <c:v>584.7539010360191</c:v>
                </c:pt>
                <c:pt idx="129">
                  <c:v>584.7539010360191</c:v>
                </c:pt>
                <c:pt idx="130">
                  <c:v>584.7539010360191</c:v>
                </c:pt>
                <c:pt idx="131">
                  <c:v>584.7539010360191</c:v>
                </c:pt>
                <c:pt idx="132">
                  <c:v>584.7539010360191</c:v>
                </c:pt>
                <c:pt idx="133">
                  <c:v>584.7539010360191</c:v>
                </c:pt>
                <c:pt idx="134">
                  <c:v>584.7539010360191</c:v>
                </c:pt>
                <c:pt idx="135">
                  <c:v>584.7539010360191</c:v>
                </c:pt>
                <c:pt idx="136">
                  <c:v>584.7539010360191</c:v>
                </c:pt>
                <c:pt idx="137">
                  <c:v>584.7539010360191</c:v>
                </c:pt>
                <c:pt idx="138">
                  <c:v>584.7539010360191</c:v>
                </c:pt>
                <c:pt idx="139">
                  <c:v>584.7539010360191</c:v>
                </c:pt>
                <c:pt idx="140">
                  <c:v>584.7539010360191</c:v>
                </c:pt>
                <c:pt idx="141">
                  <c:v>584.7539010360191</c:v>
                </c:pt>
                <c:pt idx="142">
                  <c:v>584.7539010360191</c:v>
                </c:pt>
                <c:pt idx="143">
                  <c:v>584.7539010360191</c:v>
                </c:pt>
                <c:pt idx="144">
                  <c:v>584.7539010360191</c:v>
                </c:pt>
                <c:pt idx="145">
                  <c:v>584.7539010360191</c:v>
                </c:pt>
                <c:pt idx="146">
                  <c:v>584.7539010360191</c:v>
                </c:pt>
                <c:pt idx="147">
                  <c:v>584.7539010360191</c:v>
                </c:pt>
                <c:pt idx="148">
                  <c:v>584.7539010360191</c:v>
                </c:pt>
                <c:pt idx="149">
                  <c:v>584.7539010360191</c:v>
                </c:pt>
                <c:pt idx="150">
                  <c:v>584.7539010360191</c:v>
                </c:pt>
                <c:pt idx="151">
                  <c:v>584.7539010360191</c:v>
                </c:pt>
                <c:pt idx="152">
                  <c:v>584.7539010360191</c:v>
                </c:pt>
                <c:pt idx="153">
                  <c:v>584.7539010360191</c:v>
                </c:pt>
                <c:pt idx="154">
                  <c:v>584.7539010360191</c:v>
                </c:pt>
                <c:pt idx="155">
                  <c:v>584.7539010360191</c:v>
                </c:pt>
                <c:pt idx="156">
                  <c:v>584.7539010360191</c:v>
                </c:pt>
                <c:pt idx="157">
                  <c:v>584.7539010360191</c:v>
                </c:pt>
                <c:pt idx="158">
                  <c:v>584.7539010360191</c:v>
                </c:pt>
                <c:pt idx="159">
                  <c:v>584.7539010360191</c:v>
                </c:pt>
                <c:pt idx="160">
                  <c:v>584.7539010360191</c:v>
                </c:pt>
                <c:pt idx="161">
                  <c:v>584.7539010360191</c:v>
                </c:pt>
                <c:pt idx="162">
                  <c:v>584.7539010360191</c:v>
                </c:pt>
                <c:pt idx="163">
                  <c:v>584.7539010360191</c:v>
                </c:pt>
                <c:pt idx="164">
                  <c:v>584.7539010360191</c:v>
                </c:pt>
                <c:pt idx="165">
                  <c:v>584.7539010360191</c:v>
                </c:pt>
                <c:pt idx="166">
                  <c:v>584.7539010360191</c:v>
                </c:pt>
                <c:pt idx="167">
                  <c:v>584.7539010360191</c:v>
                </c:pt>
                <c:pt idx="168">
                  <c:v>584.7539010360191</c:v>
                </c:pt>
                <c:pt idx="169">
                  <c:v>584.7539010360191</c:v>
                </c:pt>
                <c:pt idx="170">
                  <c:v>584.7539010360191</c:v>
                </c:pt>
                <c:pt idx="171">
                  <c:v>584.7539010360191</c:v>
                </c:pt>
                <c:pt idx="172">
                  <c:v>584.7539010360191</c:v>
                </c:pt>
                <c:pt idx="173">
                  <c:v>584.7539010360191</c:v>
                </c:pt>
                <c:pt idx="174">
                  <c:v>584.7539010360191</c:v>
                </c:pt>
                <c:pt idx="175">
                  <c:v>584.7539010360191</c:v>
                </c:pt>
                <c:pt idx="176">
                  <c:v>584.7539010360191</c:v>
                </c:pt>
                <c:pt idx="177">
                  <c:v>584.7539010360191</c:v>
                </c:pt>
                <c:pt idx="178">
                  <c:v>584.7539010360191</c:v>
                </c:pt>
                <c:pt idx="179">
                  <c:v>584.7539010360191</c:v>
                </c:pt>
                <c:pt idx="180">
                  <c:v>584.7539010360191</c:v>
                </c:pt>
                <c:pt idx="181">
                  <c:v>584.7539010360191</c:v>
                </c:pt>
                <c:pt idx="182">
                  <c:v>584.7539010360191</c:v>
                </c:pt>
                <c:pt idx="183">
                  <c:v>584.7539010360191</c:v>
                </c:pt>
                <c:pt idx="184">
                  <c:v>584.7539010360191</c:v>
                </c:pt>
                <c:pt idx="185">
                  <c:v>584.7539010360191</c:v>
                </c:pt>
                <c:pt idx="186">
                  <c:v>584.7539010360191</c:v>
                </c:pt>
                <c:pt idx="187">
                  <c:v>584.7539010360191</c:v>
                </c:pt>
                <c:pt idx="188">
                  <c:v>584.7539010360191</c:v>
                </c:pt>
                <c:pt idx="189">
                  <c:v>584.7539010360191</c:v>
                </c:pt>
                <c:pt idx="190">
                  <c:v>584.7539010360191</c:v>
                </c:pt>
                <c:pt idx="191">
                  <c:v>584.7539010360191</c:v>
                </c:pt>
                <c:pt idx="192">
                  <c:v>584.7539010360191</c:v>
                </c:pt>
                <c:pt idx="193">
                  <c:v>584.7539010360191</c:v>
                </c:pt>
                <c:pt idx="194">
                  <c:v>584.7539010360191</c:v>
                </c:pt>
                <c:pt idx="195">
                  <c:v>584.7539010360191</c:v>
                </c:pt>
                <c:pt idx="196">
                  <c:v>584.7539010360191</c:v>
                </c:pt>
                <c:pt idx="197">
                  <c:v>584.7539010360191</c:v>
                </c:pt>
                <c:pt idx="198">
                  <c:v>584.7539010360191</c:v>
                </c:pt>
                <c:pt idx="199">
                  <c:v>584.7539010360191</c:v>
                </c:pt>
                <c:pt idx="200">
                  <c:v>584.7539010360191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8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2" t="s">
        <v>291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3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3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3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3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3">
      <c r="B18" s="262" t="s">
        <v>292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3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3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3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3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3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3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3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3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3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3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3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3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3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C12" sqref="C1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8" t="s">
        <v>192</v>
      </c>
      <c r="C3" s="269"/>
      <c r="D3" s="269"/>
      <c r="E3" s="269"/>
      <c r="F3" s="270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3" t="s">
        <v>231</v>
      </c>
      <c r="B5" s="273"/>
      <c r="C5" s="24">
        <f>5.71-0.17</f>
        <v>5.54</v>
      </c>
      <c r="D5" s="274" t="s">
        <v>229</v>
      </c>
      <c r="E5" s="275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2" t="s">
        <v>226</v>
      </c>
      <c r="B7" s="272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0.86599999999999999</v>
      </c>
      <c r="D9" s="33">
        <f t="shared" ref="D9:D18" si="0">C9*$C$5</f>
        <v>4.7976400000000003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7.1999999999999995E-2</v>
      </c>
      <c r="D10" s="33">
        <f t="shared" si="0"/>
        <v>0.39887999999999996</v>
      </c>
      <c r="E10" s="34">
        <v>115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12</v>
      </c>
      <c r="C11" s="32">
        <v>6.2E-2</v>
      </c>
      <c r="D11" s="33">
        <f t="shared" si="0"/>
        <v>0.34348000000000001</v>
      </c>
      <c r="E11" s="34">
        <v>115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5.5400000000000009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1" t="s">
        <v>232</v>
      </c>
      <c r="B22" s="27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2" t="s">
        <v>227</v>
      </c>
      <c r="B30" s="272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3" t="s">
        <v>186</v>
      </c>
      <c r="D34" s="263"/>
      <c r="E34" s="264" t="s">
        <v>187</v>
      </c>
      <c r="F34" s="265"/>
      <c r="G34" s="265"/>
      <c r="H34" s="266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5">
        <v>19</v>
      </c>
      <c r="B36" s="255">
        <v>162</v>
      </c>
      <c r="C36" s="255"/>
      <c r="D36" s="255">
        <v>0</v>
      </c>
      <c r="E36" s="256"/>
      <c r="F36" s="256"/>
      <c r="G36" s="256"/>
      <c r="H36" s="256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5">
        <v>25</v>
      </c>
      <c r="B37" s="255">
        <v>335</v>
      </c>
      <c r="C37" s="255">
        <v>1</v>
      </c>
      <c r="D37" s="255">
        <v>54</v>
      </c>
      <c r="E37" s="256"/>
      <c r="F37" s="256"/>
      <c r="G37" s="256">
        <v>1</v>
      </c>
      <c r="H37" s="256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5">
        <v>30</v>
      </c>
      <c r="B38" s="255">
        <v>421</v>
      </c>
      <c r="C38" s="255">
        <v>2</v>
      </c>
      <c r="D38" s="255">
        <v>54</v>
      </c>
      <c r="E38" s="256"/>
      <c r="F38" s="256">
        <v>1</v>
      </c>
      <c r="G38" s="256"/>
      <c r="H38" s="256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5">
        <v>35</v>
      </c>
      <c r="B39" s="255">
        <v>505</v>
      </c>
      <c r="C39" s="255">
        <v>3</v>
      </c>
      <c r="D39" s="255">
        <v>69</v>
      </c>
      <c r="E39" s="256">
        <v>1</v>
      </c>
      <c r="F39" s="256"/>
      <c r="G39" s="256"/>
      <c r="H39" s="256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5">
        <v>40</v>
      </c>
      <c r="B40" s="255">
        <v>564</v>
      </c>
      <c r="C40" s="255">
        <v>4</v>
      </c>
      <c r="D40" s="255">
        <v>72</v>
      </c>
      <c r="E40" s="256">
        <v>1</v>
      </c>
      <c r="F40" s="256"/>
      <c r="G40" s="256"/>
      <c r="H40" s="256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5">
        <v>45</v>
      </c>
      <c r="B41" s="255">
        <v>606</v>
      </c>
      <c r="C41" s="255">
        <v>5</v>
      </c>
      <c r="D41" s="255">
        <v>66</v>
      </c>
      <c r="E41" s="256">
        <v>1</v>
      </c>
      <c r="F41" s="256"/>
      <c r="G41" s="256"/>
      <c r="H41" s="256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5">
        <v>50</v>
      </c>
      <c r="B42" s="255">
        <v>629</v>
      </c>
      <c r="C42" s="255">
        <v>6</v>
      </c>
      <c r="D42" s="255">
        <v>48</v>
      </c>
      <c r="E42" s="256">
        <v>1</v>
      </c>
      <c r="F42" s="256"/>
      <c r="G42" s="256"/>
      <c r="H42" s="256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5">
        <v>55</v>
      </c>
      <c r="B43" s="255">
        <v>650</v>
      </c>
      <c r="C43" s="255">
        <v>7</v>
      </c>
      <c r="D43" s="255">
        <v>35</v>
      </c>
      <c r="E43" s="256">
        <v>1</v>
      </c>
      <c r="F43" s="256"/>
      <c r="G43" s="256"/>
      <c r="H43" s="256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5">
        <v>60</v>
      </c>
      <c r="B44" s="255">
        <v>666</v>
      </c>
      <c r="C44" s="255">
        <v>8</v>
      </c>
      <c r="D44" s="255">
        <v>29</v>
      </c>
      <c r="E44" s="256">
        <v>1</v>
      </c>
      <c r="F44" s="256"/>
      <c r="G44" s="256"/>
      <c r="H44" s="256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7"/>
      <c r="B45" s="257"/>
      <c r="C45" s="257"/>
      <c r="D45" s="257"/>
      <c r="E45" s="256"/>
      <c r="F45" s="256"/>
      <c r="G45" s="256"/>
      <c r="H45" s="256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8"/>
      <c r="B46" s="258"/>
      <c r="C46" s="258"/>
      <c r="D46" s="258"/>
      <c r="E46" s="256"/>
      <c r="F46" s="256"/>
      <c r="G46" s="256"/>
      <c r="H46" s="256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59"/>
      <c r="C47" s="259"/>
      <c r="D47" s="259"/>
      <c r="E47" s="256"/>
      <c r="F47" s="256"/>
      <c r="G47" s="256"/>
      <c r="H47" s="256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59"/>
      <c r="C48" s="259"/>
      <c r="D48" s="259"/>
      <c r="E48" s="256"/>
      <c r="F48" s="256"/>
      <c r="G48" s="256"/>
      <c r="H48" s="256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59"/>
      <c r="C49" s="259"/>
      <c r="D49" s="259"/>
      <c r="E49" s="256"/>
      <c r="F49" s="256"/>
      <c r="G49" s="256"/>
      <c r="H49" s="256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59"/>
      <c r="B50" s="259"/>
      <c r="C50" s="259"/>
      <c r="D50" s="259"/>
      <c r="E50" s="256"/>
      <c r="F50" s="256"/>
      <c r="G50" s="256"/>
      <c r="H50" s="256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59"/>
      <c r="B51" s="259"/>
      <c r="C51" s="259"/>
      <c r="D51" s="259"/>
      <c r="E51" s="256"/>
      <c r="F51" s="256"/>
      <c r="G51" s="256"/>
      <c r="H51" s="256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59"/>
      <c r="B52" s="259"/>
      <c r="C52" s="259"/>
      <c r="D52" s="259"/>
      <c r="E52" s="256"/>
      <c r="F52" s="256"/>
      <c r="G52" s="256"/>
      <c r="H52" s="256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59"/>
      <c r="B53" s="259"/>
      <c r="C53" s="259"/>
      <c r="D53" s="259"/>
      <c r="E53" s="256"/>
      <c r="F53" s="256"/>
      <c r="G53" s="256"/>
      <c r="H53" s="256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59"/>
      <c r="B54" s="259"/>
      <c r="C54" s="259"/>
      <c r="D54" s="259"/>
      <c r="E54" s="256"/>
      <c r="F54" s="256"/>
      <c r="G54" s="256"/>
      <c r="H54" s="256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59"/>
      <c r="B55" s="259"/>
      <c r="C55" s="259"/>
      <c r="D55" s="259"/>
      <c r="E55" s="256"/>
      <c r="F55" s="256"/>
      <c r="G55" s="256"/>
      <c r="H55" s="256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3" t="s">
        <v>186</v>
      </c>
      <c r="D60" s="263"/>
      <c r="E60" s="264" t="s">
        <v>187</v>
      </c>
      <c r="F60" s="265"/>
      <c r="G60" s="265"/>
      <c r="H60" s="266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59">
        <v>20</v>
      </c>
      <c r="B62" s="259">
        <v>42</v>
      </c>
      <c r="C62" s="259"/>
      <c r="D62" s="259">
        <v>0</v>
      </c>
      <c r="E62" s="256"/>
      <c r="F62" s="256"/>
      <c r="G62" s="256"/>
      <c r="H62" s="256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59">
        <v>25</v>
      </c>
      <c r="B63" s="259">
        <v>70</v>
      </c>
      <c r="C63" s="259">
        <v>1</v>
      </c>
      <c r="D63" s="259">
        <v>8</v>
      </c>
      <c r="E63" s="256"/>
      <c r="F63" s="256"/>
      <c r="G63" s="256"/>
      <c r="H63" s="256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59">
        <v>30</v>
      </c>
      <c r="B64" s="259">
        <v>97</v>
      </c>
      <c r="C64" s="259">
        <v>2</v>
      </c>
      <c r="D64" s="259">
        <v>21</v>
      </c>
      <c r="E64" s="256"/>
      <c r="F64" s="256"/>
      <c r="G64" s="256"/>
      <c r="H64" s="256">
        <v>1</v>
      </c>
      <c r="I64" s="49">
        <f>IF(A64&lt;&gt;0,(B64-(B63-D63))/(A64-A63),"")</f>
        <v>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59">
        <v>35</v>
      </c>
      <c r="B65" s="259">
        <v>116</v>
      </c>
      <c r="C65" s="259">
        <v>3</v>
      </c>
      <c r="D65" s="259">
        <v>21</v>
      </c>
      <c r="E65" s="256">
        <v>1</v>
      </c>
      <c r="F65" s="256"/>
      <c r="G65" s="256"/>
      <c r="H65" s="256"/>
      <c r="I65" s="49">
        <f>IF(A65&lt;&gt;0,(B65-(B64-D64))/(A65-A64),"")</f>
        <v>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59">
        <v>40</v>
      </c>
      <c r="B66" s="259">
        <v>137</v>
      </c>
      <c r="C66" s="259">
        <v>4</v>
      </c>
      <c r="D66" s="259">
        <v>21</v>
      </c>
      <c r="E66" s="256">
        <v>1</v>
      </c>
      <c r="F66" s="256"/>
      <c r="G66" s="256"/>
      <c r="H66" s="256"/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59">
        <v>45</v>
      </c>
      <c r="B67" s="259">
        <v>158</v>
      </c>
      <c r="C67" s="259">
        <v>5</v>
      </c>
      <c r="D67" s="259">
        <v>21</v>
      </c>
      <c r="E67" s="256">
        <v>1</v>
      </c>
      <c r="F67" s="256"/>
      <c r="G67" s="256"/>
      <c r="H67" s="256"/>
      <c r="I67" s="49">
        <f t="shared" si="2"/>
        <v>8.4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59">
        <v>50</v>
      </c>
      <c r="B68" s="259">
        <v>178</v>
      </c>
      <c r="C68" s="259">
        <v>6</v>
      </c>
      <c r="D68" s="259">
        <v>21</v>
      </c>
      <c r="E68" s="256">
        <v>1</v>
      </c>
      <c r="F68" s="256"/>
      <c r="G68" s="256"/>
      <c r="H68" s="256"/>
      <c r="I68" s="49">
        <f t="shared" si="2"/>
        <v>8.1999999999999993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59">
        <v>55</v>
      </c>
      <c r="B69" s="259">
        <v>197</v>
      </c>
      <c r="C69" s="259">
        <v>7</v>
      </c>
      <c r="D69" s="259">
        <v>21</v>
      </c>
      <c r="E69" s="256">
        <v>1</v>
      </c>
      <c r="F69" s="256"/>
      <c r="G69" s="256"/>
      <c r="H69" s="256"/>
      <c r="I69" s="49">
        <f t="shared" si="2"/>
        <v>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59">
        <v>60</v>
      </c>
      <c r="B70" s="259">
        <v>214</v>
      </c>
      <c r="C70" s="259">
        <v>8</v>
      </c>
      <c r="D70" s="259">
        <v>21</v>
      </c>
      <c r="E70" s="256">
        <v>1</v>
      </c>
      <c r="F70" s="256"/>
      <c r="G70" s="256"/>
      <c r="H70" s="256"/>
      <c r="I70" s="49">
        <f t="shared" si="2"/>
        <v>7.6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59">
        <v>65</v>
      </c>
      <c r="B71" s="259">
        <v>229</v>
      </c>
      <c r="C71" s="259">
        <v>9</v>
      </c>
      <c r="D71" s="259">
        <v>21</v>
      </c>
      <c r="E71" s="256">
        <v>1</v>
      </c>
      <c r="F71" s="256"/>
      <c r="G71" s="256"/>
      <c r="H71" s="256"/>
      <c r="I71" s="49">
        <f t="shared" si="2"/>
        <v>7.2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59">
        <v>70</v>
      </c>
      <c r="B72" s="259">
        <v>242</v>
      </c>
      <c r="C72" s="259">
        <v>10</v>
      </c>
      <c r="D72" s="259">
        <v>21</v>
      </c>
      <c r="E72" s="256">
        <v>1</v>
      </c>
      <c r="F72" s="256"/>
      <c r="G72" s="256"/>
      <c r="H72" s="256"/>
      <c r="I72" s="49">
        <f t="shared" si="2"/>
        <v>6.8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59">
        <v>75</v>
      </c>
      <c r="B73" s="259">
        <v>252</v>
      </c>
      <c r="C73" s="259">
        <v>11</v>
      </c>
      <c r="D73" s="259">
        <v>21</v>
      </c>
      <c r="E73" s="256">
        <v>1</v>
      </c>
      <c r="F73" s="256"/>
      <c r="G73" s="256"/>
      <c r="H73" s="256"/>
      <c r="I73" s="49">
        <f t="shared" si="2"/>
        <v>6.2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59">
        <v>80</v>
      </c>
      <c r="B74" s="259">
        <v>261</v>
      </c>
      <c r="C74" s="259">
        <v>12</v>
      </c>
      <c r="D74" s="259">
        <v>21</v>
      </c>
      <c r="E74" s="256">
        <v>1</v>
      </c>
      <c r="F74" s="256"/>
      <c r="G74" s="256"/>
      <c r="H74" s="256"/>
      <c r="I74" s="49">
        <f t="shared" si="2"/>
        <v>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59">
        <v>85</v>
      </c>
      <c r="B75" s="259">
        <v>269</v>
      </c>
      <c r="C75" s="259">
        <v>13</v>
      </c>
      <c r="D75" s="259">
        <v>21</v>
      </c>
      <c r="E75" s="256">
        <v>1</v>
      </c>
      <c r="F75" s="256"/>
      <c r="G75" s="256"/>
      <c r="H75" s="256"/>
      <c r="I75" s="49">
        <f t="shared" si="2"/>
        <v>5.8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59">
        <v>90</v>
      </c>
      <c r="B76" s="260">
        <v>275</v>
      </c>
      <c r="C76" s="259">
        <v>14</v>
      </c>
      <c r="D76" s="259">
        <v>21</v>
      </c>
      <c r="E76" s="256">
        <v>1</v>
      </c>
      <c r="F76" s="256"/>
      <c r="G76" s="256"/>
      <c r="H76" s="256"/>
      <c r="I76" s="49">
        <f t="shared" si="2"/>
        <v>5.4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9">
        <v>95</v>
      </c>
      <c r="B77" s="260">
        <v>279</v>
      </c>
      <c r="C77" s="259">
        <v>15</v>
      </c>
      <c r="D77" s="259">
        <v>21</v>
      </c>
      <c r="E77" s="256">
        <v>1</v>
      </c>
      <c r="F77" s="256"/>
      <c r="G77" s="256"/>
      <c r="H77" s="256"/>
      <c r="I77" s="49">
        <f t="shared" si="2"/>
        <v>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9">
        <v>100</v>
      </c>
      <c r="B78" s="260">
        <v>282</v>
      </c>
      <c r="C78" s="259">
        <v>16</v>
      </c>
      <c r="D78" s="259">
        <v>21</v>
      </c>
      <c r="E78" s="256">
        <v>1</v>
      </c>
      <c r="F78" s="256"/>
      <c r="G78" s="256"/>
      <c r="H78" s="256"/>
      <c r="I78" s="49">
        <f t="shared" si="2"/>
        <v>4.8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9">
        <v>105</v>
      </c>
      <c r="B79" s="260">
        <v>284</v>
      </c>
      <c r="C79" s="259">
        <v>17</v>
      </c>
      <c r="D79" s="259">
        <v>20</v>
      </c>
      <c r="E79" s="256">
        <v>1</v>
      </c>
      <c r="F79" s="256"/>
      <c r="G79" s="256"/>
      <c r="H79" s="256"/>
      <c r="I79" s="49">
        <f t="shared" si="2"/>
        <v>4.5999999999999996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9">
        <v>110</v>
      </c>
      <c r="B80" s="260">
        <v>285</v>
      </c>
      <c r="C80" s="259">
        <v>18</v>
      </c>
      <c r="D80" s="259">
        <v>19</v>
      </c>
      <c r="E80" s="256">
        <v>1</v>
      </c>
      <c r="F80" s="256"/>
      <c r="G80" s="256"/>
      <c r="H80" s="256"/>
      <c r="I80" s="49">
        <f t="shared" si="2"/>
        <v>4.2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9">
        <v>115</v>
      </c>
      <c r="B81" s="260">
        <v>285</v>
      </c>
      <c r="C81" s="259">
        <v>19</v>
      </c>
      <c r="D81" s="261">
        <v>18</v>
      </c>
      <c r="E81" s="256">
        <v>1</v>
      </c>
      <c r="F81" s="256"/>
      <c r="G81" s="256"/>
      <c r="H81" s="256"/>
      <c r="I81" s="49">
        <f t="shared" si="2"/>
        <v>3.8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3" t="s">
        <v>186</v>
      </c>
      <c r="D86" s="263"/>
      <c r="E86" s="264" t="s">
        <v>187</v>
      </c>
      <c r="F86" s="265"/>
      <c r="G86" s="265"/>
      <c r="H86" s="266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59">
        <v>20</v>
      </c>
      <c r="B88" s="259">
        <v>42</v>
      </c>
      <c r="C88" s="259"/>
      <c r="D88" s="259">
        <v>0</v>
      </c>
      <c r="E88" s="256"/>
      <c r="F88" s="256"/>
      <c r="G88" s="256"/>
      <c r="H88" s="256"/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59">
        <v>25</v>
      </c>
      <c r="B89" s="259">
        <v>70</v>
      </c>
      <c r="C89" s="259">
        <v>1</v>
      </c>
      <c r="D89" s="259">
        <v>8</v>
      </c>
      <c r="E89" s="256"/>
      <c r="F89" s="256"/>
      <c r="G89" s="256"/>
      <c r="H89" s="256">
        <v>1</v>
      </c>
      <c r="I89" s="53">
        <f t="shared" ref="I89:I107" si="3">IF(A89&lt;&gt;0,(B89-(B88-D88))/(A89-A88),"")</f>
        <v>5.6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59">
        <v>30</v>
      </c>
      <c r="B90" s="259">
        <v>97</v>
      </c>
      <c r="C90" s="259">
        <v>2</v>
      </c>
      <c r="D90" s="259">
        <v>21</v>
      </c>
      <c r="E90" s="256"/>
      <c r="F90" s="256"/>
      <c r="G90" s="256"/>
      <c r="H90" s="256">
        <v>1</v>
      </c>
      <c r="I90" s="53">
        <f t="shared" si="3"/>
        <v>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59">
        <v>35</v>
      </c>
      <c r="B91" s="259">
        <v>116</v>
      </c>
      <c r="C91" s="259">
        <v>3</v>
      </c>
      <c r="D91" s="259">
        <v>21</v>
      </c>
      <c r="E91" s="256">
        <v>1</v>
      </c>
      <c r="F91" s="256"/>
      <c r="G91" s="256"/>
      <c r="H91" s="256"/>
      <c r="I91" s="53">
        <f t="shared" si="3"/>
        <v>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59">
        <v>40</v>
      </c>
      <c r="B92" s="259">
        <v>137</v>
      </c>
      <c r="C92" s="259">
        <v>4</v>
      </c>
      <c r="D92" s="259">
        <v>21</v>
      </c>
      <c r="E92" s="256">
        <v>1</v>
      </c>
      <c r="F92" s="256"/>
      <c r="G92" s="256"/>
      <c r="H92" s="256"/>
      <c r="I92" s="53">
        <f t="shared" si="3"/>
        <v>8.4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59">
        <v>45</v>
      </c>
      <c r="B93" s="259">
        <v>158</v>
      </c>
      <c r="C93" s="259">
        <v>5</v>
      </c>
      <c r="D93" s="259">
        <v>21</v>
      </c>
      <c r="E93" s="256">
        <v>1</v>
      </c>
      <c r="F93" s="256"/>
      <c r="G93" s="256"/>
      <c r="H93" s="256"/>
      <c r="I93" s="53">
        <f t="shared" si="3"/>
        <v>8.4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59">
        <v>50</v>
      </c>
      <c r="B94" s="259">
        <v>178</v>
      </c>
      <c r="C94" s="259">
        <v>6</v>
      </c>
      <c r="D94" s="259">
        <v>21</v>
      </c>
      <c r="E94" s="256">
        <v>1</v>
      </c>
      <c r="F94" s="256"/>
      <c r="G94" s="256"/>
      <c r="H94" s="256"/>
      <c r="I94" s="53">
        <f t="shared" si="3"/>
        <v>8.1999999999999993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59">
        <v>55</v>
      </c>
      <c r="B95" s="259">
        <v>197</v>
      </c>
      <c r="C95" s="259">
        <v>7</v>
      </c>
      <c r="D95" s="259">
        <v>21</v>
      </c>
      <c r="E95" s="256">
        <v>1</v>
      </c>
      <c r="F95" s="256"/>
      <c r="G95" s="256"/>
      <c r="H95" s="256"/>
      <c r="I95" s="53">
        <f t="shared" si="3"/>
        <v>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59">
        <v>60</v>
      </c>
      <c r="B96" s="259">
        <v>214</v>
      </c>
      <c r="C96" s="259">
        <v>8</v>
      </c>
      <c r="D96" s="259">
        <v>21</v>
      </c>
      <c r="E96" s="256">
        <v>1</v>
      </c>
      <c r="F96" s="256"/>
      <c r="G96" s="256"/>
      <c r="H96" s="256"/>
      <c r="I96" s="53">
        <f t="shared" si="3"/>
        <v>7.6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59">
        <v>65</v>
      </c>
      <c r="B97" s="259">
        <v>229</v>
      </c>
      <c r="C97" s="259">
        <v>9</v>
      </c>
      <c r="D97" s="259">
        <v>21</v>
      </c>
      <c r="E97" s="256">
        <v>1</v>
      </c>
      <c r="F97" s="256"/>
      <c r="G97" s="256"/>
      <c r="H97" s="256"/>
      <c r="I97" s="53">
        <f t="shared" si="3"/>
        <v>7.2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59">
        <v>70</v>
      </c>
      <c r="B98" s="259">
        <v>242</v>
      </c>
      <c r="C98" s="259">
        <v>10</v>
      </c>
      <c r="D98" s="259">
        <v>21</v>
      </c>
      <c r="E98" s="256">
        <v>1</v>
      </c>
      <c r="F98" s="256"/>
      <c r="G98" s="256"/>
      <c r="H98" s="256"/>
      <c r="I98" s="53">
        <f t="shared" si="3"/>
        <v>6.8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59">
        <v>75</v>
      </c>
      <c r="B99" s="259">
        <v>252</v>
      </c>
      <c r="C99" s="259">
        <v>11</v>
      </c>
      <c r="D99" s="259">
        <v>21</v>
      </c>
      <c r="E99" s="256">
        <v>1</v>
      </c>
      <c r="F99" s="256"/>
      <c r="G99" s="256"/>
      <c r="H99" s="256"/>
      <c r="I99" s="53">
        <f t="shared" si="3"/>
        <v>6.2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59">
        <v>80</v>
      </c>
      <c r="B100" s="259">
        <v>261</v>
      </c>
      <c r="C100" s="259">
        <v>12</v>
      </c>
      <c r="D100" s="259">
        <v>21</v>
      </c>
      <c r="E100" s="256">
        <v>1</v>
      </c>
      <c r="F100" s="256"/>
      <c r="G100" s="256"/>
      <c r="H100" s="256"/>
      <c r="I100" s="53">
        <f t="shared" si="3"/>
        <v>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59">
        <v>85</v>
      </c>
      <c r="B101" s="259">
        <v>269</v>
      </c>
      <c r="C101" s="259">
        <v>13</v>
      </c>
      <c r="D101" s="259">
        <v>21</v>
      </c>
      <c r="E101" s="256">
        <v>1</v>
      </c>
      <c r="F101" s="256"/>
      <c r="G101" s="256"/>
      <c r="H101" s="256"/>
      <c r="I101" s="53">
        <f t="shared" si="3"/>
        <v>5.8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59">
        <v>90</v>
      </c>
      <c r="B102" s="260">
        <v>275</v>
      </c>
      <c r="C102" s="259">
        <v>14</v>
      </c>
      <c r="D102" s="259">
        <v>21</v>
      </c>
      <c r="E102" s="256">
        <v>1</v>
      </c>
      <c r="F102" s="256"/>
      <c r="G102" s="256"/>
      <c r="H102" s="256"/>
      <c r="I102" s="53">
        <f t="shared" si="3"/>
        <v>5.4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9">
        <v>95</v>
      </c>
      <c r="B103" s="260">
        <v>279</v>
      </c>
      <c r="C103" s="259">
        <v>15</v>
      </c>
      <c r="D103" s="259">
        <v>21</v>
      </c>
      <c r="E103" s="256">
        <v>1</v>
      </c>
      <c r="F103" s="256"/>
      <c r="G103" s="256"/>
      <c r="H103" s="256"/>
      <c r="I103" s="53">
        <f t="shared" si="3"/>
        <v>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9">
        <v>100</v>
      </c>
      <c r="B104" s="260">
        <v>282</v>
      </c>
      <c r="C104" s="259">
        <v>16</v>
      </c>
      <c r="D104" s="259">
        <v>21</v>
      </c>
      <c r="E104" s="256">
        <v>1</v>
      </c>
      <c r="F104" s="256"/>
      <c r="G104" s="256"/>
      <c r="H104" s="256"/>
      <c r="I104" s="53">
        <f t="shared" si="3"/>
        <v>4.8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9">
        <v>105</v>
      </c>
      <c r="B105" s="260">
        <v>284</v>
      </c>
      <c r="C105" s="259">
        <v>17</v>
      </c>
      <c r="D105" s="259">
        <v>20</v>
      </c>
      <c r="E105" s="256">
        <v>1</v>
      </c>
      <c r="F105" s="256"/>
      <c r="G105" s="256"/>
      <c r="H105" s="256"/>
      <c r="I105" s="53">
        <f t="shared" si="3"/>
        <v>4.5999999999999996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9">
        <v>110</v>
      </c>
      <c r="B106" s="260">
        <v>285</v>
      </c>
      <c r="C106" s="259">
        <v>18</v>
      </c>
      <c r="D106" s="259">
        <v>19</v>
      </c>
      <c r="E106" s="256">
        <v>1</v>
      </c>
      <c r="F106" s="256"/>
      <c r="G106" s="256"/>
      <c r="H106" s="256"/>
      <c r="I106" s="53">
        <f t="shared" si="3"/>
        <v>4.2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9">
        <v>115</v>
      </c>
      <c r="B107" s="260">
        <v>285</v>
      </c>
      <c r="C107" s="259">
        <v>19</v>
      </c>
      <c r="D107" s="261">
        <v>18</v>
      </c>
      <c r="E107" s="256">
        <v>1</v>
      </c>
      <c r="F107" s="256"/>
      <c r="G107" s="256"/>
      <c r="H107" s="256"/>
      <c r="I107" s="53">
        <f t="shared" si="3"/>
        <v>3.8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3" t="s">
        <v>186</v>
      </c>
      <c r="D112" s="263"/>
      <c r="E112" s="264" t="s">
        <v>187</v>
      </c>
      <c r="F112" s="265"/>
      <c r="G112" s="265"/>
      <c r="H112" s="266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59"/>
      <c r="B114" s="259"/>
      <c r="C114" s="256"/>
      <c r="D114" s="259"/>
      <c r="E114" s="256"/>
      <c r="F114" s="256"/>
      <c r="G114" s="256"/>
      <c r="H114" s="256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59"/>
      <c r="B115" s="259"/>
      <c r="C115" s="259"/>
      <c r="D115" s="259"/>
      <c r="E115" s="256"/>
      <c r="F115" s="256"/>
      <c r="G115" s="256"/>
      <c r="H115" s="256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59"/>
      <c r="B116" s="259"/>
      <c r="C116" s="259"/>
      <c r="D116" s="259"/>
      <c r="E116" s="256"/>
      <c r="F116" s="256"/>
      <c r="G116" s="256"/>
      <c r="H116" s="256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59"/>
      <c r="B117" s="259"/>
      <c r="C117" s="259"/>
      <c r="D117" s="259"/>
      <c r="E117" s="256"/>
      <c r="F117" s="256"/>
      <c r="G117" s="256"/>
      <c r="H117" s="256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59"/>
      <c r="B118" s="259"/>
      <c r="C118" s="259"/>
      <c r="D118" s="259"/>
      <c r="E118" s="256"/>
      <c r="F118" s="256"/>
      <c r="G118" s="256"/>
      <c r="H118" s="256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59"/>
      <c r="B119" s="259"/>
      <c r="C119" s="259"/>
      <c r="D119" s="259"/>
      <c r="E119" s="256"/>
      <c r="F119" s="256"/>
      <c r="G119" s="256"/>
      <c r="H119" s="256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59"/>
      <c r="B120" s="259"/>
      <c r="C120" s="259"/>
      <c r="D120" s="259"/>
      <c r="E120" s="256"/>
      <c r="F120" s="256"/>
      <c r="G120" s="256"/>
      <c r="H120" s="256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59"/>
      <c r="B121" s="259"/>
      <c r="C121" s="259"/>
      <c r="D121" s="259"/>
      <c r="E121" s="256"/>
      <c r="F121" s="256"/>
      <c r="G121" s="256"/>
      <c r="H121" s="256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59"/>
      <c r="B122" s="259"/>
      <c r="C122" s="259"/>
      <c r="D122" s="259"/>
      <c r="E122" s="256"/>
      <c r="F122" s="256"/>
      <c r="G122" s="256"/>
      <c r="H122" s="256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59"/>
      <c r="B123" s="259"/>
      <c r="C123" s="259"/>
      <c r="D123" s="259"/>
      <c r="E123" s="256"/>
      <c r="F123" s="256"/>
      <c r="G123" s="256"/>
      <c r="H123" s="256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59"/>
      <c r="B124" s="259"/>
      <c r="C124" s="259"/>
      <c r="D124" s="259"/>
      <c r="E124" s="256"/>
      <c r="F124" s="256"/>
      <c r="G124" s="256"/>
      <c r="H124" s="256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59"/>
      <c r="B125" s="259"/>
      <c r="C125" s="259"/>
      <c r="D125" s="259"/>
      <c r="E125" s="256"/>
      <c r="F125" s="256"/>
      <c r="G125" s="256"/>
      <c r="H125" s="256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59"/>
      <c r="B126" s="259"/>
      <c r="C126" s="259"/>
      <c r="D126" s="259"/>
      <c r="E126" s="256"/>
      <c r="F126" s="256"/>
      <c r="G126" s="256"/>
      <c r="H126" s="256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59"/>
      <c r="B127" s="259"/>
      <c r="C127" s="259"/>
      <c r="D127" s="259"/>
      <c r="E127" s="256"/>
      <c r="F127" s="256"/>
      <c r="G127" s="256"/>
      <c r="H127" s="256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59"/>
      <c r="B128" s="259"/>
      <c r="C128" s="259"/>
      <c r="D128" s="259"/>
      <c r="E128" s="256"/>
      <c r="F128" s="256"/>
      <c r="G128" s="256"/>
      <c r="H128" s="256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59"/>
      <c r="B129" s="259"/>
      <c r="C129" s="259"/>
      <c r="D129" s="259"/>
      <c r="E129" s="256"/>
      <c r="F129" s="256"/>
      <c r="G129" s="256"/>
      <c r="H129" s="256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59"/>
      <c r="B130" s="259"/>
      <c r="C130" s="259"/>
      <c r="D130" s="259"/>
      <c r="E130" s="256"/>
      <c r="F130" s="256"/>
      <c r="G130" s="256"/>
      <c r="H130" s="256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59"/>
      <c r="B131" s="259"/>
      <c r="C131" s="259"/>
      <c r="D131" s="259"/>
      <c r="E131" s="256"/>
      <c r="F131" s="256"/>
      <c r="G131" s="256"/>
      <c r="H131" s="256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59"/>
      <c r="B132" s="259"/>
      <c r="C132" s="259"/>
      <c r="D132" s="259"/>
      <c r="E132" s="256"/>
      <c r="F132" s="256"/>
      <c r="G132" s="256"/>
      <c r="H132" s="256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59"/>
      <c r="B133" s="259"/>
      <c r="C133" s="259"/>
      <c r="D133" s="259"/>
      <c r="E133" s="256"/>
      <c r="F133" s="256"/>
      <c r="G133" s="256"/>
      <c r="H133" s="256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3" t="s">
        <v>186</v>
      </c>
      <c r="D138" s="263"/>
      <c r="E138" s="264" t="s">
        <v>187</v>
      </c>
      <c r="F138" s="265"/>
      <c r="G138" s="265"/>
      <c r="H138" s="266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3" t="s">
        <v>186</v>
      </c>
      <c r="D164" s="263"/>
      <c r="E164" s="264" t="s">
        <v>187</v>
      </c>
      <c r="F164" s="265"/>
      <c r="G164" s="265"/>
      <c r="H164" s="266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3" t="s">
        <v>186</v>
      </c>
      <c r="D190" s="263"/>
      <c r="E190" s="264" t="s">
        <v>187</v>
      </c>
      <c r="F190" s="265"/>
      <c r="G190" s="265"/>
      <c r="H190" s="266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3" t="s">
        <v>186</v>
      </c>
      <c r="D216" s="263"/>
      <c r="E216" s="264" t="s">
        <v>187</v>
      </c>
      <c r="F216" s="265"/>
      <c r="G216" s="265"/>
      <c r="H216" s="266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3" t="s">
        <v>186</v>
      </c>
      <c r="D242" s="263"/>
      <c r="E242" s="264" t="s">
        <v>187</v>
      </c>
      <c r="F242" s="265"/>
      <c r="G242" s="265"/>
      <c r="H242" s="266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3" t="s">
        <v>186</v>
      </c>
      <c r="D268" s="263"/>
      <c r="E268" s="264" t="s">
        <v>187</v>
      </c>
      <c r="F268" s="265"/>
      <c r="G268" s="265"/>
      <c r="H268" s="266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7" t="s">
        <v>191</v>
      </c>
      <c r="C2" s="278"/>
      <c r="D2" s="278"/>
      <c r="E2" s="278"/>
      <c r="F2" s="278"/>
      <c r="G2" s="279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6"/>
      <c r="C4" s="276"/>
      <c r="D4" s="276"/>
      <c r="E4" s="276"/>
      <c r="F4" s="276"/>
      <c r="G4" s="276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3" t="s">
        <v>176</v>
      </c>
      <c r="C1" s="284"/>
      <c r="D1" s="284"/>
      <c r="E1" s="284"/>
      <c r="F1" s="284"/>
      <c r="G1" s="284"/>
      <c r="H1" s="285"/>
      <c r="I1" s="280" t="str">
        <f>IF('Données projet'!$B$9="","",'Données projet'!$B$9)</f>
        <v>Douglas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2"/>
      <c r="AD1" s="281" t="str">
        <f>IF('Données projet'!$B$10="","",'Données projet'!$B$10)</f>
        <v>Chêne sessile</v>
      </c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2"/>
      <c r="AY1" s="280" t="str">
        <f>IF('Données projet'!$B$11="","",'Données projet'!$B$11)</f>
        <v>Chêne pubescent</v>
      </c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2"/>
      <c r="BT1" s="280" t="str">
        <f>IF('Données projet'!$B$12="","",'Données projet'!$B$12)</f>
        <v/>
      </c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2"/>
      <c r="CO1" s="280" t="str">
        <f>IF('Données projet'!$B$13="","",'Données projet'!$B$13)</f>
        <v/>
      </c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2"/>
      <c r="DJ1" s="280" t="str">
        <f>IF('Données projet'!$B$14="","",'Données projet'!$B$14)</f>
        <v/>
      </c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2"/>
      <c r="EE1" s="280" t="str">
        <f>IF('Données projet'!$B$15="","",'Données projet'!$B$15)</f>
        <v/>
      </c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2"/>
      <c r="EZ1" s="280" t="str">
        <f>IF('Données projet'!$B$16="","",'Données projet'!$B$16)</f>
        <v/>
      </c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2"/>
      <c r="FU1" s="280" t="str">
        <f>IF('Données projet'!$B$17="","",'Données projet'!$B$17)</f>
        <v/>
      </c>
      <c r="FV1" s="281"/>
      <c r="FW1" s="281"/>
      <c r="FX1" s="281"/>
      <c r="FY1" s="281"/>
      <c r="FZ1" s="281"/>
      <c r="GA1" s="281"/>
      <c r="GB1" s="281"/>
      <c r="GC1" s="281"/>
      <c r="GD1" s="281"/>
      <c r="GE1" s="281"/>
      <c r="GF1" s="281"/>
      <c r="GG1" s="281"/>
      <c r="GH1" s="281"/>
      <c r="GI1" s="281"/>
      <c r="GJ1" s="281"/>
      <c r="GK1" s="281"/>
      <c r="GL1" s="281"/>
      <c r="GM1" s="281"/>
      <c r="GN1" s="281"/>
      <c r="GO1" s="282"/>
      <c r="GP1" s="280" t="str">
        <f>IF('Données projet'!$B$18="","",'Données projet'!$B$18)</f>
        <v/>
      </c>
      <c r="GQ1" s="281"/>
      <c r="GR1" s="281"/>
      <c r="GS1" s="281"/>
      <c r="GT1" s="281"/>
      <c r="GU1" s="281"/>
      <c r="GV1" s="281"/>
      <c r="GW1" s="281"/>
      <c r="GX1" s="281"/>
      <c r="GY1" s="281"/>
      <c r="GZ1" s="281"/>
      <c r="HA1" s="281"/>
      <c r="HB1" s="281"/>
      <c r="HC1" s="281"/>
      <c r="HD1" s="281"/>
      <c r="HE1" s="281"/>
      <c r="HF1" s="281"/>
      <c r="HG1" s="281"/>
      <c r="HH1" s="281"/>
      <c r="HI1" s="281"/>
      <c r="HJ1" s="282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443.34220761968419</v>
      </c>
      <c r="T3" s="59">
        <f>IF('Données projet'!E9&gt;30,$R$33-$H$33,LOOKUP('Données projet'!$E$9,$A$3:$A$203,R3:R203)-LOOKUP('Données projet'!$E$9,$A$3:$A$203,$H$3:$H$203))</f>
        <v>546.58234447298014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364.3481978218424</v>
      </c>
      <c r="AO3" s="59">
        <f>IF('Données projet'!E10&gt;30,$AM$33-$H$33,LOOKUP('Données projet'!$E$10,$A$3:$A$203,AM3:AM203)-LOOKUP('Données projet'!$E$10,$A$3:$A$203,$H$3:$H$203))</f>
        <v>231.36959598460686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403.50418598112844</v>
      </c>
      <c r="BJ3" s="59">
        <f>IF('Données projet'!E11&gt;30,$BH$33-$H$33,LOOKUP('Données projet'!$E$11,$A$3:$A$203,BH3:BH203)-LOOKUP('Données projet'!$E$11,$A$3:$A$203,$H$3:$H$203))</f>
        <v>254.25036207346591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259.76966919403429</v>
      </c>
      <c r="S4" s="59">
        <f ca="1">AVERAGE(OFFSET($R$3,0,0,'Données projet'!$E$9+1,1))-AVERAGE(OFFSET($H$3,0,0,'Données projet'!$E$9+1,1))</f>
        <v>443.34220761968419</v>
      </c>
      <c r="T4" s="59">
        <f>$T$3</f>
        <v>546.58234447298014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1.0907244698905405</v>
      </c>
      <c r="AK4" s="13">
        <f>EXP(-1.0587+0.8836*LN(AJ4)+0.284)</f>
        <v>0.49759623852608204</v>
      </c>
      <c r="AL4" s="20">
        <f t="shared" ref="AL4:AL67" si="4">(AJ4+AK4)*0.475*44/12</f>
        <v>2.7663252338256172</v>
      </c>
      <c r="AM4" s="59">
        <f t="shared" ref="AM4:AM67" si="5">AL4+(AD4+AE4)*44/12</f>
        <v>260.65521412271448</v>
      </c>
      <c r="AN4" s="59">
        <f ca="1">AVERAGE(OFFSET($AM$3,0,0,'Données projet'!$E$10+1,1))-AVERAGE(OFFSET($H$3,0,0,'Données projet'!$E$10+1,1))</f>
        <v>364.3481978218424</v>
      </c>
      <c r="AO4" s="59">
        <f>$AO$3</f>
        <v>231.36959598460686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1.2223636300497438</v>
      </c>
      <c r="BF4" s="13">
        <f>EXP(-1.0587+0.8836*LN(BE4)+0.284)</f>
        <v>0.55030360208821416</v>
      </c>
      <c r="BG4" s="20">
        <f t="shared" ref="BG4:BG67" si="7">(BE4+BF4)*0.475*44/12</f>
        <v>3.0873954293069432</v>
      </c>
      <c r="BH4" s="59">
        <f t="shared" ref="BH4:BH67" si="8">BG4+(AY4+AZ4)*44/12</f>
        <v>260.97628431819578</v>
      </c>
      <c r="BI4" s="59">
        <f ca="1">AVERAGE(OFFSET($BH$3,0,0,'Données projet'!$E$11+1,1))-AVERAGE(OFFSET($H$3,0,0,'Données projet'!$E$11+1,1))</f>
        <v>403.50418598112844</v>
      </c>
      <c r="BJ4" s="59">
        <f>$BJ$3</f>
        <v>254.25036207346591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261.54497706414969</v>
      </c>
      <c r="S5" s="59">
        <f ca="1">AVERAGE(OFFSET($R$3,0,0,'Données projet'!$E$9+1,1))-AVERAGE(OFFSET($H$3,0,0,'Données projet'!$E$9+1,1))</f>
        <v>443.34220761968419</v>
      </c>
      <c r="T5" s="59">
        <f t="shared" ref="T5:T68" si="34">$T$3</f>
        <v>546.58234447298014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1.3148539668633961</v>
      </c>
      <c r="AK5" s="13">
        <f t="shared" ref="AK5:AK68" si="35">EXP(-1.0587+0.8836*LN(AJ5)+0.284)</f>
        <v>0.58693801963664449</v>
      </c>
      <c r="AL5" s="20">
        <f t="shared" si="4"/>
        <v>3.3122877098209038</v>
      </c>
      <c r="AM5" s="59">
        <f t="shared" si="5"/>
        <v>262.42339882093205</v>
      </c>
      <c r="AN5" s="59">
        <f ca="1">AVERAGE(OFFSET($AM$3,0,0,'Données projet'!$E$10+1,1))-AVERAGE(OFFSET($H$3,0,0,'Données projet'!$E$10+1,1))</f>
        <v>364.3481978218424</v>
      </c>
      <c r="AO5" s="59">
        <f t="shared" ref="AO5:AO68" si="36">$AO$3</f>
        <v>231.36959598460686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1.47354323872622</v>
      </c>
      <c r="BF5" s="13">
        <f t="shared" ref="BF5:BF68" si="37">EXP(-1.0587+0.8836*LN(BE5)+0.284)</f>
        <v>0.64910881835703094</v>
      </c>
      <c r="BG5" s="20">
        <f t="shared" si="7"/>
        <v>3.6969523327533285</v>
      </c>
      <c r="BH5" s="59">
        <f t="shared" si="8"/>
        <v>262.80806344386446</v>
      </c>
      <c r="BI5" s="59">
        <f ca="1">AVERAGE(OFFSET($BH$3,0,0,'Données projet'!$E$11+1,1))-AVERAGE(OFFSET($H$3,0,0,'Données projet'!$E$11+1,1))</f>
        <v>403.50418598112844</v>
      </c>
      <c r="BJ5" s="59">
        <f t="shared" ref="BJ5:BJ68" si="38">$BJ$3</f>
        <v>254.25036207346591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263.48359426836487</v>
      </c>
      <c r="S6" s="59">
        <f ca="1">AVERAGE(OFFSET($R$3,0,0,'Données projet'!$E$9+1,1))-AVERAGE(OFFSET($H$3,0,0,'Données projet'!$E$9+1,1))</f>
        <v>443.34220761968419</v>
      </c>
      <c r="T6" s="59">
        <f t="shared" si="34"/>
        <v>546.58234447298014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1.5850391202371266</v>
      </c>
      <c r="AK6" s="13">
        <f t="shared" si="35"/>
        <v>0.69232082604846479</v>
      </c>
      <c r="AL6" s="20">
        <f t="shared" si="4"/>
        <v>3.966401906447405</v>
      </c>
      <c r="AM6" s="59">
        <f t="shared" si="5"/>
        <v>264.29973523978072</v>
      </c>
      <c r="AN6" s="59">
        <f ca="1">AVERAGE(OFFSET($AM$3,0,0,'Données projet'!$E$10+1,1))-AVERAGE(OFFSET($H$3,0,0,'Données projet'!$E$10+1,1))</f>
        <v>364.3481978218424</v>
      </c>
      <c r="AO6" s="59">
        <f t="shared" si="36"/>
        <v>231.36959598460686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1.7763369450933317</v>
      </c>
      <c r="BF6" s="13">
        <f t="shared" si="37"/>
        <v>0.76565418883323866</v>
      </c>
      <c r="BG6" s="20">
        <f t="shared" si="7"/>
        <v>4.4273012249221102</v>
      </c>
      <c r="BH6" s="59">
        <f t="shared" si="8"/>
        <v>264.76063455825545</v>
      </c>
      <c r="BI6" s="59">
        <f ca="1">AVERAGE(OFFSET($BH$3,0,0,'Données projet'!$E$11+1,1))-AVERAGE(OFFSET($H$3,0,0,'Données projet'!$E$11+1,1))</f>
        <v>403.50418598112844</v>
      </c>
      <c r="BJ6" s="59">
        <f t="shared" si="38"/>
        <v>254.25036207346591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265.63392560576659</v>
      </c>
      <c r="S7" s="59">
        <f ca="1">AVERAGE(OFFSET($R$3,0,0,'Données projet'!$E$9+1,1))-AVERAGE(OFFSET($H$3,0,0,'Données projet'!$E$9+1,1))</f>
        <v>443.34220761968419</v>
      </c>
      <c r="T7" s="59">
        <f t="shared" si="34"/>
        <v>546.58234447298014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1.9107437601419195</v>
      </c>
      <c r="AK7" s="13">
        <f t="shared" si="35"/>
        <v>0.81662477151702284</v>
      </c>
      <c r="AL7" s="20">
        <f t="shared" si="4"/>
        <v>4.7501668593059909</v>
      </c>
      <c r="AM7" s="59">
        <f t="shared" si="5"/>
        <v>266.30572241486152</v>
      </c>
      <c r="AN7" s="59">
        <f ca="1">AVERAGE(OFFSET($AM$3,0,0,'Données projet'!$E$10+1,1))-AVERAGE(OFFSET($H$3,0,0,'Données projet'!$E$10+1,1))</f>
        <v>364.3481978218424</v>
      </c>
      <c r="AO7" s="59">
        <f t="shared" si="36"/>
        <v>231.36959598460686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2.1413507656762891</v>
      </c>
      <c r="BF7" s="13">
        <f t="shared" si="37"/>
        <v>0.9031249003236328</v>
      </c>
      <c r="BG7" s="20">
        <f t="shared" si="7"/>
        <v>5.3024617849498643</v>
      </c>
      <c r="BH7" s="59">
        <f t="shared" si="8"/>
        <v>266.8580173405054</v>
      </c>
      <c r="BI7" s="59">
        <f ca="1">AVERAGE(OFFSET($BH$3,0,0,'Données projet'!$E$11+1,1))-AVERAGE(OFFSET($H$3,0,0,'Données projet'!$E$11+1,1))</f>
        <v>403.50418598112844</v>
      </c>
      <c r="BJ7" s="59">
        <f t="shared" si="38"/>
        <v>254.25036207346591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268.05877425367106</v>
      </c>
      <c r="S8" s="59">
        <f ca="1">AVERAGE(OFFSET($R$3,0,0,'Données projet'!$E$9+1,1))-AVERAGE(OFFSET($H$3,0,0,'Données projet'!$E$9+1,1))</f>
        <v>443.34220761968419</v>
      </c>
      <c r="T8" s="59">
        <f t="shared" si="34"/>
        <v>546.58234447298014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2.3033764090157529</v>
      </c>
      <c r="AK8" s="13">
        <f t="shared" si="35"/>
        <v>0.96324708482559218</v>
      </c>
      <c r="AL8" s="20">
        <f t="shared" si="4"/>
        <v>5.6893692517736758</v>
      </c>
      <c r="AM8" s="59">
        <f t="shared" si="5"/>
        <v>268.46714702955143</v>
      </c>
      <c r="AN8" s="59">
        <f ca="1">AVERAGE(OFFSET($AM$3,0,0,'Données projet'!$E$10+1,1))-AVERAGE(OFFSET($H$3,0,0,'Données projet'!$E$10+1,1))</f>
        <v>364.3481978218424</v>
      </c>
      <c r="AO8" s="59">
        <f t="shared" si="36"/>
        <v>231.36959598460686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2.5813701135521372</v>
      </c>
      <c r="BF8" s="13">
        <f t="shared" si="37"/>
        <v>1.0652780295337991</v>
      </c>
      <c r="BG8" s="20">
        <f t="shared" si="7"/>
        <v>6.3512455158746723</v>
      </c>
      <c r="BH8" s="59">
        <f t="shared" si="8"/>
        <v>269.12902329365244</v>
      </c>
      <c r="BI8" s="59">
        <f ca="1">AVERAGE(OFFSET($BH$3,0,0,'Données projet'!$E$11+1,1))-AVERAGE(OFFSET($H$3,0,0,'Données projet'!$E$11+1,1))</f>
        <v>403.50418598112844</v>
      </c>
      <c r="BJ8" s="59">
        <f t="shared" si="38"/>
        <v>254.25036207346591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270.83963883937986</v>
      </c>
      <c r="S9" s="59">
        <f ca="1">AVERAGE(OFFSET($R$3,0,0,'Données projet'!$E$9+1,1))-AVERAGE(OFFSET($H$3,0,0,'Données projet'!$E$9+1,1))</f>
        <v>443.34220761968419</v>
      </c>
      <c r="T9" s="59">
        <f t="shared" si="34"/>
        <v>546.58234447298014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2.7766898902321886</v>
      </c>
      <c r="AK9" s="13">
        <f t="shared" si="35"/>
        <v>1.1361949561012803</v>
      </c>
      <c r="AL9" s="20">
        <f t="shared" si="4"/>
        <v>6.8149411073641248</v>
      </c>
      <c r="AM9" s="59">
        <f t="shared" si="5"/>
        <v>270.81494110736412</v>
      </c>
      <c r="AN9" s="59">
        <f ca="1">AVERAGE(OFFSET($AM$3,0,0,'Données projet'!$E$10+1,1))-AVERAGE(OFFSET($H$3,0,0,'Données projet'!$E$10+1,1))</f>
        <v>364.3481978218424</v>
      </c>
      <c r="AO9" s="59">
        <f t="shared" si="36"/>
        <v>231.36959598460686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3.111807635605039</v>
      </c>
      <c r="BF9" s="13">
        <f t="shared" si="37"/>
        <v>1.2565452240335246</v>
      </c>
      <c r="BG9" s="20">
        <f t="shared" si="7"/>
        <v>7.6082145638704972</v>
      </c>
      <c r="BH9" s="59">
        <f t="shared" si="8"/>
        <v>271.60821456387049</v>
      </c>
      <c r="BI9" s="59">
        <f ca="1">AVERAGE(OFFSET($BH$3,0,0,'Données projet'!$E$11+1,1))-AVERAGE(OFFSET($H$3,0,0,'Données projet'!$E$11+1,1))</f>
        <v>403.50418598112844</v>
      </c>
      <c r="BJ9" s="59">
        <f t="shared" si="38"/>
        <v>254.25036207346591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274.08229683859719</v>
      </c>
      <c r="S10" s="59">
        <f ca="1">AVERAGE(OFFSET($R$3,0,0,'Données projet'!$E$9+1,1))-AVERAGE(OFFSET($H$3,0,0,'Données projet'!$E$9+1,1))</f>
        <v>443.34220761968419</v>
      </c>
      <c r="T10" s="59">
        <f t="shared" si="34"/>
        <v>546.58234447298014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3.3472630510321921</v>
      </c>
      <c r="AK10" s="13">
        <f t="shared" si="35"/>
        <v>1.34019505338418</v>
      </c>
      <c r="AL10" s="20">
        <f t="shared" si="4"/>
        <v>8.1639895318585136</v>
      </c>
      <c r="AM10" s="59">
        <f t="shared" si="5"/>
        <v>273.38621175408076</v>
      </c>
      <c r="AN10" s="59">
        <f ca="1">AVERAGE(OFFSET($AM$3,0,0,'Données projet'!$E$10+1,1))-AVERAGE(OFFSET($H$3,0,0,'Données projet'!$E$10+1,1))</f>
        <v>364.3481978218424</v>
      </c>
      <c r="AO10" s="59">
        <f t="shared" si="36"/>
        <v>231.36959598460686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3.7512430744326299</v>
      </c>
      <c r="BF10" s="13">
        <f t="shared" si="37"/>
        <v>1.4821538192545303</v>
      </c>
      <c r="BG10" s="20">
        <f t="shared" si="7"/>
        <v>9.1148329231718037</v>
      </c>
      <c r="BH10" s="59">
        <f t="shared" si="8"/>
        <v>274.33705514539406</v>
      </c>
      <c r="BI10" s="59">
        <f ca="1">AVERAGE(OFFSET($BH$3,0,0,'Données projet'!$E$11+1,1))-AVERAGE(OFFSET($H$3,0,0,'Données projet'!$E$11+1,1))</f>
        <v>403.50418598112844</v>
      </c>
      <c r="BJ10" s="59">
        <f t="shared" si="38"/>
        <v>254.25036207346591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277.9240604336527</v>
      </c>
      <c r="S11" s="59">
        <f ca="1">AVERAGE(OFFSET($R$3,0,0,'Données projet'!$E$9+1,1))-AVERAGE(OFFSET($H$3,0,0,'Données projet'!$E$9+1,1))</f>
        <v>443.34220761968419</v>
      </c>
      <c r="T11" s="59">
        <f t="shared" si="34"/>
        <v>546.58234447298014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4.0350814731667564</v>
      </c>
      <c r="AK11" s="13">
        <f t="shared" si="35"/>
        <v>1.5808227025391921</v>
      </c>
      <c r="AL11" s="20">
        <f t="shared" si="4"/>
        <v>9.7810331060211926</v>
      </c>
      <c r="AM11" s="59">
        <f t="shared" si="5"/>
        <v>276.22547755046565</v>
      </c>
      <c r="AN11" s="59">
        <f ca="1">AVERAGE(OFFSET($AM$3,0,0,'Données projet'!$E$10+1,1))-AVERAGE(OFFSET($H$3,0,0,'Données projet'!$E$10+1,1))</f>
        <v>364.3481978218424</v>
      </c>
      <c r="AO11" s="59">
        <f t="shared" si="36"/>
        <v>231.36959598460686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4.5220740647558486</v>
      </c>
      <c r="BF11" s="13">
        <f t="shared" si="37"/>
        <v>1.7482697016499746</v>
      </c>
      <c r="BG11" s="20">
        <f t="shared" si="7"/>
        <v>10.92084872649014</v>
      </c>
      <c r="BH11" s="59">
        <f t="shared" si="8"/>
        <v>277.36529317093459</v>
      </c>
      <c r="BI11" s="59">
        <f ca="1">AVERAGE(OFFSET($BH$3,0,0,'Données projet'!$E$11+1,1))-AVERAGE(OFFSET($H$3,0,0,'Données projet'!$E$11+1,1))</f>
        <v>403.50418598112844</v>
      </c>
      <c r="BJ11" s="59">
        <f t="shared" si="38"/>
        <v>254.25036207346591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282.54320716865197</v>
      </c>
      <c r="S12" s="59">
        <f ca="1">AVERAGE(OFFSET($R$3,0,0,'Données projet'!$E$9+1,1))-AVERAGE(OFFSET($H$3,0,0,'Données projet'!$E$9+1,1))</f>
        <v>443.34220761968419</v>
      </c>
      <c r="T12" s="59">
        <f t="shared" si="34"/>
        <v>546.58234447298014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4.8642375119197085</v>
      </c>
      <c r="AK12" s="13">
        <f t="shared" si="35"/>
        <v>1.8646542609995393</v>
      </c>
      <c r="AL12" s="20">
        <f t="shared" si="4"/>
        <v>11.719486504501022</v>
      </c>
      <c r="AM12" s="59">
        <f t="shared" si="5"/>
        <v>279.38615317116773</v>
      </c>
      <c r="AN12" s="59">
        <f ca="1">AVERAGE(OFFSET($AM$3,0,0,'Données projet'!$E$10+1,1))-AVERAGE(OFFSET($H$3,0,0,'Données projet'!$E$10+1,1))</f>
        <v>364.3481978218424</v>
      </c>
      <c r="AO12" s="59">
        <f t="shared" si="36"/>
        <v>231.36959598460686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5.4513006599100189</v>
      </c>
      <c r="BF12" s="13">
        <f t="shared" si="37"/>
        <v>2.062165822468125</v>
      </c>
      <c r="BG12" s="20">
        <f t="shared" si="7"/>
        <v>13.085954123475267</v>
      </c>
      <c r="BH12" s="59">
        <f t="shared" si="8"/>
        <v>280.75262079014198</v>
      </c>
      <c r="BI12" s="59">
        <f ca="1">AVERAGE(OFFSET($BH$3,0,0,'Données projet'!$E$11+1,1))-AVERAGE(OFFSET($H$3,0,0,'Données projet'!$E$11+1,1))</f>
        <v>403.50418598112844</v>
      </c>
      <c r="BJ12" s="59">
        <f t="shared" si="38"/>
        <v>254.25036207346591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288.17123899352742</v>
      </c>
      <c r="S13" s="59">
        <f ca="1">AVERAGE(OFFSET($R$3,0,0,'Données projet'!$E$9+1,1))-AVERAGE(OFFSET($H$3,0,0,'Données projet'!$E$9+1,1))</f>
        <v>443.34220761968419</v>
      </c>
      <c r="T13" s="59">
        <f t="shared" si="34"/>
        <v>546.58234447298014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5.8637741839194364</v>
      </c>
      <c r="AK13" s="13">
        <f t="shared" si="35"/>
        <v>2.1994468497187687</v>
      </c>
      <c r="AL13" s="20">
        <f t="shared" si="4"/>
        <v>14.043443300253207</v>
      </c>
      <c r="AM13" s="59">
        <f t="shared" si="5"/>
        <v>282.93233218914207</v>
      </c>
      <c r="AN13" s="59">
        <f ca="1">AVERAGE(OFFSET($AM$3,0,0,'Données projet'!$E$10+1,1))-AVERAGE(OFFSET($H$3,0,0,'Données projet'!$E$10+1,1))</f>
        <v>364.3481978218424</v>
      </c>
      <c r="AO13" s="59">
        <f t="shared" si="36"/>
        <v>231.36959598460686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6.5714710681855761</v>
      </c>
      <c r="BF13" s="13">
        <f t="shared" si="37"/>
        <v>2.4324209676242781</v>
      </c>
      <c r="BG13" s="20">
        <f t="shared" si="7"/>
        <v>15.681778629035497</v>
      </c>
      <c r="BH13" s="59">
        <f t="shared" si="8"/>
        <v>284.57066751792433</v>
      </c>
      <c r="BI13" s="59">
        <f ca="1">AVERAGE(OFFSET($BH$3,0,0,'Données projet'!$E$11+1,1))-AVERAGE(OFFSET($H$3,0,0,'Données projet'!$E$11+1,1))</f>
        <v>403.50418598112844</v>
      </c>
      <c r="BJ13" s="59">
        <f t="shared" si="38"/>
        <v>254.25036207346591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295.10882018897831</v>
      </c>
      <c r="S14" s="59">
        <f ca="1">AVERAGE(OFFSET($R$3,0,0,'Données projet'!$E$9+1,1))-AVERAGE(OFFSET($H$3,0,0,'Données projet'!$E$9+1,1))</f>
        <v>443.34220761968419</v>
      </c>
      <c r="T14" s="59">
        <f t="shared" si="34"/>
        <v>546.58234447298014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7.0687024627689707</v>
      </c>
      <c r="AK14" s="13">
        <f t="shared" si="35"/>
        <v>2.5943503554083325</v>
      </c>
      <c r="AL14" s="20">
        <f t="shared" si="4"/>
        <v>16.829816991658799</v>
      </c>
      <c r="AM14" s="59">
        <f t="shared" si="5"/>
        <v>286.94092810276993</v>
      </c>
      <c r="AN14" s="59">
        <f ca="1">AVERAGE(OFFSET($AM$3,0,0,'Données projet'!$E$10+1,1))-AVERAGE(OFFSET($H$3,0,0,'Données projet'!$E$10+1,1))</f>
        <v>364.3481978218424</v>
      </c>
      <c r="AO14" s="59">
        <f t="shared" si="36"/>
        <v>231.36959598460686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7.921821725516951</v>
      </c>
      <c r="BF14" s="13">
        <f t="shared" si="37"/>
        <v>2.869154216054651</v>
      </c>
      <c r="BG14" s="20">
        <f t="shared" si="7"/>
        <v>18.794283098237205</v>
      </c>
      <c r="BH14" s="59">
        <f t="shared" si="8"/>
        <v>288.90539420934834</v>
      </c>
      <c r="BI14" s="59">
        <f ca="1">AVERAGE(OFFSET($BH$3,0,0,'Données projet'!$E$11+1,1))-AVERAGE(OFFSET($H$3,0,0,'Données projet'!$E$11+1,1))</f>
        <v>403.50418598112844</v>
      </c>
      <c r="BJ14" s="59">
        <f t="shared" si="38"/>
        <v>254.25036207346591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303.74650101186751</v>
      </c>
      <c r="S15" s="59">
        <f ca="1">AVERAGE(OFFSET($R$3,0,0,'Données projet'!$E$9+1,1))-AVERAGE(OFFSET($H$3,0,0,'Données projet'!$E$9+1,1))</f>
        <v>443.34220761968419</v>
      </c>
      <c r="T15" s="59">
        <f t="shared" si="34"/>
        <v>546.58234447298014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8.521227615514638</v>
      </c>
      <c r="AK15" s="13">
        <f t="shared" si="35"/>
        <v>3.0601574970852128</v>
      </c>
      <c r="AL15" s="20">
        <f t="shared" si="4"/>
        <v>20.170912404444739</v>
      </c>
      <c r="AM15" s="59">
        <f t="shared" si="5"/>
        <v>291.50424573777804</v>
      </c>
      <c r="AN15" s="59">
        <f ca="1">AVERAGE(OFFSET($AM$3,0,0,'Données projet'!$E$10+1,1))-AVERAGE(OFFSET($H$3,0,0,'Données projet'!$E$10+1,1))</f>
        <v>364.3481978218424</v>
      </c>
      <c r="AO15" s="59">
        <f t="shared" si="36"/>
        <v>231.36959598460686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9.5496516380767513</v>
      </c>
      <c r="BF15" s="13">
        <f t="shared" si="37"/>
        <v>3.3843014943027487</v>
      </c>
      <c r="BG15" s="20">
        <f t="shared" si="7"/>
        <v>22.526635038894295</v>
      </c>
      <c r="BH15" s="59">
        <f t="shared" si="8"/>
        <v>293.85996837222763</v>
      </c>
      <c r="BI15" s="59">
        <f ca="1">AVERAGE(OFFSET($BH$3,0,0,'Données projet'!$E$11+1,1))-AVERAGE(OFFSET($H$3,0,0,'Données projet'!$E$11+1,1))</f>
        <v>403.50418598112844</v>
      </c>
      <c r="BJ15" s="59">
        <f t="shared" si="38"/>
        <v>254.25036207346591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314.59166767936932</v>
      </c>
      <c r="S16" s="59">
        <f ca="1">AVERAGE(OFFSET($R$3,0,0,'Données projet'!$E$9+1,1))-AVERAGE(OFFSET($H$3,0,0,'Données projet'!$E$9+1,1))</f>
        <v>443.34220761968419</v>
      </c>
      <c r="T16" s="59">
        <f t="shared" si="34"/>
        <v>546.58234447298014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10.272227535089344</v>
      </c>
      <c r="AK16" s="13">
        <f t="shared" si="35"/>
        <v>3.6095987912522753</v>
      </c>
      <c r="AL16" s="20">
        <f t="shared" si="4"/>
        <v>24.177514185044988</v>
      </c>
      <c r="AM16" s="59">
        <f t="shared" si="5"/>
        <v>296.73306974060051</v>
      </c>
      <c r="AN16" s="59">
        <f ca="1">AVERAGE(OFFSET($AM$3,0,0,'Données projet'!$E$10+1,1))-AVERAGE(OFFSET($H$3,0,0,'Données projet'!$E$10+1,1))</f>
        <v>364.3481978218424</v>
      </c>
      <c r="AO16" s="59">
        <f t="shared" si="36"/>
        <v>231.36959598460686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11.511979134151852</v>
      </c>
      <c r="BF16" s="13">
        <f t="shared" si="37"/>
        <v>3.9919417855793822</v>
      </c>
      <c r="BG16" s="20">
        <f t="shared" si="7"/>
        <v>27.002662268531896</v>
      </c>
      <c r="BH16" s="59">
        <f t="shared" si="8"/>
        <v>299.55821782408742</v>
      </c>
      <c r="BI16" s="59">
        <f ca="1">AVERAGE(OFFSET($BH$3,0,0,'Données projet'!$E$11+1,1))-AVERAGE(OFFSET($H$3,0,0,'Données projet'!$E$11+1,1))</f>
        <v>403.50418598112844</v>
      </c>
      <c r="BJ16" s="59">
        <f t="shared" si="38"/>
        <v>254.25036207346591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328.3035939534235</v>
      </c>
      <c r="S17" s="59">
        <f ca="1">AVERAGE(OFFSET($R$3,0,0,'Données projet'!$E$9+1,1))-AVERAGE(OFFSET($H$3,0,0,'Données projet'!$E$9+1,1))</f>
        <v>443.34220761968419</v>
      </c>
      <c r="T17" s="59">
        <f t="shared" si="34"/>
        <v>546.58234447298014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12.383034850580612</v>
      </c>
      <c r="AK17" s="13">
        <f t="shared" si="35"/>
        <v>4.2576904771143838</v>
      </c>
      <c r="AL17" s="20">
        <f t="shared" si="4"/>
        <v>28.982596612402116</v>
      </c>
      <c r="AM17" s="59">
        <f t="shared" si="5"/>
        <v>302.76037439017989</v>
      </c>
      <c r="AN17" s="59">
        <f ca="1">AVERAGE(OFFSET($AM$3,0,0,'Données projet'!$E$10+1,1))-AVERAGE(OFFSET($H$3,0,0,'Données projet'!$E$10+1,1))</f>
        <v>364.3481978218424</v>
      </c>
      <c r="AO17" s="59">
        <f t="shared" si="36"/>
        <v>231.36959598460686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13.877539056685173</v>
      </c>
      <c r="BF17" s="13">
        <f t="shared" si="37"/>
        <v>4.7086819085950955</v>
      </c>
      <c r="BG17" s="20">
        <f t="shared" si="7"/>
        <v>32.371001514529802</v>
      </c>
      <c r="BH17" s="59">
        <f t="shared" si="8"/>
        <v>306.14877929230755</v>
      </c>
      <c r="BI17" s="59">
        <f ca="1">AVERAGE(OFFSET($BH$3,0,0,'Données projet'!$E$11+1,1))-AVERAGE(OFFSET($H$3,0,0,'Données projet'!$E$11+1,1))</f>
        <v>403.50418598112844</v>
      </c>
      <c r="BJ17" s="59">
        <f t="shared" si="38"/>
        <v>254.25036207346591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345.73903563222814</v>
      </c>
      <c r="S18" s="59">
        <f ca="1">AVERAGE(OFFSET($R$3,0,0,'Données projet'!$E$9+1,1))-AVERAGE(OFFSET($H$3,0,0,'Données projet'!$E$9+1,1))</f>
        <v>443.34220761968419</v>
      </c>
      <c r="T18" s="59">
        <f t="shared" si="34"/>
        <v>546.58234447298014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14.927585237660953</v>
      </c>
      <c r="AK18" s="13">
        <f t="shared" si="35"/>
        <v>5.0221449106318534</v>
      </c>
      <c r="AL18" s="20">
        <f t="shared" si="4"/>
        <v>34.745780008276633</v>
      </c>
      <c r="AM18" s="59">
        <f t="shared" si="5"/>
        <v>309.74578000827665</v>
      </c>
      <c r="AN18" s="59">
        <f ca="1">AVERAGE(OFFSET($AM$3,0,0,'Données projet'!$E$10+1,1))-AVERAGE(OFFSET($H$3,0,0,'Données projet'!$E$10+1,1))</f>
        <v>364.3481978218424</v>
      </c>
      <c r="AO18" s="59">
        <f t="shared" si="36"/>
        <v>231.36959598460686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16.729190352551068</v>
      </c>
      <c r="BF18" s="13">
        <f t="shared" si="37"/>
        <v>5.5541103821765283</v>
      </c>
      <c r="BG18" s="20">
        <f t="shared" si="7"/>
        <v>38.810082112983899</v>
      </c>
      <c r="BH18" s="59">
        <f t="shared" si="8"/>
        <v>313.81008211298388</v>
      </c>
      <c r="BI18" s="59">
        <f ca="1">AVERAGE(OFFSET($BH$3,0,0,'Données projet'!$E$11+1,1))-AVERAGE(OFFSET($H$3,0,0,'Données projet'!$E$11+1,1))</f>
        <v>403.50418598112844</v>
      </c>
      <c r="BJ18" s="59">
        <f t="shared" si="38"/>
        <v>254.25036207346591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368.01154650081702</v>
      </c>
      <c r="S19" s="59">
        <f ca="1">AVERAGE(OFFSET($R$3,0,0,'Données projet'!$E$9+1,1))-AVERAGE(OFFSET($H$3,0,0,'Données projet'!$E$9+1,1))</f>
        <v>443.34220761968419</v>
      </c>
      <c r="T19" s="59">
        <f t="shared" si="34"/>
        <v>546.58234447298014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17.995007178485412</v>
      </c>
      <c r="AK19" s="13">
        <f t="shared" si="35"/>
        <v>5.9238546434872337</v>
      </c>
      <c r="AL19" s="20">
        <f t="shared" si="4"/>
        <v>41.658684339935689</v>
      </c>
      <c r="AM19" s="59">
        <f t="shared" si="5"/>
        <v>317.88090656215792</v>
      </c>
      <c r="AN19" s="59">
        <f ca="1">AVERAGE(OFFSET($AM$3,0,0,'Données projet'!$E$10+1,1))-AVERAGE(OFFSET($H$3,0,0,'Données projet'!$E$10+1,1))</f>
        <v>364.3481978218424</v>
      </c>
      <c r="AO19" s="59">
        <f t="shared" si="36"/>
        <v>231.36959598460686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20.166818389681932</v>
      </c>
      <c r="BF19" s="13">
        <f t="shared" si="37"/>
        <v>6.5513327797938032</v>
      </c>
      <c r="BG19" s="20">
        <f t="shared" si="7"/>
        <v>46.534113286836906</v>
      </c>
      <c r="BH19" s="59">
        <f t="shared" si="8"/>
        <v>322.75633550905911</v>
      </c>
      <c r="BI19" s="59">
        <f ca="1">AVERAGE(OFFSET($BH$3,0,0,'Données projet'!$E$11+1,1))-AVERAGE(OFFSET($H$3,0,0,'Données projet'!$E$11+1,1))</f>
        <v>403.50418598112844</v>
      </c>
      <c r="BJ19" s="59">
        <f t="shared" si="38"/>
        <v>254.25036207346591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396.56865461000649</v>
      </c>
      <c r="S20" s="59">
        <f ca="1">AVERAGE(OFFSET($R$3,0,0,'Données projet'!$E$9+1,1))-AVERAGE(OFFSET($H$3,0,0,'Données projet'!$E$9+1,1))</f>
        <v>443.34220761968419</v>
      </c>
      <c r="T20" s="59">
        <f t="shared" si="34"/>
        <v>546.58234447298014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21.692743883101215</v>
      </c>
      <c r="AK20" s="13">
        <f t="shared" si="35"/>
        <v>6.98746341685115</v>
      </c>
      <c r="AL20" s="20">
        <f t="shared" si="4"/>
        <v>49.951361047417038</v>
      </c>
      <c r="AM20" s="59">
        <f t="shared" si="5"/>
        <v>327.39580549186149</v>
      </c>
      <c r="AN20" s="59">
        <f ca="1">AVERAGE(OFFSET($AM$3,0,0,'Données projet'!$E$10+1,1))-AVERAGE(OFFSET($H$3,0,0,'Données projet'!$E$10+1,1))</f>
        <v>364.3481978218424</v>
      </c>
      <c r="AO20" s="59">
        <f t="shared" si="36"/>
        <v>231.36959598460686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24.31083366209619</v>
      </c>
      <c r="BF20" s="13">
        <f t="shared" si="37"/>
        <v>7.7276032052466093</v>
      </c>
      <c r="BG20" s="20">
        <f t="shared" si="7"/>
        <v>55.800277543955367</v>
      </c>
      <c r="BH20" s="59">
        <f t="shared" si="8"/>
        <v>333.24472198839982</v>
      </c>
      <c r="BI20" s="59">
        <f ca="1">AVERAGE(OFFSET($BH$3,0,0,'Données projet'!$E$11+1,1))-AVERAGE(OFFSET($H$3,0,0,'Données projet'!$E$11+1,1))</f>
        <v>403.50418598112844</v>
      </c>
      <c r="BJ20" s="59">
        <f t="shared" si="38"/>
        <v>254.25036207346591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433.29228875555856</v>
      </c>
      <c r="S21" s="59">
        <f ca="1">AVERAGE(OFFSET($R$3,0,0,'Données projet'!$E$9+1,1))-AVERAGE(OFFSET($H$3,0,0,'Données projet'!$E$9+1,1))</f>
        <v>443.34220761968419</v>
      </c>
      <c r="T21" s="59">
        <f t="shared" si="34"/>
        <v>546.58234447298014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26.150316724543362</v>
      </c>
      <c r="AK21" s="13">
        <f t="shared" si="35"/>
        <v>8.2420396752158016</v>
      </c>
      <c r="AL21" s="20">
        <f t="shared" si="4"/>
        <v>59.900020729580547</v>
      </c>
      <c r="AM21" s="59">
        <f t="shared" si="5"/>
        <v>338.56668739624723</v>
      </c>
      <c r="AN21" s="59">
        <f ca="1">AVERAGE(OFFSET($AM$3,0,0,'Données projet'!$E$10+1,1))-AVERAGE(OFFSET($H$3,0,0,'Données projet'!$E$10+1,1))</f>
        <v>364.3481978218424</v>
      </c>
      <c r="AO21" s="59">
        <f t="shared" si="36"/>
        <v>231.36959598460686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29.306389432677911</v>
      </c>
      <c r="BF21" s="13">
        <f t="shared" si="37"/>
        <v>9.1150691477493808</v>
      </c>
      <c r="BG21" s="20">
        <f t="shared" si="7"/>
        <v>66.917373694244205</v>
      </c>
      <c r="BH21" s="59">
        <f t="shared" si="8"/>
        <v>345.58404036091088</v>
      </c>
      <c r="BI21" s="59">
        <f ca="1">AVERAGE(OFFSET($BH$3,0,0,'Données projet'!$E$11+1,1))-AVERAGE(OFFSET($H$3,0,0,'Données projet'!$E$11+1,1))</f>
        <v>403.50418598112844</v>
      </c>
      <c r="BJ21" s="59">
        <f t="shared" si="38"/>
        <v>254.25036207346591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480.62947485620896</v>
      </c>
      <c r="S22" s="59">
        <f ca="1">AVERAGE(OFFSET($R$3,0,0,'Données projet'!$E$9+1,1))-AVERAGE(OFFSET($H$3,0,0,'Données projet'!$E$9+1,1))</f>
        <v>443.34220761968419</v>
      </c>
      <c r="T22" s="59">
        <f t="shared" si="34"/>
        <v>546.58234447298014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31.52386201022027</v>
      </c>
      <c r="AK22" s="13">
        <f t="shared" si="35"/>
        <v>9.7218710074397983</v>
      </c>
      <c r="AL22" s="20">
        <f t="shared" si="4"/>
        <v>71.836318339091292</v>
      </c>
      <c r="AM22" s="59">
        <f t="shared" si="5"/>
        <v>351.72520722798015</v>
      </c>
      <c r="AN22" s="59">
        <f ca="1">AVERAGE(OFFSET($AM$3,0,0,'Données projet'!$E$10+1,1))-AVERAGE(OFFSET($H$3,0,0,'Données projet'!$E$10+1,1))</f>
        <v>364.3481978218424</v>
      </c>
      <c r="AO22" s="59">
        <f t="shared" si="36"/>
        <v>231.36959598460686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35.328466045936516</v>
      </c>
      <c r="BF22" s="13">
        <f t="shared" si="37"/>
        <v>10.751650073316766</v>
      </c>
      <c r="BG22" s="20">
        <f t="shared" si="7"/>
        <v>80.256202241032796</v>
      </c>
      <c r="BH22" s="59">
        <f t="shared" si="8"/>
        <v>360.14509112992164</v>
      </c>
      <c r="BI22" s="59">
        <f ca="1">AVERAGE(OFFSET($BH$3,0,0,'Données projet'!$E$11+1,1))-AVERAGE(OFFSET($H$3,0,0,'Données projet'!$E$11+1,1))</f>
        <v>403.50418598112844</v>
      </c>
      <c r="BJ22" s="59">
        <f t="shared" si="38"/>
        <v>254.25036207346591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516.62315313877355</v>
      </c>
      <c r="S23" s="59">
        <f ca="1">AVERAGE(OFFSET($R$3,0,0,'Données projet'!$E$9+1,1))-AVERAGE(OFFSET($H$3,0,0,'Données projet'!$E$9+1,1))</f>
        <v>443.34220761968419</v>
      </c>
      <c r="T23" s="59">
        <f t="shared" si="34"/>
        <v>546.58234447298014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38.001600000000003</v>
      </c>
      <c r="AK23" s="13">
        <f t="shared" si="35"/>
        <v>11.467401227090512</v>
      </c>
      <c r="AL23" s="20">
        <f t="shared" si="4"/>
        <v>86.158510470515978</v>
      </c>
      <c r="AM23" s="59">
        <f t="shared" si="5"/>
        <v>367.26962158162712</v>
      </c>
      <c r="AN23" s="59">
        <f ca="1">AVERAGE(OFFSET($AM$3,0,0,'Données projet'!$E$10+1,1))-AVERAGE(OFFSET($H$3,0,0,'Données projet'!$E$10+1,1))</f>
        <v>364.3481978218424</v>
      </c>
      <c r="AO23" s="59">
        <f t="shared" si="36"/>
        <v>231.36959598460686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42.588000000000001</v>
      </c>
      <c r="BF23" s="13">
        <f t="shared" si="37"/>
        <v>12.682073764365764</v>
      </c>
      <c r="BG23" s="20">
        <f t="shared" si="7"/>
        <v>96.262045139603686</v>
      </c>
      <c r="BH23" s="59">
        <f t="shared" si="8"/>
        <v>377.37315625071483</v>
      </c>
      <c r="BI23" s="59">
        <f ca="1">AVERAGE(OFFSET($BH$3,0,0,'Données projet'!$E$11+1,1))-AVERAGE(OFFSET($H$3,0,0,'Données projet'!$E$11+1,1))</f>
        <v>403.50418598112844</v>
      </c>
      <c r="BJ23" s="59">
        <f t="shared" si="38"/>
        <v>254.25036207346591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552.4995651481911</v>
      </c>
      <c r="S24" s="59">
        <f ca="1">AVERAGE(OFFSET($R$3,0,0,'Données projet'!$E$9+1,1))-AVERAGE(OFFSET($H$3,0,0,'Données projet'!$E$9+1,1))</f>
        <v>443.34220761968419</v>
      </c>
      <c r="T24" s="59">
        <f t="shared" si="34"/>
        <v>546.58234447298014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5.6</v>
      </c>
      <c r="AI24" s="13">
        <f>IF('Données projet'!$A$62&gt;35,AI23+AH24-AQ23,IF(A24&lt;'Données projet'!$A$62,$AF$205^A24,IF(A24='Données projet'!$A$62,'Données projet'!$B$62,AI23+AH24-AQ23)))</f>
        <v>47.6</v>
      </c>
      <c r="AJ24" s="13">
        <f>AI24*VLOOKUP('Données projet'!$B$10,Paramètres!$A$1:$I$89,3,0)*VLOOKUP('Données projet'!$B$10,Paramètres!$A$1:$I$89,5,0)</f>
        <v>43.068480000000001</v>
      </c>
      <c r="AK24" s="13">
        <f t="shared" si="35"/>
        <v>12.808416415102187</v>
      </c>
      <c r="AL24" s="20">
        <f t="shared" si="4"/>
        <v>97.318927922969635</v>
      </c>
      <c r="AM24" s="59">
        <f t="shared" si="5"/>
        <v>379.65226125630295</v>
      </c>
      <c r="AN24" s="59">
        <f ca="1">AVERAGE(OFFSET($AM$3,0,0,'Données projet'!$E$10+1,1))-AVERAGE(OFFSET($H$3,0,0,'Données projet'!$E$10+1,1))</f>
        <v>364.3481978218424</v>
      </c>
      <c r="AO24" s="59">
        <f t="shared" si="36"/>
        <v>231.36959598460686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5.6</v>
      </c>
      <c r="BD24" s="12">
        <f>IF('Données projet'!$A$88&gt;35,BD23+BC24-BL23,IF(A24&lt;'Données projet'!$A$88,$BA$205^A24,IF(A24='Données projet'!$A$88,'Données projet'!$B$88,BD23+BC24-BL23)))</f>
        <v>47.6</v>
      </c>
      <c r="BE24" s="13">
        <f>BD24*VLOOKUP('Données projet'!$B$11,Paramètres!$A$1:$I$89,3,0)*VLOOKUP('Données projet'!$B$11,Paramètres!$A$1:$I$89,5,0)</f>
        <v>48.266400000000004</v>
      </c>
      <c r="BF24" s="13">
        <f t="shared" si="37"/>
        <v>14.165134590154434</v>
      </c>
      <c r="BG24" s="20">
        <f t="shared" si="7"/>
        <v>108.73492274451898</v>
      </c>
      <c r="BH24" s="59">
        <f t="shared" si="8"/>
        <v>391.06825607785231</v>
      </c>
      <c r="BI24" s="59">
        <f ca="1">AVERAGE(OFFSET($BH$3,0,0,'Données projet'!$E$11+1,1))-AVERAGE(OFFSET($H$3,0,0,'Données projet'!$E$11+1,1))</f>
        <v>403.50418598112844</v>
      </c>
      <c r="BJ24" s="59">
        <f t="shared" si="38"/>
        <v>254.25036207346591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588.27587008503042</v>
      </c>
      <c r="S25" s="59">
        <f ca="1">AVERAGE(OFFSET($R$3,0,0,'Données projet'!$E$9+1,1))-AVERAGE(OFFSET($H$3,0,0,'Données projet'!$E$9+1,1))</f>
        <v>443.34220761968419</v>
      </c>
      <c r="T25" s="59">
        <f t="shared" si="34"/>
        <v>546.58234447298014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5.6</v>
      </c>
      <c r="AI25" s="13">
        <f>IF('Données projet'!$A$62&gt;35,AI24+AH25-AQ24,IF(A25&lt;'Données projet'!$A$62,$AF$205^A25,IF(A25='Données projet'!$A$62,'Données projet'!$B$62,AI24+AH25-AQ24)))</f>
        <v>53.2</v>
      </c>
      <c r="AJ25" s="13">
        <f>AI25*VLOOKUP('Données projet'!$B$10,Paramètres!$A$1:$I$89,3,0)*VLOOKUP('Données projet'!$B$10,Paramètres!$A$1:$I$89,5,0)</f>
        <v>48.135359999999999</v>
      </c>
      <c r="AK25" s="13">
        <f t="shared" si="35"/>
        <v>14.131148275361113</v>
      </c>
      <c r="AL25" s="20">
        <f t="shared" si="4"/>
        <v>108.4475019129206</v>
      </c>
      <c r="AM25" s="59">
        <f t="shared" si="5"/>
        <v>392.00305746847613</v>
      </c>
      <c r="AN25" s="59">
        <f ca="1">AVERAGE(OFFSET($AM$3,0,0,'Données projet'!$E$10+1,1))-AVERAGE(OFFSET($H$3,0,0,'Données projet'!$E$10+1,1))</f>
        <v>364.3481978218424</v>
      </c>
      <c r="AO25" s="59">
        <f t="shared" si="36"/>
        <v>231.36959598460686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5.6</v>
      </c>
      <c r="BD25" s="12">
        <f>IF('Données projet'!$A$88&gt;35,BD24+BC25-BL24,IF(A25&lt;'Données projet'!$A$88,$BA$205^A25,IF(A25='Données projet'!$A$88,'Données projet'!$B$88,BD24+BC25-BL24)))</f>
        <v>53.2</v>
      </c>
      <c r="BE25" s="13">
        <f>BD25*VLOOKUP('Données projet'!$B$11,Paramètres!$A$1:$I$89,3,0)*VLOOKUP('Données projet'!$B$11,Paramètres!$A$1:$I$89,5,0)</f>
        <v>53.944800000000008</v>
      </c>
      <c r="BF25" s="13">
        <f t="shared" si="37"/>
        <v>15.627975445731321</v>
      </c>
      <c r="BG25" s="20">
        <f t="shared" si="7"/>
        <v>121.17258390131538</v>
      </c>
      <c r="BH25" s="59">
        <f t="shared" si="8"/>
        <v>404.72813945687091</v>
      </c>
      <c r="BI25" s="59">
        <f ca="1">AVERAGE(OFFSET($BH$3,0,0,'Données projet'!$E$11+1,1))-AVERAGE(OFFSET($H$3,0,0,'Données projet'!$E$11+1,1))</f>
        <v>403.50418598112844</v>
      </c>
      <c r="BJ25" s="59">
        <f t="shared" si="38"/>
        <v>254.25036207346591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623.96500994027633</v>
      </c>
      <c r="S26" s="59">
        <f ca="1">AVERAGE(OFFSET($R$3,0,0,'Données projet'!$E$9+1,1))-AVERAGE(OFFSET($H$3,0,0,'Données projet'!$E$9+1,1))</f>
        <v>443.34220761968419</v>
      </c>
      <c r="T26" s="59">
        <f t="shared" si="34"/>
        <v>546.58234447298014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5.6</v>
      </c>
      <c r="AI26" s="13">
        <f>IF('Données projet'!$A$62&gt;35,AI25+AH26-AQ25,IF(A26&lt;'Données projet'!$A$62,$AF$205^A26,IF(A26='Données projet'!$A$62,'Données projet'!$B$62,AI25+AH26-AQ25)))</f>
        <v>58.800000000000004</v>
      </c>
      <c r="AJ26" s="13">
        <f>AI26*VLOOKUP('Données projet'!$B$10,Paramètres!$A$1:$I$89,3,0)*VLOOKUP('Données projet'!$B$10,Paramètres!$A$1:$I$89,5,0)</f>
        <v>53.202240000000003</v>
      </c>
      <c r="AK26" s="13">
        <f t="shared" si="35"/>
        <v>15.437740642425908</v>
      </c>
      <c r="AL26" s="20">
        <f t="shared" si="4"/>
        <v>119.54796628555846</v>
      </c>
      <c r="AM26" s="59">
        <f t="shared" si="5"/>
        <v>404.32574406333623</v>
      </c>
      <c r="AN26" s="59">
        <f ca="1">AVERAGE(OFFSET($AM$3,0,0,'Données projet'!$E$10+1,1))-AVERAGE(OFFSET($H$3,0,0,'Données projet'!$E$10+1,1))</f>
        <v>364.3481978218424</v>
      </c>
      <c r="AO26" s="59">
        <f t="shared" si="36"/>
        <v>231.36959598460686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5.6</v>
      </c>
      <c r="BD26" s="12">
        <f>IF('Données projet'!$A$88&gt;35,BD25+BC26-BL25,IF(A26&lt;'Données projet'!$A$88,$BA$205^A26,IF(A26='Données projet'!$A$88,'Données projet'!$B$88,BD25+BC26-BL25)))</f>
        <v>58.800000000000004</v>
      </c>
      <c r="BE26" s="13">
        <f>BD26*VLOOKUP('Données projet'!$B$11,Paramètres!$A$1:$I$89,3,0)*VLOOKUP('Données projet'!$B$11,Paramètres!$A$1:$I$89,5,0)</f>
        <v>59.623200000000011</v>
      </c>
      <c r="BF26" s="13">
        <f t="shared" si="37"/>
        <v>17.072967249098898</v>
      </c>
      <c r="BG26" s="20">
        <f t="shared" si="7"/>
        <v>133.57915795884725</v>
      </c>
      <c r="BH26" s="59">
        <f t="shared" si="8"/>
        <v>418.35693573662502</v>
      </c>
      <c r="BI26" s="59">
        <f ca="1">AVERAGE(OFFSET($BH$3,0,0,'Données projet'!$E$11+1,1))-AVERAGE(OFFSET($H$3,0,0,'Données projet'!$E$11+1,1))</f>
        <v>403.50418598112844</v>
      </c>
      <c r="BJ26" s="59">
        <f t="shared" si="38"/>
        <v>254.25036207346591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659.57707921130032</v>
      </c>
      <c r="S27" s="59">
        <f ca="1">AVERAGE(OFFSET($R$3,0,0,'Données projet'!$E$9+1,1))-AVERAGE(OFFSET($H$3,0,0,'Données projet'!$E$9+1,1))</f>
        <v>443.34220761968419</v>
      </c>
      <c r="T27" s="59">
        <f t="shared" si="34"/>
        <v>546.58234447298014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5.6</v>
      </c>
      <c r="AI27" s="13">
        <f>IF('Données projet'!$A$62&gt;35,AI26+AH27-AQ26,IF(A27&lt;'Données projet'!$A$62,$AF$205^A27,IF(A27='Données projet'!$A$62,'Données projet'!$B$62,AI26+AH27-AQ26)))</f>
        <v>64.400000000000006</v>
      </c>
      <c r="AJ27" s="13">
        <f>AI27*VLOOKUP('Données projet'!$B$10,Paramètres!$A$1:$I$89,3,0)*VLOOKUP('Données projet'!$B$10,Paramètres!$A$1:$I$89,5,0)</f>
        <v>58.269120000000008</v>
      </c>
      <c r="AK27" s="13">
        <f t="shared" si="35"/>
        <v>16.729905486873804</v>
      </c>
      <c r="AL27" s="20">
        <f t="shared" si="4"/>
        <v>130.62330272297189</v>
      </c>
      <c r="AM27" s="59">
        <f t="shared" si="5"/>
        <v>416.62330272297186</v>
      </c>
      <c r="AN27" s="59">
        <f ca="1">AVERAGE(OFFSET($AM$3,0,0,'Données projet'!$E$10+1,1))-AVERAGE(OFFSET($H$3,0,0,'Données projet'!$E$10+1,1))</f>
        <v>364.3481978218424</v>
      </c>
      <c r="AO27" s="59">
        <f t="shared" si="36"/>
        <v>231.36959598460686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5.6</v>
      </c>
      <c r="BD27" s="12">
        <f>IF('Données projet'!$A$88&gt;35,BD26+BC27-BL26,IF(A27&lt;'Données projet'!$A$88,$BA$205^A27,IF(A27='Données projet'!$A$88,'Données projet'!$B$88,BD26+BC27-BL26)))</f>
        <v>64.400000000000006</v>
      </c>
      <c r="BE27" s="13">
        <f>BD27*VLOOKUP('Données projet'!$B$11,Paramètres!$A$1:$I$89,3,0)*VLOOKUP('Données projet'!$B$11,Paramètres!$A$1:$I$89,5,0)</f>
        <v>65.301600000000008</v>
      </c>
      <c r="BF27" s="13">
        <f t="shared" si="37"/>
        <v>18.502003309535596</v>
      </c>
      <c r="BG27" s="20">
        <f t="shared" si="7"/>
        <v>145.95794243077449</v>
      </c>
      <c r="BH27" s="59">
        <f t="shared" si="8"/>
        <v>431.95794243077449</v>
      </c>
      <c r="BI27" s="59">
        <f ca="1">AVERAGE(OFFSET($BH$3,0,0,'Données projet'!$E$11+1,1))-AVERAGE(OFFSET($H$3,0,0,'Données projet'!$E$11+1,1))</f>
        <v>403.50418598112844</v>
      </c>
      <c r="BJ27" s="59">
        <f t="shared" si="38"/>
        <v>254.25036207346591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695.12016171690379</v>
      </c>
      <c r="S28" s="59">
        <f ca="1">AVERAGE(OFFSET($R$3,0,0,'Données projet'!$E$9+1,1))-AVERAGE(OFFSET($H$3,0,0,'Données projet'!$E$9+1,1))</f>
        <v>443.34220761968419</v>
      </c>
      <c r="T28" s="59">
        <f t="shared" si="34"/>
        <v>546.58234447298014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1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34.177564133133899</v>
      </c>
      <c r="AC28" s="22">
        <f t="shared" si="3"/>
        <v>34.177564133133899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70</v>
      </c>
      <c r="AG28" s="12">
        <f>VLOOKUP(A28,'Données projet'!$A$61:$I$81,9,0)</f>
        <v>5.6</v>
      </c>
      <c r="AH28" s="12">
        <f t="array" ref="AH28">INDEX(AG:AG,MIN(IF(ISNUMBER(AG28:AG224),ROW(AG28:AG224),"")))</f>
        <v>5.6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63.335999999999991</v>
      </c>
      <c r="AK28" s="13">
        <f t="shared" si="35"/>
        <v>18.009040022946227</v>
      </c>
      <c r="AL28" s="20">
        <f t="shared" si="4"/>
        <v>141.67594470663133</v>
      </c>
      <c r="AM28" s="59">
        <f t="shared" si="5"/>
        <v>428.89816692885358</v>
      </c>
      <c r="AN28" s="59">
        <f ca="1">AVERAGE(OFFSET($AM$3,0,0,'Données projet'!$E$10+1,1))-AVERAGE(OFFSET($H$3,0,0,'Données projet'!$E$10+1,1))</f>
        <v>364.3481978218424</v>
      </c>
      <c r="AO28" s="59">
        <f t="shared" si="36"/>
        <v>231.36959598460686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>
        <f>VLOOKUP(A28,'Données projet'!$A$87:$I$107,2,0)</f>
        <v>70</v>
      </c>
      <c r="BB28" s="12">
        <f>VLOOKUP(A28,'Données projet'!$A$87:$I$107,9,0)</f>
        <v>5.6</v>
      </c>
      <c r="BC28" s="12">
        <f t="array" ref="BC28">INDEX(BB:BB,MIN(IF(ISNUMBER(BB28:BB224),ROW(BB28:BB224),"")))</f>
        <v>5.6</v>
      </c>
      <c r="BD28" s="12">
        <f>IF('Données projet'!$A$88&gt;35,BD27+BC28-BL27,IF(A28&lt;'Données projet'!$A$88,$BA$205^A28,IF(A28='Données projet'!$A$88,'Données projet'!$B$88,BD27+BC28-BL27)))</f>
        <v>70</v>
      </c>
      <c r="BE28" s="13">
        <f>BD28*VLOOKUP('Données projet'!$B$11,Paramètres!$A$1:$I$89,3,0)*VLOOKUP('Données projet'!$B$11,Paramètres!$A$1:$I$89,5,0)</f>
        <v>70.98</v>
      </c>
      <c r="BF28" s="13">
        <f t="shared" si="37"/>
        <v>19.916628839746853</v>
      </c>
      <c r="BG28" s="20">
        <f t="shared" si="7"/>
        <v>158.31162856255909</v>
      </c>
      <c r="BH28" s="59">
        <f t="shared" si="8"/>
        <v>445.53385078478129</v>
      </c>
      <c r="BI28" s="59">
        <f ca="1">AVERAGE(OFFSET($BH$3,0,0,'Données projet'!$E$11+1,1))-AVERAGE(OFFSET($H$3,0,0,'Données projet'!$E$11+1,1))</f>
        <v>403.50418598112844</v>
      </c>
      <c r="BJ28" s="59">
        <f t="shared" si="38"/>
        <v>254.25036207346591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8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665.39703298337781</v>
      </c>
      <c r="S29" s="59">
        <f ca="1">AVERAGE(OFFSET($R$3,0,0,'Données projet'!$E$9+1,1))-AVERAGE(OFFSET($H$3,0,0,'Données projet'!$E$9+1,1))</f>
        <v>443.34220761968419</v>
      </c>
      <c r="T29" s="59">
        <f t="shared" si="34"/>
        <v>546.58234447298014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24.16718736297711</v>
      </c>
      <c r="AC29" s="22">
        <f t="shared" si="3"/>
        <v>24.16718736297711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62.431199999999997</v>
      </c>
      <c r="AK29" s="13">
        <f t="shared" si="35"/>
        <v>17.781524466058684</v>
      </c>
      <c r="AL29" s="20">
        <f t="shared" si="4"/>
        <v>139.70382844505221</v>
      </c>
      <c r="AM29" s="59">
        <f t="shared" si="5"/>
        <v>428.14827288949664</v>
      </c>
      <c r="AN29" s="59">
        <f ca="1">AVERAGE(OFFSET($AM$3,0,0,'Données projet'!$E$10+1,1))-AVERAGE(OFFSET($H$3,0,0,'Données projet'!$E$10+1,1))</f>
        <v>364.3481978218424</v>
      </c>
      <c r="AO29" s="59">
        <f t="shared" si="36"/>
        <v>231.36959598460686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</v>
      </c>
      <c r="BD29" s="12">
        <f>IF('Données projet'!$A$88&gt;35,BD28+BC29-BL28,IF(A29&lt;'Données projet'!$A$88,$BA$205^A29,IF(A29='Données projet'!$A$88,'Données projet'!$B$88,BD28+BC29-BL28)))</f>
        <v>69</v>
      </c>
      <c r="BE29" s="13">
        <f>BD29*VLOOKUP('Données projet'!$B$11,Paramètres!$A$1:$I$89,3,0)*VLOOKUP('Données projet'!$B$11,Paramètres!$A$1:$I$89,5,0)</f>
        <v>69.966000000000008</v>
      </c>
      <c r="BF29" s="13">
        <f t="shared" si="37"/>
        <v>19.665013934342461</v>
      </c>
      <c r="BG29" s="20">
        <f t="shared" si="7"/>
        <v>156.10734926897979</v>
      </c>
      <c r="BH29" s="59">
        <f t="shared" si="8"/>
        <v>444.55179371342422</v>
      </c>
      <c r="BI29" s="59">
        <f ca="1">AVERAGE(OFFSET($BH$3,0,0,'Données projet'!$E$11+1,1))-AVERAGE(OFFSET($H$3,0,0,'Données projet'!$E$11+1,1))</f>
        <v>403.50418598112844</v>
      </c>
      <c r="BJ29" s="59">
        <f t="shared" si="38"/>
        <v>254.25036207346591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699.94286175098273</v>
      </c>
      <c r="S30" s="59">
        <f ca="1">AVERAGE(OFFSET($R$3,0,0,'Données projet'!$E$9+1,1))-AVERAGE(OFFSET($H$3,0,0,'Données projet'!$E$9+1,1))</f>
        <v>443.34220761968419</v>
      </c>
      <c r="T30" s="59">
        <f t="shared" si="34"/>
        <v>546.58234447298014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17.088782066566953</v>
      </c>
      <c r="AC30" s="22">
        <f t="shared" si="3"/>
        <v>17.088782066566953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68.764799999999994</v>
      </c>
      <c r="AK30" s="13">
        <f t="shared" si="35"/>
        <v>19.366396769521369</v>
      </c>
      <c r="AL30" s="20">
        <f t="shared" si="4"/>
        <v>153.49516770691636</v>
      </c>
      <c r="AM30" s="59">
        <f t="shared" si="5"/>
        <v>443.16183437358302</v>
      </c>
      <c r="AN30" s="59">
        <f ca="1">AVERAGE(OFFSET($AM$3,0,0,'Données projet'!$E$10+1,1))-AVERAGE(OFFSET($H$3,0,0,'Données projet'!$E$10+1,1))</f>
        <v>364.3481978218424</v>
      </c>
      <c r="AO30" s="59">
        <f t="shared" si="36"/>
        <v>231.36959598460686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</v>
      </c>
      <c r="BD30" s="12">
        <f>IF('Données projet'!$A$88&gt;35,BD29+BC30-BL29,IF(A30&lt;'Données projet'!$A$88,$BA$205^A30,IF(A30='Données projet'!$A$88,'Données projet'!$B$88,BD29+BC30-BL29)))</f>
        <v>76</v>
      </c>
      <c r="BE30" s="13">
        <f>BD30*VLOOKUP('Données projet'!$B$11,Paramètres!$A$1:$I$89,3,0)*VLOOKUP('Données projet'!$B$11,Paramètres!$A$1:$I$89,5,0)</f>
        <v>77.064000000000007</v>
      </c>
      <c r="BF30" s="13">
        <f t="shared" si="37"/>
        <v>21.417762186678065</v>
      </c>
      <c r="BG30" s="20">
        <f t="shared" si="7"/>
        <v>171.52240247513097</v>
      </c>
      <c r="BH30" s="59">
        <f t="shared" si="8"/>
        <v>461.18906914179763</v>
      </c>
      <c r="BI30" s="59">
        <f ca="1">AVERAGE(OFFSET($BH$3,0,0,'Données projet'!$E$11+1,1))-AVERAGE(OFFSET($H$3,0,0,'Données projet'!$E$11+1,1))</f>
        <v>403.50418598112844</v>
      </c>
      <c r="BJ30" s="59">
        <f t="shared" si="38"/>
        <v>254.25036207346591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734.43026527133907</v>
      </c>
      <c r="S31" s="59">
        <f ca="1">AVERAGE(OFFSET($R$3,0,0,'Données projet'!$E$9+1,1))-AVERAGE(OFFSET($H$3,0,0,'Données projet'!$E$9+1,1))</f>
        <v>443.34220761968419</v>
      </c>
      <c r="T31" s="59">
        <f t="shared" si="34"/>
        <v>546.58234447298014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12.083593681488557</v>
      </c>
      <c r="AC31" s="22">
        <f t="shared" si="3"/>
        <v>12.083593681488557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75.098399999999998</v>
      </c>
      <c r="AK31" s="13">
        <f t="shared" si="35"/>
        <v>20.934343091450742</v>
      </c>
      <c r="AL31" s="20">
        <f t="shared" si="4"/>
        <v>167.25702755094335</v>
      </c>
      <c r="AM31" s="59">
        <f t="shared" si="5"/>
        <v>458.14591643983221</v>
      </c>
      <c r="AN31" s="59">
        <f ca="1">AVERAGE(OFFSET($AM$3,0,0,'Données projet'!$E$10+1,1))-AVERAGE(OFFSET($H$3,0,0,'Données projet'!$E$10+1,1))</f>
        <v>364.3481978218424</v>
      </c>
      <c r="AO31" s="59">
        <f t="shared" si="36"/>
        <v>231.36959598460686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</v>
      </c>
      <c r="BD31" s="12">
        <f>IF('Données projet'!$A$88&gt;35,BD30+BC31-BL30,IF(A31&lt;'Données projet'!$A$88,$BA$205^A31,IF(A31='Données projet'!$A$88,'Données projet'!$B$88,BD30+BC31-BL30)))</f>
        <v>83</v>
      </c>
      <c r="BE31" s="13">
        <f>BD31*VLOOKUP('Données projet'!$B$11,Paramètres!$A$1:$I$89,3,0)*VLOOKUP('Données projet'!$B$11,Paramètres!$A$1:$I$89,5,0)</f>
        <v>84.162000000000006</v>
      </c>
      <c r="BF31" s="13">
        <f t="shared" si="37"/>
        <v>23.151791590506594</v>
      </c>
      <c r="BG31" s="20">
        <f t="shared" si="7"/>
        <v>186.90485368679899</v>
      </c>
      <c r="BH31" s="59">
        <f t="shared" si="8"/>
        <v>477.79374257568782</v>
      </c>
      <c r="BI31" s="59">
        <f ca="1">AVERAGE(OFFSET($BH$3,0,0,'Données projet'!$E$11+1,1))-AVERAGE(OFFSET($H$3,0,0,'Données projet'!$E$11+1,1))</f>
        <v>403.50418598112844</v>
      </c>
      <c r="BJ31" s="59">
        <f t="shared" si="38"/>
        <v>254.25036207346591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768.86423507735435</v>
      </c>
      <c r="S32" s="59">
        <f ca="1">AVERAGE(OFFSET($R$3,0,0,'Données projet'!$E$9+1,1))-AVERAGE(OFFSET($H$3,0,0,'Données projet'!$E$9+1,1))</f>
        <v>443.34220761968419</v>
      </c>
      <c r="T32" s="59">
        <f t="shared" si="34"/>
        <v>546.58234447298014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8.5443910332834783</v>
      </c>
      <c r="AC32" s="22">
        <f t="shared" si="3"/>
        <v>8.5443910332834783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81.432000000000002</v>
      </c>
      <c r="AK32" s="13">
        <f t="shared" si="35"/>
        <v>22.486953220240881</v>
      </c>
      <c r="AL32" s="20">
        <f t="shared" si="4"/>
        <v>180.99217685858619</v>
      </c>
      <c r="AM32" s="59">
        <f t="shared" si="5"/>
        <v>473.10328796969736</v>
      </c>
      <c r="AN32" s="59">
        <f ca="1">AVERAGE(OFFSET($AM$3,0,0,'Données projet'!$E$10+1,1))-AVERAGE(OFFSET($H$3,0,0,'Données projet'!$E$10+1,1))</f>
        <v>364.3481978218424</v>
      </c>
      <c r="AO32" s="59">
        <f t="shared" si="36"/>
        <v>231.36959598460686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</v>
      </c>
      <c r="BD32" s="12">
        <f>IF('Données projet'!$A$88&gt;35,BD31+BC32-BL31,IF(A32&lt;'Données projet'!$A$88,$BA$205^A32,IF(A32='Données projet'!$A$88,'Données projet'!$B$88,BD31+BC32-BL31)))</f>
        <v>90</v>
      </c>
      <c r="BE32" s="13">
        <f>BD32*VLOOKUP('Données projet'!$B$11,Paramètres!$A$1:$I$89,3,0)*VLOOKUP('Données projet'!$B$11,Paramètres!$A$1:$I$89,5,0)</f>
        <v>91.26</v>
      </c>
      <c r="BF32" s="13">
        <f t="shared" si="37"/>
        <v>24.868860330902777</v>
      </c>
      <c r="BG32" s="20">
        <f t="shared" si="7"/>
        <v>202.25776507632233</v>
      </c>
      <c r="BH32" s="59">
        <f t="shared" si="8"/>
        <v>494.36887618743344</v>
      </c>
      <c r="BI32" s="59">
        <f ca="1">AVERAGE(OFFSET($BH$3,0,0,'Données projet'!$E$11+1,1))-AVERAGE(OFFSET($H$3,0,0,'Données projet'!$E$11+1,1))</f>
        <v>403.50418598112844</v>
      </c>
      <c r="BJ32" s="59">
        <f t="shared" si="38"/>
        <v>254.25036207346591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443.34220761968419</v>
      </c>
      <c r="T33" s="59">
        <f t="shared" si="34"/>
        <v>546.58234447298014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21.937304095826462</v>
      </c>
      <c r="AB33" s="21">
        <f>EXP(-LN(2)/2)*AB32+(1-EXP(-LN(2)/2))/(LN(2)/2)*V33*Y33*VLOOKUP('Données projet'!$B$9,Paramètres!$A$1:$I$89,3,0)*0.475*44/12</f>
        <v>6.0417968407442793</v>
      </c>
      <c r="AC33" s="22">
        <f t="shared" si="3"/>
        <v>27.979100936570742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87.765600000000006</v>
      </c>
      <c r="AK33" s="13">
        <f t="shared" si="35"/>
        <v>24.025555589247954</v>
      </c>
      <c r="AL33" s="20">
        <f t="shared" si="4"/>
        <v>194.7029293179402</v>
      </c>
      <c r="AM33" s="59">
        <f t="shared" si="5"/>
        <v>488.03626265127355</v>
      </c>
      <c r="AN33" s="59">
        <f ca="1">AVERAGE(OFFSET($AM$3,0,0,'Données projet'!$E$10+1,1))-AVERAGE(OFFSET($H$3,0,0,'Données projet'!$E$10+1,1))</f>
        <v>364.3481978218424</v>
      </c>
      <c r="AO33" s="59">
        <f t="shared" si="36"/>
        <v>231.36959598460686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97</v>
      </c>
      <c r="BB33" s="12">
        <f>VLOOKUP(A33,'Données projet'!$A$87:$I$107,9,0)</f>
        <v>7</v>
      </c>
      <c r="BC33" s="12">
        <f t="array" ref="BC33">INDEX(BB:BB,MIN(IF(ISNUMBER(BB33:BB229),ROW(BB33:BB229),"")))</f>
        <v>7</v>
      </c>
      <c r="BD33" s="12">
        <f>IF('Données projet'!$A$88&gt;35,BD32+BC33-BL32,IF(A33&lt;'Données projet'!$A$88,$BA$205^A33,IF(A33='Données projet'!$A$88,'Données projet'!$B$88,BD32+BC33-BL32)))</f>
        <v>97</v>
      </c>
      <c r="BE33" s="13">
        <f>BD33*VLOOKUP('Données projet'!$B$11,Paramètres!$A$1:$I$89,3,0)*VLOOKUP('Données projet'!$B$11,Paramètres!$A$1:$I$89,5,0)</f>
        <v>98.358000000000004</v>
      </c>
      <c r="BF33" s="13">
        <f t="shared" si="37"/>
        <v>26.570437554143126</v>
      </c>
      <c r="BG33" s="20">
        <f t="shared" si="7"/>
        <v>217.58369540679928</v>
      </c>
      <c r="BH33" s="59">
        <f t="shared" si="8"/>
        <v>510.91702874013259</v>
      </c>
      <c r="BI33" s="59">
        <f ca="1">AVERAGE(OFFSET($BH$3,0,0,'Données projet'!$E$11+1,1))-AVERAGE(OFFSET($H$3,0,0,'Données projet'!$E$11+1,1))</f>
        <v>403.50418598112844</v>
      </c>
      <c r="BJ33" s="59">
        <f t="shared" si="38"/>
        <v>254.25036207346591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443.34220761968419</v>
      </c>
      <c r="T34" s="59">
        <f t="shared" si="34"/>
        <v>546.58234447298014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21.337427361693404</v>
      </c>
      <c r="AB34" s="21">
        <f>EXP(-LN(2)/2)*AB33+(1-EXP(-LN(2)/2))/(LN(2)/2)*V34*Y34*VLOOKUP('Données projet'!$B$9,Paramètres!$A$1:$I$89,3,0)*0.475*44/12</f>
        <v>4.2721955166417391</v>
      </c>
      <c r="AC34" s="22">
        <f t="shared" si="3"/>
        <v>25.609622878335145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76.003200000000007</v>
      </c>
      <c r="AK34" s="13">
        <f t="shared" si="35"/>
        <v>21.157049992000456</v>
      </c>
      <c r="AL34" s="20">
        <f t="shared" si="4"/>
        <v>169.22076873606747</v>
      </c>
      <c r="AM34" s="59">
        <f t="shared" si="5"/>
        <v>462.55410206940076</v>
      </c>
      <c r="AN34" s="59">
        <f ca="1">AVERAGE(OFFSET($AM$3,0,0,'Données projet'!$E$10+1,1))-AVERAGE(OFFSET($H$3,0,0,'Données projet'!$E$10+1,1))</f>
        <v>364.3481978218424</v>
      </c>
      <c r="AO34" s="59">
        <f t="shared" si="36"/>
        <v>231.36959598460686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</v>
      </c>
      <c r="BD34" s="12">
        <f>IF('Données projet'!$A$88&gt;35,BD33+BC34-BL33,IF(A34&lt;'Données projet'!$A$88,$BA$205^A34,IF(A34='Données projet'!$A$88,'Données projet'!$B$88,BD33+BC34-BL33)))</f>
        <v>84</v>
      </c>
      <c r="BE34" s="13">
        <f>BD34*VLOOKUP('Données projet'!$B$11,Paramètres!$A$1:$I$89,3,0)*VLOOKUP('Données projet'!$B$11,Paramètres!$A$1:$I$89,5,0)</f>
        <v>85.176000000000002</v>
      </c>
      <c r="BF34" s="13">
        <f t="shared" si="37"/>
        <v>23.398088487656441</v>
      </c>
      <c r="BG34" s="20">
        <f t="shared" si="7"/>
        <v>189.09987078266829</v>
      </c>
      <c r="BH34" s="59">
        <f t="shared" si="8"/>
        <v>482.4332041160016</v>
      </c>
      <c r="BI34" s="59">
        <f ca="1">AVERAGE(OFFSET($BH$3,0,0,'Données projet'!$E$11+1,1))-AVERAGE(OFFSET($H$3,0,0,'Données projet'!$E$11+1,1))</f>
        <v>403.50418598112844</v>
      </c>
      <c r="BJ34" s="59">
        <f t="shared" si="38"/>
        <v>254.25036207346591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443.34220761968419</v>
      </c>
      <c r="T35" s="59">
        <f t="shared" si="34"/>
        <v>546.58234447298014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20.75395428840136</v>
      </c>
      <c r="AB35" s="21">
        <f>EXP(-LN(2)/2)*AB34+(1-EXP(-LN(2)/2))/(LN(2)/2)*V35*Y35*VLOOKUP('Données projet'!$B$9,Paramètres!$A$1:$I$89,3,0)*0.475*44/12</f>
        <v>3.0208984203721396</v>
      </c>
      <c r="AC35" s="22">
        <f t="shared" si="3"/>
        <v>23.774852708773501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83.241600000000005</v>
      </c>
      <c r="AK35" s="13">
        <f t="shared" si="35"/>
        <v>22.927930643846508</v>
      </c>
      <c r="AL35" s="20">
        <f t="shared" si="4"/>
        <v>184.91193253803269</v>
      </c>
      <c r="AM35" s="59">
        <f t="shared" si="5"/>
        <v>478.24526587136597</v>
      </c>
      <c r="AN35" s="59">
        <f ca="1">AVERAGE(OFFSET($AM$3,0,0,'Données projet'!$E$10+1,1))-AVERAGE(OFFSET($H$3,0,0,'Données projet'!$E$10+1,1))</f>
        <v>364.3481978218424</v>
      </c>
      <c r="AO35" s="59">
        <f t="shared" si="36"/>
        <v>231.36959598460686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</v>
      </c>
      <c r="BD35" s="12">
        <f>IF('Données projet'!$A$88&gt;35,BD34+BC35-BL34,IF(A35&lt;'Données projet'!$A$88,$BA$205^A35,IF(A35='Données projet'!$A$88,'Données projet'!$B$88,BD34+BC35-BL34)))</f>
        <v>92</v>
      </c>
      <c r="BE35" s="13">
        <f>BD35*VLOOKUP('Données projet'!$B$11,Paramètres!$A$1:$I$89,3,0)*VLOOKUP('Données projet'!$B$11,Paramètres!$A$1:$I$89,5,0)</f>
        <v>93.288000000000011</v>
      </c>
      <c r="BF35" s="13">
        <f t="shared" si="37"/>
        <v>25.356547829040977</v>
      </c>
      <c r="BG35" s="20">
        <f t="shared" si="7"/>
        <v>206.63925413557971</v>
      </c>
      <c r="BH35" s="59">
        <f t="shared" si="8"/>
        <v>499.97258746891305</v>
      </c>
      <c r="BI35" s="59">
        <f ca="1">AVERAGE(OFFSET($BH$3,0,0,'Données projet'!$E$11+1,1))-AVERAGE(OFFSET($H$3,0,0,'Données projet'!$E$11+1,1))</f>
        <v>403.50418598112844</v>
      </c>
      <c r="BJ35" s="59">
        <f t="shared" si="38"/>
        <v>254.25036207346591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443.34220761968419</v>
      </c>
      <c r="T36" s="59">
        <f t="shared" si="34"/>
        <v>546.58234447298014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20.186436316982004</v>
      </c>
      <c r="AB36" s="21">
        <f>EXP(-LN(2)/2)*AB35+(1-EXP(-LN(2)/2))/(LN(2)/2)*V36*Y36*VLOOKUP('Données projet'!$B$9,Paramètres!$A$1:$I$89,3,0)*0.475*44/12</f>
        <v>2.1360977583208696</v>
      </c>
      <c r="AC36" s="22">
        <f t="shared" si="3"/>
        <v>22.322534075302872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90.47999999999999</v>
      </c>
      <c r="AK36" s="13">
        <f t="shared" si="35"/>
        <v>24.680953573367994</v>
      </c>
      <c r="AL36" s="20">
        <f t="shared" si="4"/>
        <v>200.57199414028256</v>
      </c>
      <c r="AM36" s="59">
        <f t="shared" si="5"/>
        <v>493.9053274736159</v>
      </c>
      <c r="AN36" s="59">
        <f ca="1">AVERAGE(OFFSET($AM$3,0,0,'Données projet'!$E$10+1,1))-AVERAGE(OFFSET($H$3,0,0,'Données projet'!$E$10+1,1))</f>
        <v>364.3481978218424</v>
      </c>
      <c r="AO36" s="59">
        <f t="shared" si="36"/>
        <v>231.36959598460686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</v>
      </c>
      <c r="BD36" s="12">
        <f>IF('Données projet'!$A$88&gt;35,BD35+BC36-BL35,IF(A36&lt;'Données projet'!$A$88,$BA$205^A36,IF(A36='Données projet'!$A$88,'Données projet'!$B$88,BD35+BC36-BL35)))</f>
        <v>100</v>
      </c>
      <c r="BE36" s="13">
        <f>BD36*VLOOKUP('Données projet'!$B$11,Paramètres!$A$1:$I$89,3,0)*VLOOKUP('Données projet'!$B$11,Paramètres!$A$1:$I$89,5,0)</f>
        <v>101.4</v>
      </c>
      <c r="BF36" s="13">
        <f t="shared" si="37"/>
        <v>27.295257887453797</v>
      </c>
      <c r="BG36" s="20">
        <f t="shared" si="7"/>
        <v>224.14424082064872</v>
      </c>
      <c r="BH36" s="59">
        <f t="shared" si="8"/>
        <v>517.477574153982</v>
      </c>
      <c r="BI36" s="59">
        <f ca="1">AVERAGE(OFFSET($BH$3,0,0,'Données projet'!$E$11+1,1))-AVERAGE(OFFSET($H$3,0,0,'Données projet'!$E$11+1,1))</f>
        <v>403.50418598112844</v>
      </c>
      <c r="BJ36" s="59">
        <f t="shared" si="38"/>
        <v>254.25036207346591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443.34220761968419</v>
      </c>
      <c r="T37" s="59">
        <f t="shared" si="34"/>
        <v>546.58234447298014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19.634437154335583</v>
      </c>
      <c r="AB37" s="21">
        <f>EXP(-LN(2)/2)*AB36+(1-EXP(-LN(2)/2))/(LN(2)/2)*V37*Y37*VLOOKUP('Données projet'!$B$9,Paramètres!$A$1:$I$89,3,0)*0.475*44/12</f>
        <v>1.5104492101860698</v>
      </c>
      <c r="AC37" s="22">
        <f t="shared" si="3"/>
        <v>21.144886364521653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97.718399999999988</v>
      </c>
      <c r="AK37" s="13">
        <f t="shared" si="35"/>
        <v>26.417709819192194</v>
      </c>
      <c r="AL37" s="20">
        <f t="shared" si="4"/>
        <v>216.20372460175972</v>
      </c>
      <c r="AM37" s="59">
        <f t="shared" si="5"/>
        <v>509.537057935093</v>
      </c>
      <c r="AN37" s="59">
        <f ca="1">AVERAGE(OFFSET($AM$3,0,0,'Données projet'!$E$10+1,1))-AVERAGE(OFFSET($H$3,0,0,'Données projet'!$E$10+1,1))</f>
        <v>364.3481978218424</v>
      </c>
      <c r="AO37" s="59">
        <f t="shared" si="36"/>
        <v>231.36959598460686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</v>
      </c>
      <c r="BD37" s="12">
        <f>IF('Données projet'!$A$88&gt;35,BD36+BC37-BL36,IF(A37&lt;'Données projet'!$A$88,$BA$205^A37,IF(A37='Données projet'!$A$88,'Données projet'!$B$88,BD36+BC37-BL36)))</f>
        <v>108</v>
      </c>
      <c r="BE37" s="13">
        <f>BD37*VLOOKUP('Données projet'!$B$11,Paramètres!$A$1:$I$89,3,0)*VLOOKUP('Données projet'!$B$11,Paramètres!$A$1:$I$89,5,0)</f>
        <v>109.51200000000001</v>
      </c>
      <c r="BF37" s="13">
        <f t="shared" si="37"/>
        <v>29.215978230632555</v>
      </c>
      <c r="BG37" s="20">
        <f t="shared" si="7"/>
        <v>241.61789541835174</v>
      </c>
      <c r="BH37" s="59">
        <f t="shared" si="8"/>
        <v>534.95122875168499</v>
      </c>
      <c r="BI37" s="59">
        <f ca="1">AVERAGE(OFFSET($BH$3,0,0,'Données projet'!$E$11+1,1))-AVERAGE(OFFSET($H$3,0,0,'Données projet'!$E$11+1,1))</f>
        <v>403.50418598112844</v>
      </c>
      <c r="BJ37" s="59">
        <f t="shared" si="38"/>
        <v>254.25036207346591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443.34220761968419</v>
      </c>
      <c r="T38" s="59">
        <f t="shared" si="34"/>
        <v>546.58234447298014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28.14180468591718</v>
      </c>
      <c r="AA38" s="21">
        <f>EXP(-LN(2)/25)*AA37+(1-EXP(-LN(2)/25))/(LN(2)/25)*Calculateur!V38*Calculateur!X38*VLOOKUP('Données projet'!$B$9,Paramètres!$A$1:$I$89,3,0)*0.475*44/12</f>
        <v>19.097532437820103</v>
      </c>
      <c r="AB38" s="21">
        <f>EXP(-LN(2)/2)*AB37+(1-EXP(-LN(2)/2))/(LN(2)/2)*V38*Y38*VLOOKUP('Données projet'!$B$9,Paramètres!$A$1:$I$89,3,0)*0.475*44/12</f>
        <v>1.0680488791604348</v>
      </c>
      <c r="AC38" s="22">
        <f t="shared" si="3"/>
        <v>48.307386002897722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104.9568</v>
      </c>
      <c r="AK38" s="13">
        <f t="shared" si="35"/>
        <v>28.139541339232373</v>
      </c>
      <c r="AL38" s="20">
        <f t="shared" si="4"/>
        <v>231.8094611658297</v>
      </c>
      <c r="AM38" s="59">
        <f t="shared" si="5"/>
        <v>525.14279449916307</v>
      </c>
      <c r="AN38" s="59">
        <f ca="1">AVERAGE(OFFSET($AM$3,0,0,'Données projet'!$E$10+1,1))-AVERAGE(OFFSET($H$3,0,0,'Données projet'!$E$10+1,1))</f>
        <v>364.3481978218424</v>
      </c>
      <c r="AO38" s="59">
        <f t="shared" si="36"/>
        <v>231.36959598460686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9.0320732825947605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9.0320732825947605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116</v>
      </c>
      <c r="BB38" s="12">
        <f>VLOOKUP(A38,'Données projet'!$A$87:$I$107,9,0)</f>
        <v>8</v>
      </c>
      <c r="BC38" s="12">
        <f t="array" ref="BC38">INDEX(BB:BB,MIN(IF(ISNUMBER(BB38:BB234),ROW(BB38:BB234),"")))</f>
        <v>8</v>
      </c>
      <c r="BD38" s="12">
        <f>IF('Données projet'!$A$88&gt;35,BD37+BC38-BL37,IF(A38&lt;'Données projet'!$A$88,$BA$205^A38,IF(A38='Données projet'!$A$88,'Données projet'!$B$88,BD37+BC38-BL37)))</f>
        <v>116</v>
      </c>
      <c r="BE38" s="13">
        <f>BD38*VLOOKUP('Données projet'!$B$11,Paramètres!$A$1:$I$89,3,0)*VLOOKUP('Données projet'!$B$11,Paramètres!$A$1:$I$89,5,0)</f>
        <v>117.62400000000001</v>
      </c>
      <c r="BF38" s="13">
        <f t="shared" si="37"/>
        <v>31.120192961985413</v>
      </c>
      <c r="BG38" s="20">
        <f t="shared" si="7"/>
        <v>259.06280274212457</v>
      </c>
      <c r="BH38" s="59">
        <f t="shared" si="8"/>
        <v>552.39613607545789</v>
      </c>
      <c r="BI38" s="59">
        <f ca="1">AVERAGE(OFFSET($BH$3,0,0,'Données projet'!$E$11+1,1))-AVERAGE(OFFSET($H$3,0,0,'Données projet'!$E$11+1,1))</f>
        <v>403.50418598112844</v>
      </c>
      <c r="BJ38" s="59">
        <f t="shared" si="38"/>
        <v>254.25036207346591</v>
      </c>
      <c r="BK38" s="15">
        <f>IF(ISNA(VLOOKUP(A38,'Données projet'!$A$87:$I$107,3,0)),0,VLOOKUP(A38,'Données projet'!$A$87:$I$107,3,0))</f>
        <v>3</v>
      </c>
      <c r="BL38" s="15">
        <f>IF(ISNA(VLOOKUP(A38,'Données projet'!$A$87:$I$107,4,0)),0,VLOOKUP(A38,'Données projet'!$A$87:$I$107,4,0))</f>
        <v>21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10.122151092563096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10.122151092563096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443.34220761968419</v>
      </c>
      <c r="T39" s="59">
        <f t="shared" si="34"/>
        <v>546.58234447298014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27.589961060832319</v>
      </c>
      <c r="AA39" s="21">
        <f>EXP(-LN(2)/25)*AA38+(1-EXP(-LN(2)/25))/(LN(2)/25)*Calculateur!V39*Calculateur!X39*VLOOKUP('Données projet'!$B$9,Paramètres!$A$1:$I$89,3,0)*0.475*44/12</f>
        <v>18.575309409012331</v>
      </c>
      <c r="AB39" s="21">
        <f>EXP(-LN(2)/2)*AB38+(1-EXP(-LN(2)/2))/(LN(2)/2)*V39*Y39*VLOOKUP('Données projet'!$B$9,Paramètres!$A$1:$I$89,3,0)*0.475*44/12</f>
        <v>0.75522460509303491</v>
      </c>
      <c r="AC39" s="22">
        <f t="shared" si="3"/>
        <v>46.920495074937683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93.556319999999999</v>
      </c>
      <c r="AK39" s="13">
        <f t="shared" si="35"/>
        <v>25.420979659258073</v>
      </c>
      <c r="AL39" s="20">
        <f t="shared" si="4"/>
        <v>207.21879690654114</v>
      </c>
      <c r="AM39" s="59">
        <f t="shared" si="5"/>
        <v>500.55213023987449</v>
      </c>
      <c r="AN39" s="59">
        <f ca="1">AVERAGE(OFFSET($AM$3,0,0,'Données projet'!$E$10+1,1))-AVERAGE(OFFSET($H$3,0,0,'Données projet'!$E$10+1,1))</f>
        <v>364.3481978218424</v>
      </c>
      <c r="AO39" s="59">
        <f t="shared" si="36"/>
        <v>231.36959598460686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8.8549598345438092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8.8549598345438092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8.4</v>
      </c>
      <c r="BD39" s="12">
        <f>IF('Données projet'!$A$88&gt;35,BD38+BC39-BL38,IF(A39&lt;'Données projet'!$A$88,$BA$205^A39,IF(A39='Données projet'!$A$88,'Données projet'!$B$88,BD38+BC39-BL38)))</f>
        <v>103.4</v>
      </c>
      <c r="BE39" s="13">
        <f>BD39*VLOOKUP('Données projet'!$B$11,Paramètres!$A$1:$I$89,3,0)*VLOOKUP('Données projet'!$B$11,Paramètres!$A$1:$I$89,5,0)</f>
        <v>104.84760000000001</v>
      </c>
      <c r="BF39" s="13">
        <f t="shared" si="37"/>
        <v>28.113670466115643</v>
      </c>
      <c r="BG39" s="20">
        <f t="shared" si="7"/>
        <v>231.57421272848475</v>
      </c>
      <c r="BH39" s="59">
        <f t="shared" si="8"/>
        <v>524.90754606181804</v>
      </c>
      <c r="BI39" s="59">
        <f ca="1">AVERAGE(OFFSET($BH$3,0,0,'Données projet'!$E$11+1,1))-AVERAGE(OFFSET($H$3,0,0,'Données projet'!$E$11+1,1))</f>
        <v>403.50418598112844</v>
      </c>
      <c r="BJ39" s="59">
        <f t="shared" si="38"/>
        <v>254.25036207346591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9.9236618835404773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9.9236618835404773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443.34220761968419</v>
      </c>
      <c r="T40" s="59">
        <f t="shared" si="34"/>
        <v>546.58234447298014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27.048938752643995</v>
      </c>
      <c r="AA40" s="21">
        <f>EXP(-LN(2)/25)*AA39+(1-EXP(-LN(2)/25))/(LN(2)/25)*Calculateur!V40*Calculateur!X40*VLOOKUP('Données projet'!$B$9,Paramètres!$A$1:$I$89,3,0)*0.475*44/12</f>
        <v>18.067366596389821</v>
      </c>
      <c r="AB40" s="21">
        <f>EXP(-LN(2)/2)*AB39+(1-EXP(-LN(2)/2))/(LN(2)/2)*V40*Y40*VLOOKUP('Données projet'!$B$9,Paramètres!$A$1:$I$89,3,0)*0.475*44/12</f>
        <v>0.53402443958021739</v>
      </c>
      <c r="AC40" s="22">
        <f t="shared" si="3"/>
        <v>45.65032978861403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101.15664000000001</v>
      </c>
      <c r="AK40" s="13">
        <f t="shared" si="35"/>
        <v>27.237366379381644</v>
      </c>
      <c r="AL40" s="20">
        <f t="shared" si="4"/>
        <v>223.61956111075639</v>
      </c>
      <c r="AM40" s="59">
        <f t="shared" si="5"/>
        <v>516.95289444408968</v>
      </c>
      <c r="AN40" s="59">
        <f ca="1">AVERAGE(OFFSET($AM$3,0,0,'Données projet'!$E$10+1,1))-AVERAGE(OFFSET($H$3,0,0,'Données projet'!$E$10+1,1))</f>
        <v>364.3481978218424</v>
      </c>
      <c r="AO40" s="59">
        <f t="shared" si="36"/>
        <v>231.36959598460686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8.6813194731806007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8.6813194731806007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8.4</v>
      </c>
      <c r="BD40" s="12">
        <f>IF('Données projet'!$A$88&gt;35,BD39+BC40-BL39,IF(A40&lt;'Données projet'!$A$88,$BA$205^A40,IF(A40='Données projet'!$A$88,'Données projet'!$B$88,BD39+BC40-BL39)))</f>
        <v>111.80000000000001</v>
      </c>
      <c r="BE40" s="13">
        <f>BD40*VLOOKUP('Données projet'!$B$11,Paramètres!$A$1:$I$89,3,0)*VLOOKUP('Données projet'!$B$11,Paramètres!$A$1:$I$89,5,0)</f>
        <v>113.36520000000003</v>
      </c>
      <c r="BF40" s="13">
        <f t="shared" si="37"/>
        <v>30.122456058687614</v>
      </c>
      <c r="BG40" s="20">
        <f t="shared" si="7"/>
        <v>249.9076676355476</v>
      </c>
      <c r="BH40" s="59">
        <f t="shared" si="8"/>
        <v>543.24100096888094</v>
      </c>
      <c r="BI40" s="59">
        <f ca="1">AVERAGE(OFFSET($BH$3,0,0,'Données projet'!$E$11+1,1))-AVERAGE(OFFSET($H$3,0,0,'Données projet'!$E$11+1,1))</f>
        <v>403.50418598112844</v>
      </c>
      <c r="BJ40" s="59">
        <f t="shared" si="38"/>
        <v>254.25036207346591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9.72906492684033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9.72906492684033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443.34220761968419</v>
      </c>
      <c r="T41" s="59">
        <f t="shared" si="34"/>
        <v>546.58234447298014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26.518525561928222</v>
      </c>
      <c r="AA41" s="21">
        <f>EXP(-LN(2)/25)*AA40+(1-EXP(-LN(2)/25))/(LN(2)/25)*Calculateur!V41*Calculateur!X41*VLOOKUP('Données projet'!$B$9,Paramètres!$A$1:$I$89,3,0)*0.475*44/12</f>
        <v>17.573313506690024</v>
      </c>
      <c r="AB41" s="21">
        <f>EXP(-LN(2)/2)*AB40+(1-EXP(-LN(2)/2))/(LN(2)/2)*V41*Y41*VLOOKUP('Données projet'!$B$9,Paramètres!$A$1:$I$89,3,0)*0.475*44/12</f>
        <v>0.37761230254651745</v>
      </c>
      <c r="AC41" s="22">
        <f t="shared" si="3"/>
        <v>44.469451371164759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108.75696000000002</v>
      </c>
      <c r="AK41" s="13">
        <f t="shared" si="35"/>
        <v>29.037921223305609</v>
      </c>
      <c r="AL41" s="20">
        <f t="shared" si="4"/>
        <v>239.99275146392395</v>
      </c>
      <c r="AM41" s="59">
        <f t="shared" si="5"/>
        <v>533.32608479725729</v>
      </c>
      <c r="AN41" s="59">
        <f ca="1">AVERAGE(OFFSET($AM$3,0,0,'Données projet'!$E$10+1,1))-AVERAGE(OFFSET($H$3,0,0,'Données projet'!$E$10+1,1))</f>
        <v>364.3481978218424</v>
      </c>
      <c r="AO41" s="59">
        <f t="shared" si="36"/>
        <v>231.36959598460686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8.5110840933935616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8.5110840933935616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8.4</v>
      </c>
      <c r="BD41" s="12">
        <f>IF('Données projet'!$A$88&gt;35,BD40+BC41-BL40,IF(A41&lt;'Données projet'!$A$88,$BA$205^A41,IF(A41='Données projet'!$A$88,'Données projet'!$B$88,BD40+BC41-BL40)))</f>
        <v>120.20000000000002</v>
      </c>
      <c r="BE41" s="13">
        <f>BD41*VLOOKUP('Données projet'!$B$11,Paramètres!$A$1:$I$89,3,0)*VLOOKUP('Données projet'!$B$11,Paramètres!$A$1:$I$89,5,0)</f>
        <v>121.88280000000002</v>
      </c>
      <c r="BF41" s="13">
        <f t="shared" si="37"/>
        <v>32.113732800054677</v>
      </c>
      <c r="BG41" s="20">
        <f t="shared" si="7"/>
        <v>268.21062796009522</v>
      </c>
      <c r="BH41" s="59">
        <f t="shared" si="8"/>
        <v>561.54396129342854</v>
      </c>
      <c r="BI41" s="59">
        <f ca="1">AVERAGE(OFFSET($BH$3,0,0,'Données projet'!$E$11+1,1))-AVERAGE(OFFSET($H$3,0,0,'Données projet'!$E$11+1,1))</f>
        <v>403.50418598112844</v>
      </c>
      <c r="BJ41" s="59">
        <f t="shared" si="38"/>
        <v>254.25036207346591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9.5382838977686486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9.5382838977686486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443.34220761968419</v>
      </c>
      <c r="T42" s="59">
        <f t="shared" si="34"/>
        <v>546.58234447298014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25.998513450362282</v>
      </c>
      <c r="AA42" s="21">
        <f>EXP(-LN(2)/25)*AA41+(1-EXP(-LN(2)/25))/(LN(2)/25)*Calculateur!V42*Calculateur!X42*VLOOKUP('Données projet'!$B$9,Paramètres!$A$1:$I$89,3,0)*0.475*44/12</f>
        <v>17.092770324709193</v>
      </c>
      <c r="AB42" s="21">
        <f>EXP(-LN(2)/2)*AB41+(1-EXP(-LN(2)/2))/(LN(2)/2)*V42*Y42*VLOOKUP('Données projet'!$B$9,Paramètres!$A$1:$I$89,3,0)*0.475*44/12</f>
        <v>0.2670122197901087</v>
      </c>
      <c r="AC42" s="22">
        <f t="shared" si="3"/>
        <v>43.358295994861585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116.35728000000002</v>
      </c>
      <c r="AK42" s="13">
        <f t="shared" si="35"/>
        <v>30.823876427820704</v>
      </c>
      <c r="AL42" s="20">
        <f t="shared" si="4"/>
        <v>256.34051411178774</v>
      </c>
      <c r="AM42" s="59">
        <f t="shared" si="5"/>
        <v>549.67384744512105</v>
      </c>
      <c r="AN42" s="59">
        <f ca="1">AVERAGE(OFFSET($AM$3,0,0,'Données projet'!$E$10+1,1))-AVERAGE(OFFSET($H$3,0,0,'Données projet'!$E$10+1,1))</f>
        <v>364.3481978218424</v>
      </c>
      <c r="AO42" s="59">
        <f t="shared" si="36"/>
        <v>231.36959598460686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8.344186925570817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8.344186925570817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8.4</v>
      </c>
      <c r="BD42" s="12">
        <f>IF('Données projet'!$A$88&gt;35,BD41+BC42-BL41,IF(A42&lt;'Données projet'!$A$88,$BA$205^A42,IF(A42='Données projet'!$A$88,'Données projet'!$B$88,BD41+BC42-BL41)))</f>
        <v>128.60000000000002</v>
      </c>
      <c r="BE42" s="13">
        <f>BD42*VLOOKUP('Données projet'!$B$11,Paramètres!$A$1:$I$89,3,0)*VLOOKUP('Données projet'!$B$11,Paramètres!$A$1:$I$89,5,0)</f>
        <v>130.40040000000002</v>
      </c>
      <c r="BF42" s="13">
        <f t="shared" si="37"/>
        <v>34.088863450406919</v>
      </c>
      <c r="BG42" s="20">
        <f t="shared" si="7"/>
        <v>286.48546717612544</v>
      </c>
      <c r="BH42" s="59">
        <f t="shared" si="8"/>
        <v>579.8188005094587</v>
      </c>
      <c r="BI42" s="59">
        <f ca="1">AVERAGE(OFFSET($BH$3,0,0,'Données projet'!$E$11+1,1))-AVERAGE(OFFSET($H$3,0,0,'Données projet'!$E$11+1,1))</f>
        <v>403.50418598112844</v>
      </c>
      <c r="BJ42" s="59">
        <f t="shared" si="38"/>
        <v>254.25036207346591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9.3512439683121258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9.3512439683121258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443.34220761968419</v>
      </c>
      <c r="T43" s="59">
        <f t="shared" si="34"/>
        <v>546.58234447298014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54.854059870519919</v>
      </c>
      <c r="AA43" s="21">
        <f>EXP(-LN(2)/25)*AA42+(1-EXP(-LN(2)/25))/(LN(2)/25)*Calculateur!V43*Calculateur!X43*VLOOKUP('Données projet'!$B$9,Paramètres!$A$1:$I$89,3,0)*0.475*44/12</f>
        <v>16.625367621310293</v>
      </c>
      <c r="AB43" s="21">
        <f>EXP(-LN(2)/2)*AB42+(1-EXP(-LN(2)/2))/(LN(2)/2)*V43*Y43*VLOOKUP('Données projet'!$B$9,Paramètres!$A$1:$I$89,3,0)*0.475*44/12</f>
        <v>0.18880615127325873</v>
      </c>
      <c r="AC43" s="22">
        <f t="shared" si="3"/>
        <v>71.668233643103463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123.95760000000001</v>
      </c>
      <c r="AK43" s="13">
        <f t="shared" si="35"/>
        <v>32.59629414926458</v>
      </c>
      <c r="AL43" s="20">
        <f t="shared" si="4"/>
        <v>272.6646989766358</v>
      </c>
      <c r="AM43" s="59">
        <f t="shared" si="5"/>
        <v>565.99803230996918</v>
      </c>
      <c r="AN43" s="59">
        <f ca="1">AVERAGE(OFFSET($AM$3,0,0,'Données projet'!$E$10+1,1))-AVERAGE(OFFSET($H$3,0,0,'Données projet'!$E$10+1,1))</f>
        <v>364.3481978218424</v>
      </c>
      <c r="AO43" s="59">
        <f t="shared" si="36"/>
        <v>231.36959598460686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0.43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17.212635792006616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17.212635792006616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137</v>
      </c>
      <c r="BB43" s="12">
        <f>VLOOKUP(A43,'Données projet'!$A$87:$I$107,9,0)</f>
        <v>8.4</v>
      </c>
      <c r="BC43" s="12">
        <f t="array" ref="BC43">INDEX(BB:BB,MIN(IF(ISNUMBER(BB43:BB239),ROW(BB43:BB239),"")))</f>
        <v>8.4</v>
      </c>
      <c r="BD43" s="12">
        <f>IF('Données projet'!$A$88&gt;35,BD42+BC43-BL42,IF(A43&lt;'Données projet'!$A$88,$BA$205^A43,IF(A43='Données projet'!$A$88,'Données projet'!$B$88,BD42+BC43-BL42)))</f>
        <v>137.00000000000003</v>
      </c>
      <c r="BE43" s="13">
        <f>BD43*VLOOKUP('Données projet'!$B$11,Paramètres!$A$1:$I$89,3,0)*VLOOKUP('Données projet'!$B$11,Paramètres!$A$1:$I$89,5,0)</f>
        <v>138.91800000000003</v>
      </c>
      <c r="BF43" s="13">
        <f t="shared" si="37"/>
        <v>36.049022673886341</v>
      </c>
      <c r="BG43" s="20">
        <f t="shared" si="7"/>
        <v>304.73423115701877</v>
      </c>
      <c r="BH43" s="59">
        <f t="shared" si="8"/>
        <v>598.06756449035208</v>
      </c>
      <c r="BI43" s="59">
        <f ca="1">AVERAGE(OFFSET($BH$3,0,0,'Données projet'!$E$11+1,1))-AVERAGE(OFFSET($H$3,0,0,'Données projet'!$E$11+1,1))</f>
        <v>403.50418598112844</v>
      </c>
      <c r="BJ43" s="59">
        <f t="shared" si="38"/>
        <v>254.25036207346591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21</v>
      </c>
      <c r="BM43" s="16">
        <f>IF(ISNA(VLOOKUP(A43,'Données projet'!$A$87:$I$107,5,0)),0%,VLOOKUP(A43,'Données projet'!$A$87:$I$107,5,0)*VLOOKUP('Données projet'!$B$11,Paramètres!$A$1:$I$89,7,0))</f>
        <v>0.43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19.290022870352246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19.290022870352246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443.34220761968419</v>
      </c>
      <c r="T44" s="59">
        <f t="shared" si="34"/>
        <v>546.58234447298014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53.778405214131872</v>
      </c>
      <c r="AA44" s="21">
        <f>EXP(-LN(2)/25)*AA43+(1-EXP(-LN(2)/25))/(LN(2)/25)*Calculateur!V44*Calculateur!X44*VLOOKUP('Données projet'!$B$9,Paramètres!$A$1:$I$89,3,0)*0.475*44/12</f>
        <v>16.170746069415479</v>
      </c>
      <c r="AB44" s="21">
        <f>EXP(-LN(2)/2)*AB43+(1-EXP(-LN(2)/2))/(LN(2)/2)*V44*Y44*VLOOKUP('Données projet'!$B$9,Paramètres!$A$1:$I$89,3,0)*0.475*44/12</f>
        <v>0.13350610989505435</v>
      </c>
      <c r="AC44" s="22">
        <f t="shared" si="3"/>
        <v>70.082657393442403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112.55712000000003</v>
      </c>
      <c r="AK44" s="13">
        <f t="shared" si="35"/>
        <v>29.932653834140599</v>
      </c>
      <c r="AL44" s="20">
        <f t="shared" si="4"/>
        <v>248.16968942779496</v>
      </c>
      <c r="AM44" s="59">
        <f t="shared" si="5"/>
        <v>541.50302276112825</v>
      </c>
      <c r="AN44" s="59">
        <f ca="1">AVERAGE(OFFSET($AM$3,0,0,'Données projet'!$E$10+1,1))-AVERAGE(OFFSET($H$3,0,0,'Données projet'!$E$10+1,1))</f>
        <v>364.3481978218424</v>
      </c>
      <c r="AO44" s="59">
        <f t="shared" si="36"/>
        <v>231.36959598460686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16.875106502796541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16.875106502796541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124.40000000000003</v>
      </c>
      <c r="BE44" s="13">
        <f>BD44*VLOOKUP('Données projet'!$B$11,Paramètres!$A$1:$I$89,3,0)*VLOOKUP('Données projet'!$B$11,Paramètres!$A$1:$I$89,5,0)</f>
        <v>126.14160000000005</v>
      </c>
      <c r="BF44" s="13">
        <f t="shared" si="37"/>
        <v>33.10323903126482</v>
      </c>
      <c r="BG44" s="20">
        <f t="shared" si="7"/>
        <v>277.35142797945298</v>
      </c>
      <c r="BH44" s="59">
        <f t="shared" si="8"/>
        <v>570.68476131278635</v>
      </c>
      <c r="BI44" s="59">
        <f ca="1">AVERAGE(OFFSET($BH$3,0,0,'Données projet'!$E$11+1,1))-AVERAGE(OFFSET($H$3,0,0,'Données projet'!$E$11+1,1))</f>
        <v>403.50418598112844</v>
      </c>
      <c r="BJ44" s="59">
        <f t="shared" si="38"/>
        <v>254.25036207346591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18.911757287616819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18.911757287616819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443.34220761968419</v>
      </c>
      <c r="T45" s="59">
        <f t="shared" si="34"/>
        <v>546.58234447298014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52.723843489471037</v>
      </c>
      <c r="AA45" s="21">
        <f>EXP(-LN(2)/25)*AA44+(1-EXP(-LN(2)/25))/(LN(2)/25)*Calculateur!V45*Calculateur!X45*VLOOKUP('Données projet'!$B$9,Paramètres!$A$1:$I$89,3,0)*0.475*44/12</f>
        <v>15.728556167764737</v>
      </c>
      <c r="AB45" s="21">
        <f>EXP(-LN(2)/2)*AB44+(1-EXP(-LN(2)/2))/(LN(2)/2)*V45*Y45*VLOOKUP('Données projet'!$B$9,Paramètres!$A$1:$I$89,3,0)*0.475*44/12</f>
        <v>9.4403075636629363E-2</v>
      </c>
      <c r="AC45" s="22">
        <f t="shared" si="3"/>
        <v>68.546802732872408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120.15744000000002</v>
      </c>
      <c r="AK45" s="13">
        <f t="shared" si="35"/>
        <v>31.711716786129845</v>
      </c>
      <c r="AL45" s="20">
        <f t="shared" si="4"/>
        <v>264.50544806917623</v>
      </c>
      <c r="AM45" s="59">
        <f t="shared" si="5"/>
        <v>557.83878140250954</v>
      </c>
      <c r="AN45" s="59">
        <f ca="1">AVERAGE(OFFSET($AM$3,0,0,'Données projet'!$E$10+1,1))-AVERAGE(OFFSET($H$3,0,0,'Données projet'!$E$10+1,1))</f>
        <v>364.3481978218424</v>
      </c>
      <c r="AO45" s="59">
        <f t="shared" si="36"/>
        <v>231.36959598460686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16.544195957075338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16.544195957075338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132.80000000000004</v>
      </c>
      <c r="BE45" s="13">
        <f>BD45*VLOOKUP('Données projet'!$B$11,Paramètres!$A$1:$I$89,3,0)*VLOOKUP('Données projet'!$B$11,Paramètres!$A$1:$I$89,5,0)</f>
        <v>134.65920000000006</v>
      </c>
      <c r="BF45" s="13">
        <f t="shared" si="37"/>
        <v>35.07074737441733</v>
      </c>
      <c r="BG45" s="20">
        <f t="shared" si="7"/>
        <v>295.61299167711024</v>
      </c>
      <c r="BH45" s="59">
        <f t="shared" si="8"/>
        <v>588.94632501044362</v>
      </c>
      <c r="BI45" s="59">
        <f ca="1">AVERAGE(OFFSET($BH$3,0,0,'Données projet'!$E$11+1,1))-AVERAGE(OFFSET($H$3,0,0,'Données projet'!$E$11+1,1))</f>
        <v>403.50418598112844</v>
      </c>
      <c r="BJ45" s="59">
        <f t="shared" si="38"/>
        <v>254.25036207346591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18.540909262239609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18.540909262239609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443.34220761968419</v>
      </c>
      <c r="T46" s="59">
        <f t="shared" si="34"/>
        <v>546.58234447298014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51.68996107701166</v>
      </c>
      <c r="AA46" s="21">
        <f>EXP(-LN(2)/25)*AA45+(1-EXP(-LN(2)/25))/(LN(2)/25)*Calculateur!V46*Calculateur!X46*VLOOKUP('Données projet'!$B$9,Paramètres!$A$1:$I$89,3,0)*0.475*44/12</f>
        <v>15.298457972228389</v>
      </c>
      <c r="AB46" s="21">
        <f>EXP(-LN(2)/2)*AB45+(1-EXP(-LN(2)/2))/(LN(2)/2)*V46*Y46*VLOOKUP('Données projet'!$B$9,Paramètres!$A$1:$I$89,3,0)*0.475*44/12</f>
        <v>6.6753054947527174E-2</v>
      </c>
      <c r="AC46" s="22">
        <f t="shared" si="3"/>
        <v>67.055172104187577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127.75776000000003</v>
      </c>
      <c r="AK46" s="13">
        <f t="shared" si="35"/>
        <v>33.477720030956604</v>
      </c>
      <c r="AL46" s="20">
        <f t="shared" si="4"/>
        <v>280.81846105391611</v>
      </c>
      <c r="AM46" s="59">
        <f t="shared" si="5"/>
        <v>574.15179438724942</v>
      </c>
      <c r="AN46" s="59">
        <f ca="1">AVERAGE(OFFSET($AM$3,0,0,'Données projet'!$E$10+1,1))-AVERAGE(OFFSET($H$3,0,0,'Données projet'!$E$10+1,1))</f>
        <v>364.3481978218424</v>
      </c>
      <c r="AO46" s="59">
        <f t="shared" si="36"/>
        <v>231.36959598460686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16.219774365320227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16.219774365320227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141.20000000000005</v>
      </c>
      <c r="BE46" s="13">
        <f>BD46*VLOOKUP('Données projet'!$B$11,Paramètres!$A$1:$I$89,3,0)*VLOOKUP('Données projet'!$B$11,Paramètres!$A$1:$I$89,5,0)</f>
        <v>143.17680000000004</v>
      </c>
      <c r="BF46" s="13">
        <f t="shared" si="37"/>
        <v>37.023812674521515</v>
      </c>
      <c r="BG46" s="20">
        <f t="shared" si="7"/>
        <v>313.84940040812506</v>
      </c>
      <c r="BH46" s="59">
        <f t="shared" si="8"/>
        <v>607.18273374145838</v>
      </c>
      <c r="BI46" s="59">
        <f ca="1">AVERAGE(OFFSET($BH$3,0,0,'Données projet'!$E$11+1,1))-AVERAGE(OFFSET($H$3,0,0,'Données projet'!$E$11+1,1))</f>
        <v>403.50418598112844</v>
      </c>
      <c r="BJ46" s="59">
        <f t="shared" si="38"/>
        <v>254.25036207346591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18.177333340445085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18.177333340445085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443.34220761968419</v>
      </c>
      <c r="T47" s="59">
        <f t="shared" si="34"/>
        <v>546.58234447298014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50.67635246805461</v>
      </c>
      <c r="AA47" s="21">
        <f>EXP(-LN(2)/25)*AA46+(1-EXP(-LN(2)/25))/(LN(2)/25)*Calculateur!V47*Calculateur!X47*VLOOKUP('Données projet'!$B$9,Paramètres!$A$1:$I$89,3,0)*0.475*44/12</f>
        <v>14.880120834466865</v>
      </c>
      <c r="AB47" s="21">
        <f>EXP(-LN(2)/2)*AB46+(1-EXP(-LN(2)/2))/(LN(2)/2)*V47*Y47*VLOOKUP('Données projet'!$B$9,Paramètres!$A$1:$I$89,3,0)*0.475*44/12</f>
        <v>4.7201537818314682E-2</v>
      </c>
      <c r="AC47" s="22">
        <f t="shared" si="3"/>
        <v>65.603674840339792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135.35808000000006</v>
      </c>
      <c r="AK47" s="13">
        <f t="shared" si="35"/>
        <v>35.231528980112834</v>
      </c>
      <c r="AL47" s="20">
        <f t="shared" si="4"/>
        <v>297.11023564036327</v>
      </c>
      <c r="AM47" s="59">
        <f t="shared" si="5"/>
        <v>590.44356897369653</v>
      </c>
      <c r="AN47" s="59">
        <f ca="1">AVERAGE(OFFSET($AM$3,0,0,'Données projet'!$E$10+1,1))-AVERAGE(OFFSET($H$3,0,0,'Données projet'!$E$10+1,1))</f>
        <v>364.3481978218424</v>
      </c>
      <c r="AO47" s="59">
        <f t="shared" si="36"/>
        <v>231.36959598460686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15.901714483101799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15.901714483101799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149.60000000000005</v>
      </c>
      <c r="BE47" s="13">
        <f>BD47*VLOOKUP('Données projet'!$B$11,Paramètres!$A$1:$I$89,3,0)*VLOOKUP('Données projet'!$B$11,Paramètres!$A$1:$I$89,5,0)</f>
        <v>151.69440000000006</v>
      </c>
      <c r="BF47" s="13">
        <f t="shared" si="37"/>
        <v>38.963392010880654</v>
      </c>
      <c r="BG47" s="20">
        <f t="shared" si="7"/>
        <v>332.06232108561721</v>
      </c>
      <c r="BH47" s="59">
        <f t="shared" si="8"/>
        <v>625.39565441895047</v>
      </c>
      <c r="BI47" s="59">
        <f ca="1">AVERAGE(OFFSET($BH$3,0,0,'Données projet'!$E$11+1,1))-AVERAGE(OFFSET($H$3,0,0,'Données projet'!$E$11+1,1))</f>
        <v>403.50418598112844</v>
      </c>
      <c r="BJ47" s="59">
        <f t="shared" si="38"/>
        <v>254.25036207346591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17.820886920717538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17.820886920717538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443.34220761968419</v>
      </c>
      <c r="T48" s="59">
        <f t="shared" si="34"/>
        <v>546.58234447298014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76.600868066121521</v>
      </c>
      <c r="AA48" s="21">
        <f>EXP(-LN(2)/25)*AA47+(1-EXP(-LN(2)/25))/(LN(2)/25)*Calculateur!V48*Calculateur!X48*VLOOKUP('Données projet'!$B$9,Paramètres!$A$1:$I$89,3,0)*0.475*44/12</f>
        <v>14.473223147736823</v>
      </c>
      <c r="AB48" s="21">
        <f>EXP(-LN(2)/2)*AB47+(1-EXP(-LN(2)/2))/(LN(2)/2)*V48*Y48*VLOOKUP('Données projet'!$B$9,Paramètres!$A$1:$I$89,3,0)*0.475*44/12</f>
        <v>3.3376527473763587E-2</v>
      </c>
      <c r="AC48" s="22">
        <f t="shared" si="3"/>
        <v>91.107467741332101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142.95840000000004</v>
      </c>
      <c r="AK48" s="13">
        <f t="shared" si="35"/>
        <v>36.973906370811264</v>
      </c>
      <c r="AL48" s="20">
        <f t="shared" si="4"/>
        <v>313.38210026249641</v>
      </c>
      <c r="AM48" s="59">
        <f t="shared" si="5"/>
        <v>606.71543359582972</v>
      </c>
      <c r="AN48" s="59">
        <f ca="1">AVERAGE(OFFSET($AM$3,0,0,'Données projet'!$E$10+1,1))-AVERAGE(OFFSET($H$3,0,0,'Données projet'!$E$10+1,1))</f>
        <v>364.3481978218424</v>
      </c>
      <c r="AO48" s="59">
        <f t="shared" si="36"/>
        <v>231.36959598460686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0.43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24.62196484377106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24.62196484377106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158</v>
      </c>
      <c r="BB48" s="12">
        <f>VLOOKUP(A48,'Données projet'!$A$87:$I$107,9,0)</f>
        <v>8.4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158.00000000000006</v>
      </c>
      <c r="BE48" s="13">
        <f>BD48*VLOOKUP('Données projet'!$B$11,Paramètres!$A$1:$I$89,3,0)*VLOOKUP('Données projet'!$B$11,Paramètres!$A$1:$I$89,5,0)</f>
        <v>160.21200000000007</v>
      </c>
      <c r="BF48" s="13">
        <f t="shared" si="37"/>
        <v>40.890328912852731</v>
      </c>
      <c r="BG48" s="20">
        <f t="shared" si="7"/>
        <v>350.25322285655193</v>
      </c>
      <c r="BH48" s="59">
        <f t="shared" si="8"/>
        <v>643.58655618988519</v>
      </c>
      <c r="BI48" s="59">
        <f ca="1">AVERAGE(OFFSET($BH$3,0,0,'Données projet'!$E$11+1,1))-AVERAGE(OFFSET($H$3,0,0,'Données projet'!$E$11+1,1))</f>
        <v>403.50418598112844</v>
      </c>
      <c r="BJ48" s="59">
        <f t="shared" si="38"/>
        <v>254.25036207346591</v>
      </c>
      <c r="BK48" s="15">
        <f>IF(ISNA(VLOOKUP(A48,'Données projet'!$A$87:$I$107,3,0)),0,VLOOKUP(A48,'Données projet'!$A$87:$I$107,3,0))</f>
        <v>5</v>
      </c>
      <c r="BL48" s="15">
        <f>IF(ISNA(VLOOKUP(A48,'Données projet'!$A$87:$I$107,4,0)),0,VLOOKUP(A48,'Données projet'!$A$87:$I$107,4,0))</f>
        <v>21</v>
      </c>
      <c r="BM48" s="16">
        <f>IF(ISNA(VLOOKUP(A48,'Données projet'!$A$87:$I$107,5,0)),0%,VLOOKUP(A48,'Données projet'!$A$87:$I$107,5,0)*VLOOKUP('Données projet'!$B$11,Paramètres!$A$1:$I$89,7,0))</f>
        <v>0.43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27.593581290433093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27.593581290433093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443.34220761968419</v>
      </c>
      <c r="T49" s="59">
        <f t="shared" si="34"/>
        <v>546.58234447298014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75.098771765260992</v>
      </c>
      <c r="AA49" s="21">
        <f>EXP(-LN(2)/25)*AA48+(1-EXP(-LN(2)/25))/(LN(2)/25)*Calculateur!V49*Calculateur!X49*VLOOKUP('Données projet'!$B$9,Paramètres!$A$1:$I$89,3,0)*0.475*44/12</f>
        <v>14.077452099648234</v>
      </c>
      <c r="AB49" s="21">
        <f>EXP(-LN(2)/2)*AB48+(1-EXP(-LN(2)/2))/(LN(2)/2)*V49*Y49*VLOOKUP('Données projet'!$B$9,Paramètres!$A$1:$I$89,3,0)*0.475*44/12</f>
        <v>2.3600768909157341E-2</v>
      </c>
      <c r="AC49" s="22">
        <f t="shared" si="3"/>
        <v>89.19982463381838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131.37696000000003</v>
      </c>
      <c r="AK49" s="13">
        <f t="shared" si="35"/>
        <v>34.314338988223334</v>
      </c>
      <c r="AL49" s="20">
        <f t="shared" si="4"/>
        <v>288.57901240448905</v>
      </c>
      <c r="AM49" s="59">
        <f t="shared" si="5"/>
        <v>581.91234573782231</v>
      </c>
      <c r="AN49" s="59">
        <f ca="1">AVERAGE(OFFSET($AM$3,0,0,'Données projet'!$E$10+1,1))-AVERAGE(OFFSET($H$3,0,0,'Données projet'!$E$10+1,1))</f>
        <v>364.3481978218424</v>
      </c>
      <c r="AO49" s="59">
        <f t="shared" si="36"/>
        <v>231.36959598460686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24.139143131100369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24.139143131100369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8.1999999999999993</v>
      </c>
      <c r="BD49" s="12">
        <f>IF('Données projet'!$A$88&gt;35,BD48+BC49-BL48,IF(A49&lt;'Données projet'!$A$88,$BA$205^A49,IF(A49='Données projet'!$A$88,'Données projet'!$B$88,BD48+BC49-BL48)))</f>
        <v>145.20000000000005</v>
      </c>
      <c r="BE49" s="13">
        <f>BD49*VLOOKUP('Données projet'!$B$11,Paramètres!$A$1:$I$89,3,0)*VLOOKUP('Données projet'!$B$11,Paramètres!$A$1:$I$89,5,0)</f>
        <v>147.23280000000005</v>
      </c>
      <c r="BF49" s="13">
        <f t="shared" si="37"/>
        <v>37.949049623906205</v>
      </c>
      <c r="BG49" s="20">
        <f t="shared" si="7"/>
        <v>322.52505476163668</v>
      </c>
      <c r="BH49" s="59">
        <f t="shared" si="8"/>
        <v>615.85838809497</v>
      </c>
      <c r="BI49" s="59">
        <f ca="1">AVERAGE(OFFSET($BH$3,0,0,'Données projet'!$E$11+1,1))-AVERAGE(OFFSET($H$3,0,0,'Données projet'!$E$11+1,1))</f>
        <v>403.50418598112844</v>
      </c>
      <c r="BJ49" s="59">
        <f t="shared" si="38"/>
        <v>254.25036207346591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27.052487991750422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27.052487991750422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443.34220761968419</v>
      </c>
      <c r="T50" s="59">
        <f t="shared" si="34"/>
        <v>546.58234447298014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73.626130656672061</v>
      </c>
      <c r="AA50" s="21">
        <f>EXP(-LN(2)/25)*AA49+(1-EXP(-LN(2)/25))/(LN(2)/25)*Calculateur!V50*Calculateur!X50*VLOOKUP('Données projet'!$B$9,Paramètres!$A$1:$I$89,3,0)*0.475*44/12</f>
        <v>13.692503431682322</v>
      </c>
      <c r="AB50" s="21">
        <f>EXP(-LN(2)/2)*AB49+(1-EXP(-LN(2)/2))/(LN(2)/2)*V50*Y50*VLOOKUP('Données projet'!$B$9,Paramètres!$A$1:$I$89,3,0)*0.475*44/12</f>
        <v>1.6688263736881793E-2</v>
      </c>
      <c r="AC50" s="22">
        <f t="shared" si="3"/>
        <v>87.335322352091268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138.79632000000001</v>
      </c>
      <c r="AK50" s="13">
        <f t="shared" si="35"/>
        <v>36.021120886354588</v>
      </c>
      <c r="AL50" s="20">
        <f t="shared" si="4"/>
        <v>304.47370954373423</v>
      </c>
      <c r="AM50" s="59">
        <f t="shared" si="5"/>
        <v>597.80704287706749</v>
      </c>
      <c r="AN50" s="59">
        <f ca="1">AVERAGE(OFFSET($AM$3,0,0,'Données projet'!$E$10+1,1))-AVERAGE(OFFSET($H$3,0,0,'Données projet'!$E$10+1,1))</f>
        <v>364.3481978218424</v>
      </c>
      <c r="AO50" s="59">
        <f t="shared" si="36"/>
        <v>231.36959598460686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23.665789257722984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23.665789257722984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8.1999999999999993</v>
      </c>
      <c r="BD50" s="12">
        <f>IF('Données projet'!$A$88&gt;35,BD49+BC50-BL49,IF(A50&lt;'Données projet'!$A$88,$BA$205^A50,IF(A50='Données projet'!$A$88,'Données projet'!$B$88,BD49+BC50-BL49)))</f>
        <v>153.40000000000003</v>
      </c>
      <c r="BE50" s="13">
        <f>BD50*VLOOKUP('Données projet'!$B$11,Paramètres!$A$1:$I$89,3,0)*VLOOKUP('Données projet'!$B$11,Paramètres!$A$1:$I$89,5,0)</f>
        <v>155.54760000000005</v>
      </c>
      <c r="BF50" s="13">
        <f t="shared" si="37"/>
        <v>39.836620617816237</v>
      </c>
      <c r="BG50" s="20">
        <f t="shared" si="7"/>
        <v>340.29418424269664</v>
      </c>
      <c r="BH50" s="59">
        <f t="shared" si="8"/>
        <v>633.62751757602996</v>
      </c>
      <c r="BI50" s="59">
        <f ca="1">AVERAGE(OFFSET($BH$3,0,0,'Données projet'!$E$11+1,1))-AVERAGE(OFFSET($H$3,0,0,'Données projet'!$E$11+1,1))</f>
        <v>403.50418598112844</v>
      </c>
      <c r="BJ50" s="59">
        <f t="shared" si="38"/>
        <v>254.25036207346591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26.522005202620594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26.522005202620594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443.34220761968419</v>
      </c>
      <c r="T51" s="59">
        <f t="shared" si="34"/>
        <v>546.58234447298014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72.182367142000174</v>
      </c>
      <c r="AA51" s="21">
        <f>EXP(-LN(2)/25)*AA50+(1-EXP(-LN(2)/25))/(LN(2)/25)*Calculateur!V51*Calculateur!X51*VLOOKUP('Données projet'!$B$9,Paramètres!$A$1:$I$89,3,0)*0.475*44/12</f>
        <v>13.318081205285509</v>
      </c>
      <c r="AB51" s="21">
        <f>EXP(-LN(2)/2)*AB50+(1-EXP(-LN(2)/2))/(LN(2)/2)*V51*Y51*VLOOKUP('Données projet'!$B$9,Paramètres!$A$1:$I$89,3,0)*0.475*44/12</f>
        <v>1.180038445457867E-2</v>
      </c>
      <c r="AC51" s="22">
        <f t="shared" si="3"/>
        <v>85.512248731740257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146.21568000000002</v>
      </c>
      <c r="AK51" s="13">
        <f t="shared" si="35"/>
        <v>37.717310552893402</v>
      </c>
      <c r="AL51" s="20">
        <f t="shared" si="4"/>
        <v>320.34995854628937</v>
      </c>
      <c r="AM51" s="59">
        <f t="shared" si="5"/>
        <v>613.68329187962263</v>
      </c>
      <c r="AN51" s="59">
        <f ca="1">AVERAGE(OFFSET($AM$3,0,0,'Données projet'!$E$10+1,1))-AVERAGE(OFFSET($H$3,0,0,'Données projet'!$E$10+1,1))</f>
        <v>364.3481978218424</v>
      </c>
      <c r="AO51" s="59">
        <f t="shared" si="36"/>
        <v>231.36959598460686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23.201717565085175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23.201717565085175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8.1999999999999993</v>
      </c>
      <c r="BD51" s="12">
        <f>IF('Données projet'!$A$88&gt;35,BD50+BC51-BL50,IF(A51&lt;'Données projet'!$A$88,$BA$205^A51,IF(A51='Données projet'!$A$88,'Données projet'!$B$88,BD50+BC51-BL50)))</f>
        <v>161.60000000000002</v>
      </c>
      <c r="BE51" s="13">
        <f>BD51*VLOOKUP('Données projet'!$B$11,Paramètres!$A$1:$I$89,3,0)*VLOOKUP('Données projet'!$B$11,Paramètres!$A$1:$I$89,5,0)</f>
        <v>163.86240000000004</v>
      </c>
      <c r="BF51" s="13">
        <f t="shared" si="37"/>
        <v>41.712477409029084</v>
      </c>
      <c r="BG51" s="20">
        <f t="shared" si="7"/>
        <v>358.0429114873923</v>
      </c>
      <c r="BH51" s="59">
        <f t="shared" si="8"/>
        <v>651.37624482072556</v>
      </c>
      <c r="BI51" s="59">
        <f ca="1">AVERAGE(OFFSET($BH$3,0,0,'Données projet'!$E$11+1,1))-AVERAGE(OFFSET($H$3,0,0,'Données projet'!$E$11+1,1))</f>
        <v>403.50418598112844</v>
      </c>
      <c r="BJ51" s="59">
        <f t="shared" si="38"/>
        <v>254.25036207346591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26.001924857423049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26.001924857423049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443.34220761968419</v>
      </c>
      <c r="T52" s="59">
        <f t="shared" si="34"/>
        <v>546.58234447298014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70.766914949242206</v>
      </c>
      <c r="AA52" s="21">
        <f>EXP(-LN(2)/25)*AA51+(1-EXP(-LN(2)/25))/(LN(2)/25)*Calculateur!V52*Calculateur!X52*VLOOKUP('Données projet'!$B$9,Paramètres!$A$1:$I$89,3,0)*0.475*44/12</f>
        <v>12.953897574359525</v>
      </c>
      <c r="AB52" s="21">
        <f>EXP(-LN(2)/2)*AB51+(1-EXP(-LN(2)/2))/(LN(2)/2)*V52*Y52*VLOOKUP('Données projet'!$B$9,Paramètres!$A$1:$I$89,3,0)*0.475*44/12</f>
        <v>8.3441318684408967E-3</v>
      </c>
      <c r="AC52" s="22">
        <f t="shared" si="3"/>
        <v>83.729156655470177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153.63504</v>
      </c>
      <c r="AK52" s="13">
        <f t="shared" si="35"/>
        <v>39.403506785222667</v>
      </c>
      <c r="AL52" s="20">
        <f t="shared" si="4"/>
        <v>336.20880231759617</v>
      </c>
      <c r="AM52" s="59">
        <f t="shared" si="5"/>
        <v>629.54213565092948</v>
      </c>
      <c r="AN52" s="59">
        <f ca="1">AVERAGE(OFFSET($AM$3,0,0,'Données projet'!$E$10+1,1))-AVERAGE(OFFSET($H$3,0,0,'Données projet'!$E$10+1,1))</f>
        <v>364.3481978218424</v>
      </c>
      <c r="AO52" s="59">
        <f t="shared" si="36"/>
        <v>231.36959598460686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22.746746035284211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22.746746035284211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8.1999999999999993</v>
      </c>
      <c r="BD52" s="12">
        <f>IF('Données projet'!$A$88&gt;35,BD51+BC52-BL51,IF(A52&lt;'Données projet'!$A$88,$BA$205^A52,IF(A52='Données projet'!$A$88,'Données projet'!$B$88,BD51+BC52-BL51)))</f>
        <v>169.8</v>
      </c>
      <c r="BE52" s="13">
        <f>BD52*VLOOKUP('Données projet'!$B$11,Paramètres!$A$1:$I$89,3,0)*VLOOKUP('Données projet'!$B$11,Paramètres!$A$1:$I$89,5,0)</f>
        <v>172.1772</v>
      </c>
      <c r="BF52" s="13">
        <f t="shared" si="37"/>
        <v>43.577282221917017</v>
      </c>
      <c r="BG52" s="20">
        <f t="shared" si="7"/>
        <v>375.77238986983883</v>
      </c>
      <c r="BH52" s="59">
        <f t="shared" si="8"/>
        <v>669.10572320317215</v>
      </c>
      <c r="BI52" s="59">
        <f ca="1">AVERAGE(OFFSET($BH$3,0,0,'Données projet'!$E$11+1,1))-AVERAGE(OFFSET($H$3,0,0,'Données projet'!$E$11+1,1))</f>
        <v>403.50418598112844</v>
      </c>
      <c r="BJ52" s="59">
        <f t="shared" si="38"/>
        <v>254.25036207346591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25.492042970577138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25.492042970577138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443.34220761968419</v>
      </c>
      <c r="T53" s="59">
        <f t="shared" si="34"/>
        <v>546.58234447298014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88.956126518238207</v>
      </c>
      <c r="AA53" s="21">
        <f>EXP(-LN(2)/25)*AA52+(1-EXP(-LN(2)/25))/(LN(2)/25)*Calculateur!V53*Calculateur!X53*VLOOKUP('Données projet'!$B$9,Paramètres!$A$1:$I$89,3,0)*0.475*44/12</f>
        <v>12.599672563972797</v>
      </c>
      <c r="AB53" s="21">
        <f>EXP(-LN(2)/2)*AB52+(1-EXP(-LN(2)/2))/(LN(2)/2)*V53*Y53*VLOOKUP('Données projet'!$B$9,Paramètres!$A$1:$I$89,3,0)*0.475*44/12</f>
        <v>5.9001922272893352E-3</v>
      </c>
      <c r="AC53" s="22">
        <f t="shared" si="3"/>
        <v>101.5616992744383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161.05439999999999</v>
      </c>
      <c r="AK53" s="13">
        <f t="shared" si="35"/>
        <v>41.080247278685491</v>
      </c>
      <c r="AL53" s="20">
        <f t="shared" si="4"/>
        <v>352.05117734371055</v>
      </c>
      <c r="AM53" s="59">
        <f t="shared" si="5"/>
        <v>645.38451067704386</v>
      </c>
      <c r="AN53" s="59">
        <f ca="1">AVERAGE(OFFSET($AM$3,0,0,'Données projet'!$E$10+1,1))-AVERAGE(OFFSET($H$3,0,0,'Données projet'!$E$10+1,1))</f>
        <v>364.3481978218424</v>
      </c>
      <c r="AO53" s="59">
        <f t="shared" si="36"/>
        <v>231.36959598460686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31.332769502272171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31.332769502272171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178</v>
      </c>
      <c r="BB53" s="12">
        <f>VLOOKUP(A53,'Données projet'!$A$87:$I$107,9,0)</f>
        <v>8.1999999999999993</v>
      </c>
      <c r="BC53" s="12">
        <f t="array" ref="BC53">INDEX(BB:BB,MIN(IF(ISNUMBER(BB53:BB249),ROW(BB53:BB249),"")))</f>
        <v>8.1999999999999993</v>
      </c>
      <c r="BD53" s="12">
        <f>IF('Données projet'!$A$88&gt;35,BD52+BC53-BL52,IF(A53&lt;'Données projet'!$A$88,$BA$205^A53,IF(A53='Données projet'!$A$88,'Données projet'!$B$88,BD52+BC53-BL52)))</f>
        <v>178</v>
      </c>
      <c r="BE53" s="13">
        <f>BD53*VLOOKUP('Données projet'!$B$11,Paramètres!$A$1:$I$89,3,0)*VLOOKUP('Données projet'!$B$11,Paramètres!$A$1:$I$89,5,0)</f>
        <v>180.49200000000002</v>
      </c>
      <c r="BF53" s="13">
        <f t="shared" si="37"/>
        <v>45.431629706642653</v>
      </c>
      <c r="BG53" s="20">
        <f t="shared" si="7"/>
        <v>393.4836550724026</v>
      </c>
      <c r="BH53" s="59">
        <f t="shared" si="8"/>
        <v>686.81698840573586</v>
      </c>
      <c r="BI53" s="59">
        <f ca="1">AVERAGE(OFFSET($BH$3,0,0,'Données projet'!$E$11+1,1))-AVERAGE(OFFSET($H$3,0,0,'Données projet'!$E$11+1,1))</f>
        <v>403.50418598112844</v>
      </c>
      <c r="BJ53" s="59">
        <f t="shared" si="38"/>
        <v>254.25036207346591</v>
      </c>
      <c r="BK53" s="15">
        <f>IF(ISNA(VLOOKUP(A53,'Données projet'!$A$87:$I$107,3,0)),0,VLOOKUP(A53,'Données projet'!$A$87:$I$107,3,0))</f>
        <v>6</v>
      </c>
      <c r="BL53" s="15">
        <f>IF(ISNA(VLOOKUP(A53,'Données projet'!$A$87:$I$107,4,0)),0,VLOOKUP(A53,'Données projet'!$A$87:$I$107,4,0))</f>
        <v>21</v>
      </c>
      <c r="BM53" s="16">
        <f>IF(ISNA(VLOOKUP(A53,'Données projet'!$A$87:$I$107,5,0)),0%,VLOOKUP(A53,'Données projet'!$A$87:$I$107,5,0)*VLOOKUP('Données projet'!$B$11,Paramètres!$A$1:$I$89,7,0))</f>
        <v>0.43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35.11431064909813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35.11431064909813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443.34220761968419</v>
      </c>
      <c r="T54" s="59">
        <f t="shared" si="34"/>
        <v>546.58234447298014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87.211751135095213</v>
      </c>
      <c r="AA54" s="21">
        <f>EXP(-LN(2)/25)*AA53+(1-EXP(-LN(2)/25))/(LN(2)/25)*Calculateur!V54*Calculateur!X54*VLOOKUP('Données projet'!$B$9,Paramètres!$A$1:$I$89,3,0)*0.475*44/12</f>
        <v>12.255133855122978</v>
      </c>
      <c r="AB54" s="21">
        <f>EXP(-LN(2)/2)*AB53+(1-EXP(-LN(2)/2))/(LN(2)/2)*V54*Y54*VLOOKUP('Données projet'!$B$9,Paramètres!$A$1:$I$89,3,0)*0.475*44/12</f>
        <v>4.1720659342204484E-3</v>
      </c>
      <c r="AC54" s="22">
        <f t="shared" si="3"/>
        <v>99.471057056152418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149.29199999999997</v>
      </c>
      <c r="AK54" s="13">
        <f t="shared" si="35"/>
        <v>38.417645803815411</v>
      </c>
      <c r="AL54" s="20">
        <f t="shared" si="4"/>
        <v>326.9276331083118</v>
      </c>
      <c r="AM54" s="59">
        <f t="shared" si="5"/>
        <v>620.26096644164511</v>
      </c>
      <c r="AN54" s="59">
        <f ca="1">AVERAGE(OFFSET($AM$3,0,0,'Données projet'!$E$10+1,1))-AVERAGE(OFFSET($H$3,0,0,'Données projet'!$E$10+1,1))</f>
        <v>364.3481978218424</v>
      </c>
      <c r="AO54" s="59">
        <f t="shared" si="36"/>
        <v>231.36959598460686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30.718353003434945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30.718353003434945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</v>
      </c>
      <c r="BD54" s="12">
        <f>IF('Données projet'!$A$88&gt;35,BD53+BC54-BL53,IF(A54&lt;'Données projet'!$A$88,$BA$205^A54,IF(A54='Données projet'!$A$88,'Données projet'!$B$88,BD53+BC54-BL53)))</f>
        <v>165</v>
      </c>
      <c r="BE54" s="13">
        <f>BD54*VLOOKUP('Données projet'!$B$11,Paramètres!$A$1:$I$89,3,0)*VLOOKUP('Données projet'!$B$11,Paramètres!$A$1:$I$89,5,0)</f>
        <v>167.31</v>
      </c>
      <c r="BF54" s="13">
        <f t="shared" si="37"/>
        <v>42.486994942347515</v>
      </c>
      <c r="BG54" s="20">
        <f t="shared" si="7"/>
        <v>365.39643285792187</v>
      </c>
      <c r="BH54" s="59">
        <f t="shared" si="8"/>
        <v>658.72976619125518</v>
      </c>
      <c r="BI54" s="59">
        <f ca="1">AVERAGE(OFFSET($BH$3,0,0,'Données projet'!$E$11+1,1))-AVERAGE(OFFSET($H$3,0,0,'Données projet'!$E$11+1,1))</f>
        <v>403.50418598112844</v>
      </c>
      <c r="BJ54" s="59">
        <f t="shared" si="38"/>
        <v>254.25036207346591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34.425740434883998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34.425740434883998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443.34220761968419</v>
      </c>
      <c r="T55" s="59">
        <f t="shared" si="34"/>
        <v>546.58234447298014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85.501581889251725</v>
      </c>
      <c r="AA55" s="21">
        <f>EXP(-LN(2)/25)*AA54+(1-EXP(-LN(2)/25))/(LN(2)/25)*Calculateur!V55*Calculateur!X55*VLOOKUP('Données projet'!$B$9,Paramètres!$A$1:$I$89,3,0)*0.475*44/12</f>
        <v>11.92001657538516</v>
      </c>
      <c r="AB55" s="21">
        <f>EXP(-LN(2)/2)*AB54+(1-EXP(-LN(2)/2))/(LN(2)/2)*V55*Y55*VLOOKUP('Données projet'!$B$9,Paramètres!$A$1:$I$89,3,0)*0.475*44/12</f>
        <v>2.9500961136446676E-3</v>
      </c>
      <c r="AC55" s="22">
        <f t="shared" si="3"/>
        <v>97.424548560750537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156.53039999999999</v>
      </c>
      <c r="AK55" s="13">
        <f t="shared" si="35"/>
        <v>40.058941713182037</v>
      </c>
      <c r="AL55" s="20">
        <f t="shared" si="4"/>
        <v>342.393103483792</v>
      </c>
      <c r="AM55" s="59">
        <f t="shared" si="5"/>
        <v>635.72643681712532</v>
      </c>
      <c r="AN55" s="59">
        <f ca="1">AVERAGE(OFFSET($AM$3,0,0,'Données projet'!$E$10+1,1))-AVERAGE(OFFSET($H$3,0,0,'Données projet'!$E$10+1,1))</f>
        <v>364.3481978218424</v>
      </c>
      <c r="AO55" s="59">
        <f t="shared" si="36"/>
        <v>231.36959598460686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30.115984837382857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30.115984837382857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</v>
      </c>
      <c r="BD55" s="12">
        <f>IF('Données projet'!$A$88&gt;35,BD54+BC55-BL54,IF(A55&lt;'Données projet'!$A$88,$BA$205^A55,IF(A55='Données projet'!$A$88,'Données projet'!$B$88,BD54+BC55-BL54)))</f>
        <v>173</v>
      </c>
      <c r="BE55" s="13">
        <f>BD55*VLOOKUP('Données projet'!$B$11,Paramètres!$A$1:$I$89,3,0)*VLOOKUP('Données projet'!$B$11,Paramètres!$A$1:$I$89,5,0)</f>
        <v>175.422</v>
      </c>
      <c r="BF55" s="13">
        <f t="shared" si="37"/>
        <v>44.302143412304737</v>
      </c>
      <c r="BG55" s="20">
        <f t="shared" si="7"/>
        <v>382.68621644309741</v>
      </c>
      <c r="BH55" s="59">
        <f t="shared" si="8"/>
        <v>676.01954977643072</v>
      </c>
      <c r="BI55" s="59">
        <f ca="1">AVERAGE(OFFSET($BH$3,0,0,'Données projet'!$E$11+1,1))-AVERAGE(OFFSET($H$3,0,0,'Données projet'!$E$11+1,1))</f>
        <v>403.50418598112844</v>
      </c>
      <c r="BJ55" s="59">
        <f t="shared" si="38"/>
        <v>254.25036207346591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33.750672662584243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33.750672662584243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443.34220761968419</v>
      </c>
      <c r="T56" s="59">
        <f t="shared" si="34"/>
        <v>546.58234447298014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83.824948019218979</v>
      </c>
      <c r="AA56" s="21">
        <f>EXP(-LN(2)/25)*AA55+(1-EXP(-LN(2)/25))/(LN(2)/25)*Calculateur!V56*Calculateur!X56*VLOOKUP('Données projet'!$B$9,Paramètres!$A$1:$I$89,3,0)*0.475*44/12</f>
        <v>11.594063095284826</v>
      </c>
      <c r="AB56" s="21">
        <f>EXP(-LN(2)/2)*AB55+(1-EXP(-LN(2)/2))/(LN(2)/2)*V56*Y56*VLOOKUP('Données projet'!$B$9,Paramètres!$A$1:$I$89,3,0)*0.475*44/12</f>
        <v>2.0860329671102242E-3</v>
      </c>
      <c r="AC56" s="22">
        <f t="shared" si="3"/>
        <v>95.421097147470917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163.7688</v>
      </c>
      <c r="AK56" s="13">
        <f t="shared" si="35"/>
        <v>41.691423503509803</v>
      </c>
      <c r="AL56" s="20">
        <f t="shared" si="4"/>
        <v>357.84322260194625</v>
      </c>
      <c r="AM56" s="59">
        <f t="shared" si="5"/>
        <v>651.17655593527957</v>
      </c>
      <c r="AN56" s="59">
        <f ca="1">AVERAGE(OFFSET($AM$3,0,0,'Données projet'!$E$10+1,1))-AVERAGE(OFFSET($H$3,0,0,'Données projet'!$E$10+1,1))</f>
        <v>364.3481978218424</v>
      </c>
      <c r="AO56" s="59">
        <f t="shared" si="36"/>
        <v>231.36959598460686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29.525428743658747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29.525428743658747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</v>
      </c>
      <c r="BD56" s="12">
        <f>IF('Données projet'!$A$88&gt;35,BD55+BC56-BL55,IF(A56&lt;'Données projet'!$A$88,$BA$205^A56,IF(A56='Données projet'!$A$88,'Données projet'!$B$88,BD55+BC56-BL55)))</f>
        <v>181</v>
      </c>
      <c r="BE56" s="13">
        <f>BD56*VLOOKUP('Données projet'!$B$11,Paramètres!$A$1:$I$89,3,0)*VLOOKUP('Données projet'!$B$11,Paramètres!$A$1:$I$89,5,0)</f>
        <v>183.53400000000002</v>
      </c>
      <c r="BF56" s="13">
        <f t="shared" si="37"/>
        <v>46.107544136839593</v>
      </c>
      <c r="BG56" s="20">
        <f t="shared" si="7"/>
        <v>399.95902270499568</v>
      </c>
      <c r="BH56" s="59">
        <f t="shared" si="8"/>
        <v>693.29235603832899</v>
      </c>
      <c r="BI56" s="59">
        <f ca="1">AVERAGE(OFFSET($BH$3,0,0,'Données projet'!$E$11+1,1))-AVERAGE(OFFSET($H$3,0,0,'Données projet'!$E$11+1,1))</f>
        <v>403.50418598112844</v>
      </c>
      <c r="BJ56" s="59">
        <f t="shared" si="38"/>
        <v>254.25036207346591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33.088842557548602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33.088842557548602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443.34220761968419</v>
      </c>
      <c r="T57" s="59">
        <f t="shared" si="34"/>
        <v>546.58234447298014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82.181191916731905</v>
      </c>
      <c r="AA57" s="21">
        <f>EXP(-LN(2)/25)*AA56+(1-EXP(-LN(2)/25))/(LN(2)/25)*Calculateur!V57*Calculateur!X57*VLOOKUP('Données projet'!$B$9,Paramètres!$A$1:$I$89,3,0)*0.475*44/12</f>
        <v>11.277022830238982</v>
      </c>
      <c r="AB57" s="21">
        <f>EXP(-LN(2)/2)*AB56+(1-EXP(-LN(2)/2))/(LN(2)/2)*V57*Y57*VLOOKUP('Données projet'!$B$9,Paramètres!$A$1:$I$89,3,0)*0.475*44/12</f>
        <v>1.4750480568223338E-3</v>
      </c>
      <c r="AC57" s="22">
        <f t="shared" si="3"/>
        <v>93.4596897950277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171.00719999999998</v>
      </c>
      <c r="AK57" s="13">
        <f t="shared" si="35"/>
        <v>43.315525267338089</v>
      </c>
      <c r="AL57" s="20">
        <f t="shared" si="4"/>
        <v>373.27874650728046</v>
      </c>
      <c r="AM57" s="59">
        <f t="shared" si="5"/>
        <v>666.61207984061377</v>
      </c>
      <c r="AN57" s="59">
        <f ca="1">AVERAGE(OFFSET($AM$3,0,0,'Données projet'!$E$10+1,1))-AVERAGE(OFFSET($H$3,0,0,'Données projet'!$E$10+1,1))</f>
        <v>364.3481978218424</v>
      </c>
      <c r="AO57" s="59">
        <f t="shared" si="36"/>
        <v>231.36959598460686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28.946453094728916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28.946453094728916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</v>
      </c>
      <c r="BD57" s="12">
        <f>IF('Données projet'!$A$88&gt;35,BD56+BC57-BL56,IF(A57&lt;'Données projet'!$A$88,$BA$205^A57,IF(A57='Données projet'!$A$88,'Données projet'!$B$88,BD56+BC57-BL56)))</f>
        <v>189</v>
      </c>
      <c r="BE57" s="13">
        <f>BD57*VLOOKUP('Données projet'!$B$11,Paramètres!$A$1:$I$89,3,0)*VLOOKUP('Données projet'!$B$11,Paramètres!$A$1:$I$89,5,0)</f>
        <v>191.64600000000002</v>
      </c>
      <c r="BF57" s="13">
        <f t="shared" si="37"/>
        <v>47.903677189291635</v>
      </c>
      <c r="BG57" s="20">
        <f t="shared" si="7"/>
        <v>417.21568777134962</v>
      </c>
      <c r="BH57" s="59">
        <f t="shared" si="8"/>
        <v>710.54902110468288</v>
      </c>
      <c r="BI57" s="59">
        <f ca="1">AVERAGE(OFFSET($BH$3,0,0,'Données projet'!$E$11+1,1))-AVERAGE(OFFSET($H$3,0,0,'Données projet'!$E$11+1,1))</f>
        <v>403.50418598112844</v>
      </c>
      <c r="BJ57" s="59">
        <f t="shared" si="38"/>
        <v>254.25036207346591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32.439990537196209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32.439990537196209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443.34220761968419</v>
      </c>
      <c r="T58" s="59">
        <f t="shared" si="34"/>
        <v>546.58234447298014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94.844497332693408</v>
      </c>
      <c r="AA58" s="21">
        <f>EXP(-LN(2)/25)*AA57+(1-EXP(-LN(2)/25))/(LN(2)/25)*Calculateur!V58*Calculateur!X58*VLOOKUP('Données projet'!$B$9,Paramètres!$A$1:$I$89,3,0)*0.475*44/12</f>
        <v>10.96865204791324</v>
      </c>
      <c r="AB58" s="21">
        <f>EXP(-LN(2)/2)*AB57+(1-EXP(-LN(2)/2))/(LN(2)/2)*V58*Y58*VLOOKUP('Données projet'!$B$9,Paramètres!$A$1:$I$89,3,0)*0.475*44/12</f>
        <v>1.0430164835551121E-3</v>
      </c>
      <c r="AC58" s="22">
        <f t="shared" si="3"/>
        <v>105.8141923970902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178.2456</v>
      </c>
      <c r="AK58" s="13">
        <f t="shared" si="35"/>
        <v>44.931642269910427</v>
      </c>
      <c r="AL58" s="20">
        <f t="shared" si="4"/>
        <v>388.70036362009404</v>
      </c>
      <c r="AM58" s="59">
        <f t="shared" si="5"/>
        <v>682.03369695342735</v>
      </c>
      <c r="AN58" s="59">
        <f ca="1">AVERAGE(OFFSET($AM$3,0,0,'Données projet'!$E$10+1,1))-AVERAGE(OFFSET($H$3,0,0,'Données projet'!$E$10+1,1))</f>
        <v>364.3481978218424</v>
      </c>
      <c r="AO58" s="59">
        <f t="shared" si="36"/>
        <v>231.36959598460686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37.410904087729087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37.410904087729087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197</v>
      </c>
      <c r="BB58" s="12">
        <f>VLOOKUP(A58,'Données projet'!$A$87:$I$107,9,0)</f>
        <v>8</v>
      </c>
      <c r="BC58" s="12">
        <f t="array" ref="BC58">INDEX(BB:BB,MIN(IF(ISNUMBER(BB58:BB254),ROW(BB58:BB254),"")))</f>
        <v>8</v>
      </c>
      <c r="BD58" s="12">
        <f>IF('Données projet'!$A$88&gt;35,BD57+BC58-BL57,IF(A58&lt;'Données projet'!$A$88,$BA$205^A58,IF(A58='Données projet'!$A$88,'Données projet'!$B$88,BD57+BC58-BL57)))</f>
        <v>197</v>
      </c>
      <c r="BE58" s="13">
        <f>BD58*VLOOKUP('Données projet'!$B$11,Paramètres!$A$1:$I$89,3,0)*VLOOKUP('Données projet'!$B$11,Paramètres!$A$1:$I$89,5,0)</f>
        <v>199.75800000000004</v>
      </c>
      <c r="BF58" s="13">
        <f t="shared" si="37"/>
        <v>49.690979702964015</v>
      </c>
      <c r="BG58" s="20">
        <f t="shared" si="7"/>
        <v>434.45697298266236</v>
      </c>
      <c r="BH58" s="59">
        <f t="shared" si="8"/>
        <v>727.79030631599562</v>
      </c>
      <c r="BI58" s="59">
        <f ca="1">AVERAGE(OFFSET($BH$3,0,0,'Données projet'!$E$11+1,1))-AVERAGE(OFFSET($H$3,0,0,'Données projet'!$E$11+1,1))</f>
        <v>403.50418598112844</v>
      </c>
      <c r="BJ58" s="59">
        <f t="shared" si="38"/>
        <v>254.25036207346591</v>
      </c>
      <c r="BK58" s="15">
        <f>IF(ISNA(VLOOKUP(A58,'Données projet'!$A$87:$I$107,3,0)),0,VLOOKUP(A58,'Données projet'!$A$87:$I$107,3,0))</f>
        <v>7</v>
      </c>
      <c r="BL58" s="15">
        <f>IF(ISNA(VLOOKUP(A58,'Données projet'!$A$87:$I$107,4,0)),0,VLOOKUP(A58,'Données projet'!$A$87:$I$107,4,0))</f>
        <v>21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41.926013201765365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41.926013201765365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443.34220761968419</v>
      </c>
      <c r="T59" s="59">
        <f t="shared" si="34"/>
        <v>546.58234447298014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92.984654589430505</v>
      </c>
      <c r="AA59" s="21">
        <f>EXP(-LN(2)/25)*AA58+(1-EXP(-LN(2)/25))/(LN(2)/25)*Calculateur!V59*Calculateur!X59*VLOOKUP('Données projet'!$B$9,Paramètres!$A$1:$I$89,3,0)*0.475*44/12</f>
        <v>10.668713680846711</v>
      </c>
      <c r="AB59" s="21">
        <f>EXP(-LN(2)/2)*AB58+(1-EXP(-LN(2)/2))/(LN(2)/2)*V59*Y59*VLOOKUP('Données projet'!$B$9,Paramètres!$A$1:$I$89,3,0)*0.475*44/12</f>
        <v>7.375240284111669E-4</v>
      </c>
      <c r="AC59" s="22">
        <f t="shared" si="3"/>
        <v>103.65410579430562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166.12127999999998</v>
      </c>
      <c r="AK59" s="13">
        <f t="shared" si="35"/>
        <v>42.220155874487318</v>
      </c>
      <c r="AL59" s="20">
        <f t="shared" si="4"/>
        <v>362.8613341480654</v>
      </c>
      <c r="AM59" s="59">
        <f t="shared" si="5"/>
        <v>656.19466748139871</v>
      </c>
      <c r="AN59" s="59">
        <f ca="1">AVERAGE(OFFSET($AM$3,0,0,'Données projet'!$E$10+1,1))-AVERAGE(OFFSET($H$3,0,0,'Données projet'!$E$10+1,1))</f>
        <v>364.3481978218424</v>
      </c>
      <c r="AO59" s="59">
        <f t="shared" si="36"/>
        <v>231.36959598460686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36.677299076967081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36.677299076967081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7.6</v>
      </c>
      <c r="BD59" s="12">
        <f>IF('Données projet'!$A$88&gt;35,BD58+BC59-BL58,IF(A59&lt;'Données projet'!$A$88,$BA$205^A59,IF(A59='Données projet'!$A$88,'Données projet'!$B$88,BD58+BC59-BL58)))</f>
        <v>183.6</v>
      </c>
      <c r="BE59" s="13">
        <f>BD59*VLOOKUP('Données projet'!$B$11,Paramètres!$A$1:$I$89,3,0)*VLOOKUP('Données projet'!$B$11,Paramètres!$A$1:$I$89,5,0)</f>
        <v>186.1704</v>
      </c>
      <c r="BF59" s="13">
        <f t="shared" si="37"/>
        <v>46.692281933796018</v>
      </c>
      <c r="BG59" s="20">
        <f t="shared" si="7"/>
        <v>405.56917103469476</v>
      </c>
      <c r="BH59" s="59">
        <f t="shared" si="8"/>
        <v>698.90250436802808</v>
      </c>
      <c r="BI59" s="59">
        <f ca="1">AVERAGE(OFFSET($BH$3,0,0,'Données projet'!$E$11+1,1))-AVERAGE(OFFSET($H$3,0,0,'Données projet'!$E$11+1,1))</f>
        <v>403.50418598112844</v>
      </c>
      <c r="BJ59" s="59">
        <f t="shared" si="38"/>
        <v>254.25036207346591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41.103869655221743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41.103869655221743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443.34220761968419</v>
      </c>
      <c r="T60" s="59">
        <f t="shared" si="34"/>
        <v>546.58234447298014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91.161282227970929</v>
      </c>
      <c r="AA60" s="21">
        <f>EXP(-LN(2)/25)*AA59+(1-EXP(-LN(2)/25))/(LN(2)/25)*Calculateur!V60*Calculateur!X60*VLOOKUP('Données projet'!$B$9,Paramètres!$A$1:$I$89,3,0)*0.475*44/12</f>
        <v>10.376977144200689</v>
      </c>
      <c r="AB60" s="21">
        <f>EXP(-LN(2)/2)*AB59+(1-EXP(-LN(2)/2))/(LN(2)/2)*V60*Y60*VLOOKUP('Données projet'!$B$9,Paramètres!$A$1:$I$89,3,0)*0.475*44/12</f>
        <v>5.2150824177755605E-4</v>
      </c>
      <c r="AC60" s="22">
        <f t="shared" si="3"/>
        <v>101.5387808804134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172.99775999999997</v>
      </c>
      <c r="AK60" s="13">
        <f t="shared" si="35"/>
        <v>43.760737531919609</v>
      </c>
      <c r="AL60" s="20">
        <f t="shared" si="4"/>
        <v>377.52104986809326</v>
      </c>
      <c r="AM60" s="59">
        <f t="shared" si="5"/>
        <v>670.85438320142657</v>
      </c>
      <c r="AN60" s="59">
        <f ca="1">AVERAGE(OFFSET($AM$3,0,0,'Données projet'!$E$10+1,1))-AVERAGE(OFFSET($H$3,0,0,'Données projet'!$E$10+1,1))</f>
        <v>364.3481978218424</v>
      </c>
      <c r="AO60" s="59">
        <f t="shared" si="36"/>
        <v>231.36959598460686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35.958079613011243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35.958079613011243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7.6</v>
      </c>
      <c r="BD60" s="12">
        <f>IF('Données projet'!$A$88&gt;35,BD59+BC60-BL59,IF(A60&lt;'Données projet'!$A$88,$BA$205^A60,IF(A60='Données projet'!$A$88,'Données projet'!$B$88,BD59+BC60-BL59)))</f>
        <v>191.2</v>
      </c>
      <c r="BE60" s="13">
        <f>BD60*VLOOKUP('Données projet'!$B$11,Paramètres!$A$1:$I$89,3,0)*VLOOKUP('Données projet'!$B$11,Paramètres!$A$1:$I$89,5,0)</f>
        <v>193.8768</v>
      </c>
      <c r="BF60" s="13">
        <f t="shared" si="37"/>
        <v>48.396048099527611</v>
      </c>
      <c r="BG60" s="20">
        <f t="shared" si="7"/>
        <v>421.95854377334393</v>
      </c>
      <c r="BH60" s="59">
        <f t="shared" si="8"/>
        <v>715.29187710667725</v>
      </c>
      <c r="BI60" s="59">
        <f ca="1">AVERAGE(OFFSET($BH$3,0,0,'Données projet'!$E$11+1,1))-AVERAGE(OFFSET($H$3,0,0,'Données projet'!$E$11+1,1))</f>
        <v>403.50418598112844</v>
      </c>
      <c r="BJ60" s="59">
        <f t="shared" si="38"/>
        <v>254.25036207346591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40.297847842167791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40.297847842167791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443.34220761968419</v>
      </c>
      <c r="T61" s="59">
        <f t="shared" si="34"/>
        <v>546.58234447298014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89.373665086372242</v>
      </c>
      <c r="AA61" s="21">
        <f>EXP(-LN(2)/25)*AA60+(1-EXP(-LN(2)/25))/(LN(2)/25)*Calculateur!V61*Calculateur!X61*VLOOKUP('Données projet'!$B$9,Paramètres!$A$1:$I$89,3,0)*0.475*44/12</f>
        <v>10.093218158491009</v>
      </c>
      <c r="AB61" s="21">
        <f>EXP(-LN(2)/2)*AB60+(1-EXP(-LN(2)/2))/(LN(2)/2)*V61*Y61*VLOOKUP('Données projet'!$B$9,Paramètres!$A$1:$I$89,3,0)*0.475*44/12</f>
        <v>3.6876201420558345E-4</v>
      </c>
      <c r="AC61" s="22">
        <f t="shared" si="3"/>
        <v>99.467252006877459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179.87423999999999</v>
      </c>
      <c r="AK61" s="13">
        <f t="shared" si="35"/>
        <v>45.294205745553846</v>
      </c>
      <c r="AL61" s="20">
        <f t="shared" si="4"/>
        <v>392.16837634017293</v>
      </c>
      <c r="AM61" s="59">
        <f t="shared" si="5"/>
        <v>685.50170967350618</v>
      </c>
      <c r="AN61" s="59">
        <f ca="1">AVERAGE(OFFSET($AM$3,0,0,'Données projet'!$E$10+1,1))-AVERAGE(OFFSET($H$3,0,0,'Données projet'!$E$10+1,1))</f>
        <v>364.3481978218424</v>
      </c>
      <c r="AO61" s="59">
        <f t="shared" si="36"/>
        <v>231.36959598460686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35.252963604063027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35.252963604063027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7.6</v>
      </c>
      <c r="BD61" s="12">
        <f>IF('Données projet'!$A$88&gt;35,BD60+BC61-BL60,IF(A61&lt;'Données projet'!$A$88,$BA$205^A61,IF(A61='Données projet'!$A$88,'Données projet'!$B$88,BD60+BC61-BL60)))</f>
        <v>198.79999999999998</v>
      </c>
      <c r="BE61" s="13">
        <f>BD61*VLOOKUP('Données projet'!$B$11,Paramètres!$A$1:$I$89,3,0)*VLOOKUP('Données projet'!$B$11,Paramètres!$A$1:$I$89,5,0)</f>
        <v>201.58320000000001</v>
      </c>
      <c r="BF61" s="13">
        <f t="shared" si="37"/>
        <v>50.091947337331924</v>
      </c>
      <c r="BG61" s="20">
        <f t="shared" si="7"/>
        <v>438.33421494585309</v>
      </c>
      <c r="BH61" s="59">
        <f t="shared" si="8"/>
        <v>731.66754827918635</v>
      </c>
      <c r="BI61" s="59">
        <f ca="1">AVERAGE(OFFSET($BH$3,0,0,'Données projet'!$E$11+1,1))-AVERAGE(OFFSET($H$3,0,0,'Données projet'!$E$11+1,1))</f>
        <v>403.50418598112844</v>
      </c>
      <c r="BJ61" s="59">
        <f t="shared" si="38"/>
        <v>254.25036207346591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39.507631625243064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39.507631625243064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443.34220761968419</v>
      </c>
      <c r="T62" s="59">
        <f t="shared" si="34"/>
        <v>546.58234447298014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87.621102026581511</v>
      </c>
      <c r="AA62" s="21">
        <f>EXP(-LN(2)/25)*AA61+(1-EXP(-LN(2)/25))/(LN(2)/25)*Calculateur!V62*Calculateur!X62*VLOOKUP('Données projet'!$B$9,Paramètres!$A$1:$I$89,3,0)*0.475*44/12</f>
        <v>9.8172185771677984</v>
      </c>
      <c r="AB62" s="21">
        <f>EXP(-LN(2)/2)*AB61+(1-EXP(-LN(2)/2))/(LN(2)/2)*V62*Y62*VLOOKUP('Données projet'!$B$9,Paramètres!$A$1:$I$89,3,0)*0.475*44/12</f>
        <v>2.6075412088877802E-4</v>
      </c>
      <c r="AC62" s="22">
        <f t="shared" si="3"/>
        <v>97.438581357870191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186.75071999999997</v>
      </c>
      <c r="AK62" s="13">
        <f t="shared" si="35"/>
        <v>46.820863587839391</v>
      </c>
      <c r="AL62" s="20">
        <f t="shared" si="4"/>
        <v>406.80384141548689</v>
      </c>
      <c r="AM62" s="59">
        <f t="shared" si="5"/>
        <v>700.13717474882014</v>
      </c>
      <c r="AN62" s="59">
        <f ca="1">AVERAGE(OFFSET($AM$3,0,0,'Données projet'!$E$10+1,1))-AVERAGE(OFFSET($H$3,0,0,'Données projet'!$E$10+1,1))</f>
        <v>364.3481978218424</v>
      </c>
      <c r="AO62" s="59">
        <f t="shared" si="36"/>
        <v>231.36959598460686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34.561674489971985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34.561674489971985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7.6</v>
      </c>
      <c r="BD62" s="12">
        <f>IF('Données projet'!$A$88&gt;35,BD61+BC62-BL61,IF(A62&lt;'Données projet'!$A$88,$BA$205^A62,IF(A62='Données projet'!$A$88,'Données projet'!$B$88,BD61+BC62-BL61)))</f>
        <v>206.39999999999998</v>
      </c>
      <c r="BE62" s="13">
        <f>BD62*VLOOKUP('Données projet'!$B$11,Paramètres!$A$1:$I$89,3,0)*VLOOKUP('Données projet'!$B$11,Paramètres!$A$1:$I$89,5,0)</f>
        <v>209.28960000000001</v>
      </c>
      <c r="BF62" s="13">
        <f t="shared" si="37"/>
        <v>51.780314822292169</v>
      </c>
      <c r="BG62" s="20">
        <f t="shared" si="7"/>
        <v>454.69676831549214</v>
      </c>
      <c r="BH62" s="59">
        <f t="shared" si="8"/>
        <v>748.03010164882539</v>
      </c>
      <c r="BI62" s="59">
        <f ca="1">AVERAGE(OFFSET($BH$3,0,0,'Données projet'!$E$11+1,1))-AVERAGE(OFFSET($H$3,0,0,'Données projet'!$E$11+1,1))</f>
        <v>403.50418598112844</v>
      </c>
      <c r="BJ62" s="59">
        <f t="shared" si="38"/>
        <v>254.25036207346591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38.732911066347931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38.732911066347931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443.34220761968419</v>
      </c>
      <c r="T63" s="59">
        <f t="shared" si="34"/>
        <v>546.58234447298014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29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97.730620672357077</v>
      </c>
      <c r="AA63" s="21">
        <f>EXP(-LN(2)/25)*AA62+(1-EXP(-LN(2)/25))/(LN(2)/25)*Calculateur!V63*Calculateur!X63*VLOOKUP('Données projet'!$B$9,Paramètres!$A$1:$I$89,3,0)*0.475*44/12</f>
        <v>9.5487662189100568</v>
      </c>
      <c r="AB63" s="21">
        <f>EXP(-LN(2)/2)*AB62+(1-EXP(-LN(2)/2))/(LN(2)/2)*V63*Y63*VLOOKUP('Données projet'!$B$9,Paramètres!$A$1:$I$89,3,0)*0.475*44/12</f>
        <v>1.8438100710279173E-4</v>
      </c>
      <c r="AC63" s="22">
        <f t="shared" si="3"/>
        <v>107.27957127227424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193.62719999999996</v>
      </c>
      <c r="AK63" s="13">
        <f t="shared" si="35"/>
        <v>48.340990547231193</v>
      </c>
      <c r="AL63" s="20">
        <f t="shared" si="4"/>
        <v>421.42793186976087</v>
      </c>
      <c r="AM63" s="59">
        <f t="shared" si="5"/>
        <v>714.76126520309413</v>
      </c>
      <c r="AN63" s="59">
        <f ca="1">AVERAGE(OFFSET($AM$3,0,0,'Données projet'!$E$10+1,1))-AVERAGE(OFFSET($H$3,0,0,'Données projet'!$E$10+1,1))</f>
        <v>364.3481978218424</v>
      </c>
      <c r="AO63" s="59">
        <f t="shared" si="36"/>
        <v>231.36959598460686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0.43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42.916014416358301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42.916014416358301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214</v>
      </c>
      <c r="BB63" s="12">
        <f>VLOOKUP(A63,'Données projet'!$A$87:$I$107,9,0)</f>
        <v>7.6</v>
      </c>
      <c r="BC63" s="12">
        <f t="array" ref="BC63">INDEX(BB:BB,MIN(IF(ISNUMBER(BB63:BB259),ROW(BB63:BB259),"")))</f>
        <v>7.6</v>
      </c>
      <c r="BD63" s="12">
        <f>IF('Données projet'!$A$88&gt;35,BD62+BC63-BL62,IF(A63&lt;'Données projet'!$A$88,$BA$205^A63,IF(A63='Données projet'!$A$88,'Données projet'!$B$88,BD62+BC63-BL62)))</f>
        <v>213.99999999999997</v>
      </c>
      <c r="BE63" s="13">
        <f>BD63*VLOOKUP('Données projet'!$B$11,Paramètres!$A$1:$I$89,3,0)*VLOOKUP('Données projet'!$B$11,Paramètres!$A$1:$I$89,5,0)</f>
        <v>216.99600000000001</v>
      </c>
      <c r="BF63" s="13">
        <f t="shared" si="37"/>
        <v>53.461459647386917</v>
      </c>
      <c r="BG63" s="20">
        <f t="shared" si="7"/>
        <v>471.04674221919896</v>
      </c>
      <c r="BH63" s="59">
        <f t="shared" si="8"/>
        <v>764.38007555253228</v>
      </c>
      <c r="BI63" s="59">
        <f ca="1">AVERAGE(OFFSET($BH$3,0,0,'Données projet'!$E$11+1,1))-AVERAGE(OFFSET($H$3,0,0,'Données projet'!$E$11+1,1))</f>
        <v>403.50418598112844</v>
      </c>
      <c r="BJ63" s="59">
        <f t="shared" si="38"/>
        <v>254.25036207346591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21</v>
      </c>
      <c r="BM63" s="16">
        <f>IF(ISNA(VLOOKUP(A63,'Données projet'!$A$87:$I$107,5,0)),0%,VLOOKUP(A63,'Données projet'!$A$87:$I$107,5,0)*VLOOKUP('Données projet'!$B$11,Paramètres!$A$1:$I$89,7,0))</f>
        <v>0.43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48.095533397642946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48.095533397642946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636.99999999999977</v>
      </c>
      <c r="O64" s="13">
        <f>N64*VLOOKUP('Données projet'!$B$9,Paramètres!$A$1:$I$89,3,0)*VLOOKUP('Données projet'!$B$9,Paramètres!$A$1:$I$89,5,0)</f>
        <v>356.08299999999991</v>
      </c>
      <c r="P64" s="13">
        <f t="shared" si="33"/>
        <v>82.813805255716545</v>
      </c>
      <c r="Q64" s="20">
        <f t="shared" si="53"/>
        <v>764.41193582037283</v>
      </c>
      <c r="R64" s="59">
        <f t="shared" si="0"/>
        <v>1057.7452691537062</v>
      </c>
      <c r="S64" s="59">
        <f ca="1">AVERAGE(OFFSET($R$3,0,0,'Données projet'!$E$9+1,1))-AVERAGE(OFFSET($H$3,0,0,'Données projet'!$E$9+1,1))</f>
        <v>443.34220761968419</v>
      </c>
      <c r="T64" s="59">
        <f t="shared" si="34"/>
        <v>546.58234447298014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95.814182810764791</v>
      </c>
      <c r="AA64" s="21">
        <f>EXP(-LN(2)/25)*AA63+(1-EXP(-LN(2)/25))/(LN(2)/25)*Calculateur!V64*Calculateur!X64*VLOOKUP('Données projet'!$B$9,Paramètres!$A$1:$I$89,3,0)*0.475*44/12</f>
        <v>9.2876547045061706</v>
      </c>
      <c r="AB64" s="21">
        <f>EXP(-LN(2)/2)*AB63+(1-EXP(-LN(2)/2))/(LN(2)/2)*V64*Y64*VLOOKUP('Données projet'!$B$9,Paramètres!$A$1:$I$89,3,0)*0.475*44/12</f>
        <v>1.3037706044438901E-4</v>
      </c>
      <c r="AC64" s="22">
        <f t="shared" si="3"/>
        <v>105.1019678923314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181.14095999999995</v>
      </c>
      <c r="AK64" s="13">
        <f t="shared" si="35"/>
        <v>45.575935320610945</v>
      </c>
      <c r="AL64" s="20">
        <f t="shared" si="4"/>
        <v>394.86525935006392</v>
      </c>
      <c r="AM64" s="59">
        <f t="shared" si="5"/>
        <v>688.19859268339724</v>
      </c>
      <c r="AN64" s="59">
        <f ca="1">AVERAGE(OFFSET($AM$3,0,0,'Données projet'!$E$10+1,1))-AVERAGE(OFFSET($H$3,0,0,'Données projet'!$E$10+1,1))</f>
        <v>364.3481978218424</v>
      </c>
      <c r="AO64" s="59">
        <f t="shared" si="36"/>
        <v>231.36959598460686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42.074457549837625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42.074457549837625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7.2</v>
      </c>
      <c r="BD64" s="12">
        <f>IF('Données projet'!$A$88&gt;35,BD63+BC64-BL63,IF(A64&lt;'Données projet'!$A$88,$BA$205^A64,IF(A64='Données projet'!$A$88,'Données projet'!$B$88,BD63+BC64-BL63)))</f>
        <v>200.19999999999996</v>
      </c>
      <c r="BE64" s="13">
        <f>BD64*VLOOKUP('Données projet'!$B$11,Paramètres!$A$1:$I$89,3,0)*VLOOKUP('Données projet'!$B$11,Paramètres!$A$1:$I$89,5,0)</f>
        <v>203.00279999999995</v>
      </c>
      <c r="BF64" s="13">
        <f t="shared" si="37"/>
        <v>50.403518824343074</v>
      </c>
      <c r="BG64" s="20">
        <f t="shared" si="7"/>
        <v>441.3493386190641</v>
      </c>
      <c r="BH64" s="59">
        <f t="shared" si="8"/>
        <v>734.68267195239741</v>
      </c>
      <c r="BI64" s="59">
        <f ca="1">AVERAGE(OFFSET($BH$3,0,0,'Données projet'!$E$11+1,1))-AVERAGE(OFFSET($H$3,0,0,'Données projet'!$E$11+1,1))</f>
        <v>403.50418598112844</v>
      </c>
      <c r="BJ64" s="59">
        <f t="shared" si="38"/>
        <v>254.25036207346591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47.152409323093913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47.152409323093913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636.99999999999977</v>
      </c>
      <c r="O65" s="13">
        <f>N65*VLOOKUP('Données projet'!$B$9,Paramètres!$A$1:$I$89,3,0)*VLOOKUP('Données projet'!$B$9,Paramètres!$A$1:$I$89,5,0)</f>
        <v>356.08299999999991</v>
      </c>
      <c r="P65" s="13">
        <f t="shared" si="33"/>
        <v>82.813805255716545</v>
      </c>
      <c r="Q65" s="20">
        <f t="shared" si="53"/>
        <v>764.41193582037283</v>
      </c>
      <c r="R65" s="59">
        <f t="shared" si="0"/>
        <v>1057.7452691537062</v>
      </c>
      <c r="S65" s="59">
        <f ca="1">AVERAGE(OFFSET($R$3,0,0,'Données projet'!$E$9+1,1))-AVERAGE(OFFSET($H$3,0,0,'Données projet'!$E$9+1,1))</f>
        <v>443.34220761968419</v>
      </c>
      <c r="T65" s="59">
        <f t="shared" si="34"/>
        <v>546.58234447298014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93.935325126726653</v>
      </c>
      <c r="AA65" s="21">
        <f>EXP(-LN(2)/25)*AA64+(1-EXP(-LN(2)/25))/(LN(2)/25)*Calculateur!V65*Calculateur!X65*VLOOKUP('Données projet'!$B$9,Paramètres!$A$1:$I$89,3,0)*0.475*44/12</f>
        <v>9.0336832981949158</v>
      </c>
      <c r="AB65" s="21">
        <f>EXP(-LN(2)/2)*AB64+(1-EXP(-LN(2)/2))/(LN(2)/2)*V65*Y65*VLOOKUP('Données projet'!$B$9,Paramètres!$A$1:$I$89,3,0)*0.475*44/12</f>
        <v>9.2190503551395863E-5</v>
      </c>
      <c r="AC65" s="22">
        <f t="shared" si="3"/>
        <v>102.96910061542512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187.65551999999994</v>
      </c>
      <c r="AK65" s="13">
        <f t="shared" si="35"/>
        <v>47.021247649900147</v>
      </c>
      <c r="AL65" s="20">
        <f t="shared" si="4"/>
        <v>408.72870365690932</v>
      </c>
      <c r="AM65" s="59">
        <f t="shared" si="5"/>
        <v>702.06203699024263</v>
      </c>
      <c r="AN65" s="59">
        <f ca="1">AVERAGE(OFFSET($AM$3,0,0,'Données projet'!$E$10+1,1))-AVERAGE(OFFSET($H$3,0,0,'Données projet'!$E$10+1,1))</f>
        <v>364.3481978218424</v>
      </c>
      <c r="AO65" s="59">
        <f t="shared" si="36"/>
        <v>231.36959598460686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41.249403100170419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41.249403100170419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7.2</v>
      </c>
      <c r="BD65" s="12">
        <f>IF('Données projet'!$A$88&gt;35,BD64+BC65-BL64,IF(A65&lt;'Données projet'!$A$88,$BA$205^A65,IF(A65='Données projet'!$A$88,'Données projet'!$B$88,BD64+BC65-BL64)))</f>
        <v>207.39999999999995</v>
      </c>
      <c r="BE65" s="13">
        <f>BD65*VLOOKUP('Données projet'!$B$11,Paramètres!$A$1:$I$89,3,0)*VLOOKUP('Données projet'!$B$11,Paramètres!$A$1:$I$89,5,0)</f>
        <v>210.30359999999996</v>
      </c>
      <c r="BF65" s="13">
        <f t="shared" si="37"/>
        <v>52.001924357524459</v>
      </c>
      <c r="BG65" s="20">
        <f t="shared" si="7"/>
        <v>456.84878825602163</v>
      </c>
      <c r="BH65" s="59">
        <f t="shared" si="8"/>
        <v>750.18212158935489</v>
      </c>
      <c r="BI65" s="59">
        <f ca="1">AVERAGE(OFFSET($BH$3,0,0,'Données projet'!$E$11+1,1))-AVERAGE(OFFSET($H$3,0,0,'Données projet'!$E$11+1,1))</f>
        <v>403.50418598112844</v>
      </c>
      <c r="BJ65" s="59">
        <f t="shared" si="38"/>
        <v>254.25036207346591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46.227779336397901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46.227779336397901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636.99999999999977</v>
      </c>
      <c r="O66" s="13">
        <f>N66*VLOOKUP('Données projet'!$B$9,Paramètres!$A$1:$I$89,3,0)*VLOOKUP('Données projet'!$B$9,Paramètres!$A$1:$I$89,5,0)</f>
        <v>356.08299999999991</v>
      </c>
      <c r="P66" s="13">
        <f t="shared" si="33"/>
        <v>82.813805255716545</v>
      </c>
      <c r="Q66" s="20">
        <f t="shared" si="53"/>
        <v>764.41193582037283</v>
      </c>
      <c r="R66" s="59">
        <f t="shared" si="0"/>
        <v>1057.7452691537062</v>
      </c>
      <c r="S66" s="59">
        <f ca="1">AVERAGE(OFFSET($R$3,0,0,'Données projet'!$E$9+1,1))-AVERAGE(OFFSET($H$3,0,0,'Données projet'!$E$9+1,1))</f>
        <v>443.34220761968419</v>
      </c>
      <c r="T66" s="59">
        <f t="shared" si="34"/>
        <v>546.58234447298014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92.093310695882465</v>
      </c>
      <c r="AA66" s="21">
        <f>EXP(-LN(2)/25)*AA65+(1-EXP(-LN(2)/25))/(LN(2)/25)*Calculateur!V66*Calculateur!X66*VLOOKUP('Données projet'!$B$9,Paramètres!$A$1:$I$89,3,0)*0.475*44/12</f>
        <v>8.7866567533450173</v>
      </c>
      <c r="AB66" s="21">
        <f>EXP(-LN(2)/2)*AB65+(1-EXP(-LN(2)/2))/(LN(2)/2)*V66*Y66*VLOOKUP('Données projet'!$B$9,Paramètres!$A$1:$I$89,3,0)*0.475*44/12</f>
        <v>6.5188530222194506E-5</v>
      </c>
      <c r="AC66" s="22">
        <f t="shared" si="3"/>
        <v>100.88003263775771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194.17007999999996</v>
      </c>
      <c r="AK66" s="13">
        <f t="shared" si="35"/>
        <v>48.460730182351035</v>
      </c>
      <c r="AL66" s="20">
        <f t="shared" si="4"/>
        <v>422.5819944009279</v>
      </c>
      <c r="AM66" s="59">
        <f t="shared" si="5"/>
        <v>715.91532773426115</v>
      </c>
      <c r="AN66" s="59">
        <f ca="1">AVERAGE(OFFSET($AM$3,0,0,'Données projet'!$E$10+1,1))-AVERAGE(OFFSET($H$3,0,0,'Données projet'!$E$10+1,1))</f>
        <v>364.3481978218424</v>
      </c>
      <c r="AO66" s="59">
        <f t="shared" si="36"/>
        <v>231.36959598460686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40.440527465027657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40.440527465027657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7.2</v>
      </c>
      <c r="BD66" s="12">
        <f>IF('Données projet'!$A$88&gt;35,BD65+BC66-BL65,IF(A66&lt;'Données projet'!$A$88,$BA$205^A66,IF(A66='Données projet'!$A$88,'Données projet'!$B$88,BD65+BC66-BL65)))</f>
        <v>214.59999999999994</v>
      </c>
      <c r="BE66" s="13">
        <f>BD66*VLOOKUP('Données projet'!$B$11,Paramètres!$A$1:$I$89,3,0)*VLOOKUP('Données projet'!$B$11,Paramètres!$A$1:$I$89,5,0)</f>
        <v>217.60439999999994</v>
      </c>
      <c r="BF66" s="13">
        <f t="shared" si="37"/>
        <v>53.593882578706356</v>
      </c>
      <c r="BG66" s="20">
        <f t="shared" si="7"/>
        <v>472.33700882458015</v>
      </c>
      <c r="BH66" s="59">
        <f t="shared" si="8"/>
        <v>765.67034215791341</v>
      </c>
      <c r="BI66" s="59">
        <f ca="1">AVERAGE(OFFSET($BH$3,0,0,'Données projet'!$E$11+1,1))-AVERAGE(OFFSET($H$3,0,0,'Données projet'!$E$11+1,1))</f>
        <v>403.50418598112844</v>
      </c>
      <c r="BJ66" s="59">
        <f t="shared" si="38"/>
        <v>254.25036207346591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45.321280779772394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45.321280779772394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636.99999999999977</v>
      </c>
      <c r="O67" s="13">
        <f>N67*VLOOKUP('Données projet'!$B$9,Paramètres!$A$1:$I$89,3,0)*VLOOKUP('Données projet'!$B$9,Paramètres!$A$1:$I$89,5,0)</f>
        <v>356.08299999999991</v>
      </c>
      <c r="P67" s="13">
        <f t="shared" si="33"/>
        <v>82.813805255716545</v>
      </c>
      <c r="Q67" s="20">
        <f t="shared" ref="Q67:Q98" si="54">(O67+P67)*0.475*44/12</f>
        <v>764.41193582037283</v>
      </c>
      <c r="R67" s="59">
        <f t="shared" ref="R67:R130" si="55">Q67+(I67+J67)*44/12</f>
        <v>1057.7452691537062</v>
      </c>
      <c r="S67" s="59">
        <f ca="1">AVERAGE(OFFSET($R$3,0,0,'Données projet'!$E$9+1,1))-AVERAGE(OFFSET($H$3,0,0,'Données projet'!$E$9+1,1))</f>
        <v>443.34220761968419</v>
      </c>
      <c r="T67" s="59">
        <f t="shared" si="34"/>
        <v>546.58234447298014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90.287417044509269</v>
      </c>
      <c r="AA67" s="21">
        <f>EXP(-LN(2)/25)*AA66+(1-EXP(-LN(2)/25))/(LN(2)/25)*Calculateur!V67*Calculateur!X67*VLOOKUP('Données projet'!$B$9,Paramètres!$A$1:$I$89,3,0)*0.475*44/12</f>
        <v>8.5463851623546017</v>
      </c>
      <c r="AB67" s="21">
        <f>EXP(-LN(2)/2)*AB66+(1-EXP(-LN(2)/2))/(LN(2)/2)*V67*Y67*VLOOKUP('Données projet'!$B$9,Paramètres!$A$1:$I$89,3,0)*0.475*44/12</f>
        <v>4.6095251775697931E-5</v>
      </c>
      <c r="AC67" s="22">
        <f t="shared" si="3"/>
        <v>98.833848302115641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200.68463999999992</v>
      </c>
      <c r="AK67" s="13">
        <f t="shared" si="35"/>
        <v>49.894600936700193</v>
      </c>
      <c r="AL67" s="20">
        <f t="shared" si="4"/>
        <v>436.42551129808606</v>
      </c>
      <c r="AM67" s="59">
        <f t="shared" si="5"/>
        <v>729.75884463141938</v>
      </c>
      <c r="AN67" s="59">
        <f ca="1">AVERAGE(OFFSET($AM$3,0,0,'Données projet'!$E$10+1,1))-AVERAGE(OFFSET($H$3,0,0,'Données projet'!$E$10+1,1))</f>
        <v>364.3481978218424</v>
      </c>
      <c r="AO67" s="59">
        <f t="shared" si="36"/>
        <v>231.36959598460686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39.647513387724622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39.647513387724622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7.2</v>
      </c>
      <c r="BD67" s="12">
        <f>IF('Données projet'!$A$88&gt;35,BD66+BC67-BL66,IF(A67&lt;'Données projet'!$A$88,$BA$205^A67,IF(A67='Données projet'!$A$88,'Données projet'!$B$88,BD66+BC67-BL66)))</f>
        <v>221.79999999999993</v>
      </c>
      <c r="BE67" s="13">
        <f>BD67*VLOOKUP('Données projet'!$B$11,Paramètres!$A$1:$I$89,3,0)*VLOOKUP('Données projet'!$B$11,Paramètres!$A$1:$I$89,5,0)</f>
        <v>224.90519999999995</v>
      </c>
      <c r="BF67" s="13">
        <f t="shared" si="37"/>
        <v>55.17963460003309</v>
      </c>
      <c r="BG67" s="20">
        <f t="shared" si="7"/>
        <v>487.81442026172425</v>
      </c>
      <c r="BH67" s="59">
        <f t="shared" si="8"/>
        <v>781.14775359505757</v>
      </c>
      <c r="BI67" s="59">
        <f ca="1">AVERAGE(OFFSET($BH$3,0,0,'Données projet'!$E$11+1,1))-AVERAGE(OFFSET($H$3,0,0,'Données projet'!$E$11+1,1))</f>
        <v>403.50418598112844</v>
      </c>
      <c r="BJ67" s="59">
        <f t="shared" si="38"/>
        <v>254.25036207346591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44.432558106932788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44.432558106932788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636.99999999999977</v>
      </c>
      <c r="O68" s="13">
        <f>N68*VLOOKUP('Données projet'!$B$9,Paramètres!$A$1:$I$89,3,0)*VLOOKUP('Données projet'!$B$9,Paramètres!$A$1:$I$89,5,0)</f>
        <v>356.08299999999991</v>
      </c>
      <c r="P68" s="13">
        <f t="shared" si="33"/>
        <v>82.813805255716545</v>
      </c>
      <c r="Q68" s="20">
        <f t="shared" si="54"/>
        <v>764.41193582037283</v>
      </c>
      <c r="R68" s="59">
        <f t="shared" si="55"/>
        <v>1057.7452691537062</v>
      </c>
      <c r="S68" s="59">
        <f ca="1">AVERAGE(OFFSET($R$3,0,0,'Données projet'!$E$9+1,1))-AVERAGE(OFFSET($H$3,0,0,'Données projet'!$E$9+1,1))</f>
        <v>443.34220761968419</v>
      </c>
      <c r="T68" s="59">
        <f t="shared" si="34"/>
        <v>546.58234447298014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88.516935866153133</v>
      </c>
      <c r="AA68" s="21">
        <f>EXP(-LN(2)/25)*AA67+(1-EXP(-LN(2)/25))/(LN(2)/25)*Calculateur!V68*Calculateur!X68*VLOOKUP('Données projet'!$B$9,Paramètres!$A$1:$I$89,3,0)*0.475*44/12</f>
        <v>8.3126838106551517</v>
      </c>
      <c r="AB68" s="21">
        <f>EXP(-LN(2)/2)*AB67+(1-EXP(-LN(2)/2))/(LN(2)/2)*V68*Y68*VLOOKUP('Données projet'!$B$9,Paramètres!$A$1:$I$89,3,0)*0.475*44/12</f>
        <v>3.2594265111097253E-5</v>
      </c>
      <c r="AC68" s="22">
        <f t="shared" ref="AC68:AC131" si="57">SUM(Z68:AB68)</f>
        <v>96.829652271073385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207.19919999999991</v>
      </c>
      <c r="AK68" s="13">
        <f t="shared" si="35"/>
        <v>51.3230629736655</v>
      </c>
      <c r="AL68" s="20">
        <f t="shared" ref="AL68:AL131" si="58">(AJ68+AK68)*0.475*44/12</f>
        <v>450.25960801246725</v>
      </c>
      <c r="AM68" s="59">
        <f t="shared" ref="AM68:AM131" si="59">AL68+(AD68+AE68)*44/12</f>
        <v>743.59294134580057</v>
      </c>
      <c r="AN68" s="59">
        <f ca="1">AVERAGE(OFFSET($AM$3,0,0,'Données projet'!$E$10+1,1))-AVERAGE(OFFSET($H$3,0,0,'Données projet'!$E$10+1,1))</f>
        <v>364.3481978218424</v>
      </c>
      <c r="AO68" s="59">
        <f t="shared" si="36"/>
        <v>231.36959598460686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0.43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47.902123115381436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47.902123115381436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229</v>
      </c>
      <c r="BB68" s="12">
        <f>VLOOKUP(A68,'Données projet'!$A$87:$I$107,9,0)</f>
        <v>7.2</v>
      </c>
      <c r="BC68" s="12">
        <f t="array" ref="BC68">INDEX(BB:BB,MIN(IF(ISNUMBER(BB68:BB264),ROW(BB68:BB264),"")))</f>
        <v>7.2</v>
      </c>
      <c r="BD68" s="12">
        <f>IF('Données projet'!$A$88&gt;35,BD67+BC68-BL67,IF(A68&lt;'Données projet'!$A$88,$BA$205^A68,IF(A68='Données projet'!$A$88,'Données projet'!$B$88,BD67+BC68-BL67)))</f>
        <v>228.99999999999991</v>
      </c>
      <c r="BE68" s="13">
        <f>BD68*VLOOKUP('Données projet'!$B$11,Paramètres!$A$1:$I$89,3,0)*VLOOKUP('Données projet'!$B$11,Paramètres!$A$1:$I$89,5,0)</f>
        <v>232.2059999999999</v>
      </c>
      <c r="BF68" s="13">
        <f t="shared" si="37"/>
        <v>56.759404991217522</v>
      </c>
      <c r="BG68" s="20">
        <f t="shared" ref="BG68:BG131" si="61">(BE68+BF68)*0.475*44/12</f>
        <v>503.281413693037</v>
      </c>
      <c r="BH68" s="59">
        <f t="shared" ref="BH68:BH131" si="62">BG68+(AY68+AZ68)*44/12</f>
        <v>796.61474702637031</v>
      </c>
      <c r="BI68" s="59">
        <f ca="1">AVERAGE(OFFSET($BH$3,0,0,'Données projet'!$E$11+1,1))-AVERAGE(OFFSET($H$3,0,0,'Données projet'!$E$11+1,1))</f>
        <v>403.50418598112844</v>
      </c>
      <c r="BJ68" s="59">
        <f t="shared" si="38"/>
        <v>254.25036207346591</v>
      </c>
      <c r="BK68" s="15">
        <f>IF(ISNA(VLOOKUP(A68,'Données projet'!$A$87:$I$107,3,0)),0,VLOOKUP(A68,'Données projet'!$A$87:$I$107,3,0))</f>
        <v>9</v>
      </c>
      <c r="BL68" s="15">
        <f>IF(ISNA(VLOOKUP(A68,'Données projet'!$A$87:$I$107,4,0)),0,VLOOKUP(A68,'Données projet'!$A$87:$I$107,4,0))</f>
        <v>21</v>
      </c>
      <c r="BM68" s="16">
        <f>IF(ISNA(VLOOKUP(A68,'Données projet'!$A$87:$I$107,5,0)),0%,VLOOKUP(A68,'Données projet'!$A$87:$I$107,5,0)*VLOOKUP('Données projet'!$B$11,Paramètres!$A$1:$I$89,7,0))</f>
        <v>0.43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53.683413836203357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53.683413836203357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636.99999999999977</v>
      </c>
      <c r="O69" s="13">
        <f>N69*VLOOKUP('Données projet'!$B$9,Paramètres!$A$1:$I$89,3,0)*VLOOKUP('Données projet'!$B$9,Paramètres!$A$1:$I$89,5,0)</f>
        <v>356.08299999999991</v>
      </c>
      <c r="P69" s="13">
        <f t="shared" ref="P69:P132" si="87">EXP(-1.0587+0.8836*LN(O69)+0.284)</f>
        <v>82.813805255716545</v>
      </c>
      <c r="Q69" s="20">
        <f t="shared" si="54"/>
        <v>764.41193582037283</v>
      </c>
      <c r="R69" s="59">
        <f t="shared" si="55"/>
        <v>1057.7452691537062</v>
      </c>
      <c r="S69" s="59">
        <f ca="1">AVERAGE(OFFSET($R$3,0,0,'Données projet'!$E$9+1,1))-AVERAGE(OFFSET($H$3,0,0,'Données projet'!$E$9+1,1))</f>
        <v>443.34220761968419</v>
      </c>
      <c r="T69" s="59">
        <f t="shared" ref="T69:T132" si="88">$T$3</f>
        <v>546.58234447298014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86.781172743817677</v>
      </c>
      <c r="AA69" s="21">
        <f>EXP(-LN(2)/25)*AA68+(1-EXP(-LN(2)/25))/(LN(2)/25)*Calculateur!V69*Calculateur!X69*VLOOKUP('Données projet'!$B$9,Paramètres!$A$1:$I$89,3,0)*0.475*44/12</f>
        <v>8.085373034707743</v>
      </c>
      <c r="AB69" s="21">
        <f>EXP(-LN(2)/2)*AB68+(1-EXP(-LN(2)/2))/(LN(2)/2)*V69*Y69*VLOOKUP('Données projet'!$B$9,Paramètres!$A$1:$I$89,3,0)*0.475*44/12</f>
        <v>2.3047625887848966E-5</v>
      </c>
      <c r="AC69" s="22">
        <f t="shared" si="57"/>
        <v>94.866568826151308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194.35103999999993</v>
      </c>
      <c r="AK69" s="13">
        <f t="shared" ref="AK69:AK132" si="89">EXP(-1.0587+0.8836*LN(AJ69)+0.284)</f>
        <v>48.500634729810159</v>
      </c>
      <c r="AL69" s="20">
        <f t="shared" si="58"/>
        <v>422.96666682108594</v>
      </c>
      <c r="AM69" s="59">
        <f t="shared" si="59"/>
        <v>716.30000015441919</v>
      </c>
      <c r="AN69" s="59">
        <f ca="1">AVERAGE(OFFSET($AM$3,0,0,'Données projet'!$E$10+1,1))-AVERAGE(OFFSET($H$3,0,0,'Données projet'!$E$10+1,1))</f>
        <v>364.3481978218424</v>
      </c>
      <c r="AO69" s="59">
        <f t="shared" ref="AO69:AO132" si="90">$AO$3</f>
        <v>231.36959598460686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46.962791698498926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46.962791698498926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6.8</v>
      </c>
      <c r="BD69" s="12">
        <f>IF('Données projet'!$A$88&gt;35,BD68+BC69-BL68,IF(A69&lt;'Données projet'!$A$88,$BA$205^A69,IF(A69='Données projet'!$A$88,'Données projet'!$B$88,BD68+BC69-BL68)))</f>
        <v>214.79999999999993</v>
      </c>
      <c r="BE69" s="13">
        <f>BD69*VLOOKUP('Données projet'!$B$11,Paramètres!$A$1:$I$89,3,0)*VLOOKUP('Données projet'!$B$11,Paramètres!$A$1:$I$89,5,0)</f>
        <v>217.80719999999994</v>
      </c>
      <c r="BF69" s="13">
        <f t="shared" ref="BF69:BF132" si="91">EXP(-1.0587+0.8836*LN(BE69)+0.284)</f>
        <v>53.638013973813976</v>
      </c>
      <c r="BG69" s="20">
        <f t="shared" si="61"/>
        <v>472.76708100439259</v>
      </c>
      <c r="BH69" s="59">
        <f t="shared" si="62"/>
        <v>766.10041433772585</v>
      </c>
      <c r="BI69" s="59">
        <f ca="1">AVERAGE(OFFSET($BH$3,0,0,'Données projet'!$E$11+1,1))-AVERAGE(OFFSET($H$3,0,0,'Données projet'!$E$11+1,1))</f>
        <v>403.50418598112844</v>
      </c>
      <c r="BJ69" s="59">
        <f t="shared" ref="BJ69:BJ132" si="92">$BJ$3</f>
        <v>254.25036207346591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52.630714834524682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52.630714834524682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636.99999999999977</v>
      </c>
      <c r="O70" s="13">
        <f>N70*VLOOKUP('Données projet'!$B$9,Paramètres!$A$1:$I$89,3,0)*VLOOKUP('Données projet'!$B$9,Paramètres!$A$1:$I$89,5,0)</f>
        <v>356.08299999999991</v>
      </c>
      <c r="P70" s="13">
        <f t="shared" si="87"/>
        <v>82.813805255716545</v>
      </c>
      <c r="Q70" s="20">
        <f t="shared" si="54"/>
        <v>764.41193582037283</v>
      </c>
      <c r="R70" s="59">
        <f t="shared" si="55"/>
        <v>1057.7452691537062</v>
      </c>
      <c r="S70" s="59">
        <f ca="1">AVERAGE(OFFSET($R$3,0,0,'Données projet'!$E$9+1,1))-AVERAGE(OFFSET($H$3,0,0,'Données projet'!$E$9+1,1))</f>
        <v>443.34220761968419</v>
      </c>
      <c r="T70" s="59">
        <f t="shared" si="88"/>
        <v>546.58234447298014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85.079446877600262</v>
      </c>
      <c r="AA70" s="21">
        <f>EXP(-LN(2)/25)*AA69+(1-EXP(-LN(2)/25))/(LN(2)/25)*Calculateur!V70*Calculateur!X70*VLOOKUP('Données projet'!$B$9,Paramètres!$A$1:$I$89,3,0)*0.475*44/12</f>
        <v>7.8642780838823709</v>
      </c>
      <c r="AB70" s="21">
        <f>EXP(-LN(2)/2)*AB69+(1-EXP(-LN(2)/2))/(LN(2)/2)*V70*Y70*VLOOKUP('Données projet'!$B$9,Paramètres!$A$1:$I$89,3,0)*0.475*44/12</f>
        <v>1.6297132555548626E-5</v>
      </c>
      <c r="AC70" s="22">
        <f t="shared" si="57"/>
        <v>92.943741258615191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200.50367999999995</v>
      </c>
      <c r="AK70" s="13">
        <f t="shared" si="89"/>
        <v>49.854845135229887</v>
      </c>
      <c r="AL70" s="20">
        <f t="shared" si="58"/>
        <v>436.04109794385857</v>
      </c>
      <c r="AM70" s="59">
        <f t="shared" si="59"/>
        <v>729.37443127719189</v>
      </c>
      <c r="AN70" s="59">
        <f ca="1">AVERAGE(OFFSET($AM$3,0,0,'Données projet'!$E$10+1,1))-AVERAGE(OFFSET($H$3,0,0,'Données projet'!$E$10+1,1))</f>
        <v>364.3481978218424</v>
      </c>
      <c r="AO70" s="59">
        <f t="shared" si="90"/>
        <v>231.36959598460686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46.041879997765889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46.041879997765889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6.8</v>
      </c>
      <c r="BD70" s="12">
        <f>IF('Données projet'!$A$88&gt;35,BD69+BC70-BL69,IF(A70&lt;'Données projet'!$A$88,$BA$205^A70,IF(A70='Données projet'!$A$88,'Données projet'!$B$88,BD69+BC70-BL69)))</f>
        <v>221.59999999999994</v>
      </c>
      <c r="BE70" s="13">
        <f>BD70*VLOOKUP('Données projet'!$B$11,Paramètres!$A$1:$I$89,3,0)*VLOOKUP('Données projet'!$B$11,Paramètres!$A$1:$I$89,5,0)</f>
        <v>224.70239999999995</v>
      </c>
      <c r="BF70" s="13">
        <f t="shared" si="91"/>
        <v>55.135667706678262</v>
      </c>
      <c r="BG70" s="20">
        <f t="shared" si="61"/>
        <v>487.38463458913128</v>
      </c>
      <c r="BH70" s="59">
        <f t="shared" si="62"/>
        <v>780.7179679224646</v>
      </c>
      <c r="BI70" s="59">
        <f ca="1">AVERAGE(OFFSET($BH$3,0,0,'Données projet'!$E$11+1,1))-AVERAGE(OFFSET($H$3,0,0,'Données projet'!$E$11+1,1))</f>
        <v>403.50418598112844</v>
      </c>
      <c r="BJ70" s="59">
        <f t="shared" si="92"/>
        <v>254.25036207346591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51.598658618185937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51.598658618185937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636.99999999999977</v>
      </c>
      <c r="O71" s="13">
        <f>N71*VLOOKUP('Données projet'!$B$9,Paramètres!$A$1:$I$89,3,0)*VLOOKUP('Données projet'!$B$9,Paramètres!$A$1:$I$89,5,0)</f>
        <v>356.08299999999991</v>
      </c>
      <c r="P71" s="13">
        <f t="shared" si="87"/>
        <v>82.813805255716545</v>
      </c>
      <c r="Q71" s="20">
        <f t="shared" si="54"/>
        <v>764.41193582037283</v>
      </c>
      <c r="R71" s="59">
        <f t="shared" si="55"/>
        <v>1057.7452691537062</v>
      </c>
      <c r="S71" s="59">
        <f ca="1">AVERAGE(OFFSET($R$3,0,0,'Données projet'!$E$9+1,1))-AVERAGE(OFFSET($H$3,0,0,'Données projet'!$E$9+1,1))</f>
        <v>443.34220761968419</v>
      </c>
      <c r="T71" s="59">
        <f t="shared" si="88"/>
        <v>546.58234447298014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83.411090817669077</v>
      </c>
      <c r="AA71" s="21">
        <f>EXP(-LN(2)/25)*AA70+(1-EXP(-LN(2)/25))/(LN(2)/25)*Calculateur!V71*Calculateur!X71*VLOOKUP('Données projet'!$B$9,Paramètres!$A$1:$I$89,3,0)*0.475*44/12</f>
        <v>7.6492289861141973</v>
      </c>
      <c r="AB71" s="21">
        <f>EXP(-LN(2)/2)*AB70+(1-EXP(-LN(2)/2))/(LN(2)/2)*V71*Y71*VLOOKUP('Données projet'!$B$9,Paramètres!$A$1:$I$89,3,0)*0.475*44/12</f>
        <v>1.1523812943924483E-5</v>
      </c>
      <c r="AC71" s="22">
        <f t="shared" si="57"/>
        <v>91.060331327596217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206.65631999999994</v>
      </c>
      <c r="AK71" s="13">
        <f t="shared" si="89"/>
        <v>51.20422634371338</v>
      </c>
      <c r="AL71" s="20">
        <f t="shared" si="58"/>
        <v>449.10711821530072</v>
      </c>
      <c r="AM71" s="59">
        <f t="shared" si="59"/>
        <v>742.44045154863397</v>
      </c>
      <c r="AN71" s="59">
        <f ca="1">AVERAGE(OFFSET($AM$3,0,0,'Données projet'!$E$10+1,1))-AVERAGE(OFFSET($H$3,0,0,'Données projet'!$E$10+1,1))</f>
        <v>364.3481978218424</v>
      </c>
      <c r="AO71" s="59">
        <f t="shared" si="90"/>
        <v>231.36959598460686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45.139026813783552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45.139026813783552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6.8</v>
      </c>
      <c r="BD71" s="12">
        <f>IF('Données projet'!$A$88&gt;35,BD70+BC71-BL70,IF(A71&lt;'Données projet'!$A$88,$BA$205^A71,IF(A71='Données projet'!$A$88,'Données projet'!$B$88,BD70+BC71-BL70)))</f>
        <v>228.39999999999995</v>
      </c>
      <c r="BE71" s="13">
        <f>BD71*VLOOKUP('Données projet'!$B$11,Paramètres!$A$1:$I$89,3,0)*VLOOKUP('Données projet'!$B$11,Paramètres!$A$1:$I$89,5,0)</f>
        <v>231.59759999999997</v>
      </c>
      <c r="BF71" s="13">
        <f t="shared" si="91"/>
        <v>56.627980714948151</v>
      </c>
      <c r="BG71" s="20">
        <f t="shared" si="61"/>
        <v>501.99288641186791</v>
      </c>
      <c r="BH71" s="59">
        <f t="shared" si="62"/>
        <v>795.32621974520123</v>
      </c>
      <c r="BI71" s="59">
        <f ca="1">AVERAGE(OFFSET($BH$3,0,0,'Données projet'!$E$11+1,1))-AVERAGE(OFFSET($H$3,0,0,'Données projet'!$E$11+1,1))</f>
        <v>403.50418598112844</v>
      </c>
      <c r="BJ71" s="59">
        <f t="shared" si="92"/>
        <v>254.25036207346591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50.586840394757459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50.586840394757459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636.99999999999977</v>
      </c>
      <c r="O72" s="13">
        <f>N72*VLOOKUP('Données projet'!$B$9,Paramètres!$A$1:$I$89,3,0)*VLOOKUP('Données projet'!$B$9,Paramètres!$A$1:$I$89,5,0)</f>
        <v>356.08299999999991</v>
      </c>
      <c r="P72" s="13">
        <f t="shared" si="87"/>
        <v>82.813805255716545</v>
      </c>
      <c r="Q72" s="20">
        <f t="shared" si="54"/>
        <v>764.41193582037283</v>
      </c>
      <c r="R72" s="59">
        <f t="shared" si="55"/>
        <v>1057.7452691537062</v>
      </c>
      <c r="S72" s="59">
        <f ca="1">AVERAGE(OFFSET($R$3,0,0,'Données projet'!$E$9+1,1))-AVERAGE(OFFSET($H$3,0,0,'Données projet'!$E$9+1,1))</f>
        <v>443.34220761968419</v>
      </c>
      <c r="T72" s="59">
        <f t="shared" si="88"/>
        <v>546.58234447298014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81.775450202476421</v>
      </c>
      <c r="AA72" s="21">
        <f>EXP(-LN(2)/25)*AA71+(1-EXP(-LN(2)/25))/(LN(2)/25)*Calculateur!V72*Calculateur!X72*VLOOKUP('Données projet'!$B$9,Paramètres!$A$1:$I$89,3,0)*0.475*44/12</f>
        <v>7.4400604172334344</v>
      </c>
      <c r="AB72" s="21">
        <f>EXP(-LN(2)/2)*AB71+(1-EXP(-LN(2)/2))/(LN(2)/2)*V72*Y72*VLOOKUP('Données projet'!$B$9,Paramètres!$A$1:$I$89,3,0)*0.475*44/12</f>
        <v>8.1485662777743132E-6</v>
      </c>
      <c r="AC72" s="22">
        <f t="shared" si="57"/>
        <v>89.215518768276141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212.80895999999996</v>
      </c>
      <c r="AK72" s="13">
        <f t="shared" si="89"/>
        <v>52.548938637485847</v>
      </c>
      <c r="AL72" s="20">
        <f t="shared" si="58"/>
        <v>462.16500679362099</v>
      </c>
      <c r="AM72" s="59">
        <f t="shared" si="59"/>
        <v>755.4983401269543</v>
      </c>
      <c r="AN72" s="59">
        <f ca="1">AVERAGE(OFFSET($AM$3,0,0,'Données projet'!$E$10+1,1))-AVERAGE(OFFSET($H$3,0,0,'Données projet'!$E$10+1,1))</f>
        <v>364.3481978218424</v>
      </c>
      <c r="AO72" s="59">
        <f t="shared" si="90"/>
        <v>231.36959598460686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44.253878030053045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44.253878030053045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6.8</v>
      </c>
      <c r="BD72" s="12">
        <f>IF('Données projet'!$A$88&gt;35,BD71+BC72-BL71,IF(A72&lt;'Données projet'!$A$88,$BA$205^A72,IF(A72='Données projet'!$A$88,'Données projet'!$B$88,BD71+BC72-BL71)))</f>
        <v>235.19999999999996</v>
      </c>
      <c r="BE72" s="13">
        <f>BD72*VLOOKUP('Données projet'!$B$11,Paramètres!$A$1:$I$89,3,0)*VLOOKUP('Données projet'!$B$11,Paramètres!$A$1:$I$89,5,0)</f>
        <v>238.49279999999996</v>
      </c>
      <c r="BF72" s="13">
        <f t="shared" si="91"/>
        <v>58.115130258576542</v>
      </c>
      <c r="BG72" s="20">
        <f t="shared" si="61"/>
        <v>516.59214520035414</v>
      </c>
      <c r="BH72" s="59">
        <f t="shared" si="62"/>
        <v>809.92547853368751</v>
      </c>
      <c r="BI72" s="59">
        <f ca="1">AVERAGE(OFFSET($BH$3,0,0,'Données projet'!$E$11+1,1))-AVERAGE(OFFSET($H$3,0,0,'Données projet'!$E$11+1,1))</f>
        <v>403.50418598112844</v>
      </c>
      <c r="BJ72" s="59">
        <f t="shared" si="92"/>
        <v>254.25036207346591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49.594863309542234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49.594863309542234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636.99999999999977</v>
      </c>
      <c r="O73" s="13">
        <f>N73*VLOOKUP('Données projet'!$B$9,Paramètres!$A$1:$I$89,3,0)*VLOOKUP('Données projet'!$B$9,Paramètres!$A$1:$I$89,5,0)</f>
        <v>356.08299999999991</v>
      </c>
      <c r="P73" s="13">
        <f t="shared" si="87"/>
        <v>82.813805255716545</v>
      </c>
      <c r="Q73" s="20">
        <f t="shared" si="54"/>
        <v>764.41193582037283</v>
      </c>
      <c r="R73" s="59">
        <f t="shared" si="55"/>
        <v>1057.7452691537062</v>
      </c>
      <c r="S73" s="59">
        <f ca="1">AVERAGE(OFFSET($R$3,0,0,'Données projet'!$E$9+1,1))-AVERAGE(OFFSET($H$3,0,0,'Données projet'!$E$9+1,1))</f>
        <v>443.34220761968419</v>
      </c>
      <c r="T73" s="59">
        <f t="shared" si="88"/>
        <v>546.58234447298014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80.17188350210543</v>
      </c>
      <c r="AA73" s="21">
        <f>EXP(-LN(2)/25)*AA72+(1-EXP(-LN(2)/25))/(LN(2)/25)*Calculateur!V73*Calculateur!X73*VLOOKUP('Données projet'!$B$9,Paramètres!$A$1:$I$89,3,0)*0.475*44/12</f>
        <v>7.2366115738684131</v>
      </c>
      <c r="AB73" s="21">
        <f>EXP(-LN(2)/2)*AB72+(1-EXP(-LN(2)/2))/(LN(2)/2)*V73*Y73*VLOOKUP('Données projet'!$B$9,Paramètres!$A$1:$I$89,3,0)*0.475*44/12</f>
        <v>5.7619064719622414E-6</v>
      </c>
      <c r="AC73" s="22">
        <f t="shared" si="57"/>
        <v>87.408500837880325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218.96159999999998</v>
      </c>
      <c r="AK73" s="13">
        <f t="shared" si="89"/>
        <v>53.88913250370743</v>
      </c>
      <c r="AL73" s="20">
        <f t="shared" si="58"/>
        <v>475.21502577729035</v>
      </c>
      <c r="AM73" s="59">
        <f t="shared" si="59"/>
        <v>768.54835911062366</v>
      </c>
      <c r="AN73" s="59">
        <f ca="1">AVERAGE(OFFSET($AM$3,0,0,'Données projet'!$E$10+1,1))-AVERAGE(OFFSET($H$3,0,0,'Données projet'!$E$10+1,1))</f>
        <v>364.3481978218424</v>
      </c>
      <c r="AO73" s="59">
        <f t="shared" si="90"/>
        <v>231.36959598460686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0.43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52.418159756678804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52.418159756678804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242</v>
      </c>
      <c r="BB73" s="12">
        <f>VLOOKUP(A73,'Données projet'!$A$87:$I$107,9,0)</f>
        <v>6.8</v>
      </c>
      <c r="BC73" s="12">
        <f t="array" ref="BC73">INDEX(BB:BB,MIN(IF(ISNUMBER(BB73:BB269),ROW(BB73:BB269),"")))</f>
        <v>6.8</v>
      </c>
      <c r="BD73" s="12">
        <f>IF('Données projet'!$A$88&gt;35,BD72+BC73-BL72,IF(A73&lt;'Données projet'!$A$88,$BA$205^A73,IF(A73='Données projet'!$A$88,'Données projet'!$B$88,BD72+BC73-BL72)))</f>
        <v>241.99999999999997</v>
      </c>
      <c r="BE73" s="13">
        <f>BD73*VLOOKUP('Données projet'!$B$11,Paramètres!$A$1:$I$89,3,0)*VLOOKUP('Données projet'!$B$11,Paramètres!$A$1:$I$89,5,0)</f>
        <v>245.38799999999998</v>
      </c>
      <c r="BF73" s="13">
        <f t="shared" si="91"/>
        <v>59.597282764919569</v>
      </c>
      <c r="BG73" s="20">
        <f t="shared" si="61"/>
        <v>531.18270081556818</v>
      </c>
      <c r="BH73" s="59">
        <f t="shared" si="62"/>
        <v>824.51603414890155</v>
      </c>
      <c r="BI73" s="59">
        <f ca="1">AVERAGE(OFFSET($BH$3,0,0,'Données projet'!$E$11+1,1))-AVERAGE(OFFSET($H$3,0,0,'Données projet'!$E$11+1,1))</f>
        <v>403.50418598112844</v>
      </c>
      <c r="BJ73" s="59">
        <f t="shared" si="92"/>
        <v>254.25036207346591</v>
      </c>
      <c r="BK73" s="15">
        <f>IF(ISNA(VLOOKUP(A73,'Données projet'!$A$87:$I$107,3,0)),0,VLOOKUP(A73,'Données projet'!$A$87:$I$107,3,0))</f>
        <v>10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0.43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58.744489382484893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58.744489382484893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636.99999999999977</v>
      </c>
      <c r="O74" s="13">
        <f>N74*VLOOKUP('Données projet'!$B$9,Paramètres!$A$1:$I$89,3,0)*VLOOKUP('Données projet'!$B$9,Paramètres!$A$1:$I$89,5,0)</f>
        <v>356.08299999999991</v>
      </c>
      <c r="P74" s="13">
        <f t="shared" si="87"/>
        <v>82.813805255716545</v>
      </c>
      <c r="Q74" s="20">
        <f t="shared" si="54"/>
        <v>764.41193582037283</v>
      </c>
      <c r="R74" s="59">
        <f t="shared" si="55"/>
        <v>1057.7452691537062</v>
      </c>
      <c r="S74" s="59">
        <f ca="1">AVERAGE(OFFSET($R$3,0,0,'Données projet'!$E$9+1,1))-AVERAGE(OFFSET($H$3,0,0,'Données projet'!$E$9+1,1))</f>
        <v>443.34220761968419</v>
      </c>
      <c r="T74" s="59">
        <f t="shared" si="88"/>
        <v>546.58234447298014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78.599761766649607</v>
      </c>
      <c r="AA74" s="21">
        <f>EXP(-LN(2)/25)*AA73+(1-EXP(-LN(2)/25))/(LN(2)/25)*Calculateur!V74*Calculateur!X74*VLOOKUP('Données projet'!$B$9,Paramètres!$A$1:$I$89,3,0)*0.475*44/12</f>
        <v>7.0387260498241186</v>
      </c>
      <c r="AB74" s="21">
        <f>EXP(-LN(2)/2)*AB73+(1-EXP(-LN(2)/2))/(LN(2)/2)*V74*Y74*VLOOKUP('Données projet'!$B$9,Paramètres!$A$1:$I$89,3,0)*0.475*44/12</f>
        <v>4.0742831388871566E-6</v>
      </c>
      <c r="AC74" s="22">
        <f t="shared" si="57"/>
        <v>85.638491890756868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205.57055999999997</v>
      </c>
      <c r="AK74" s="13">
        <f t="shared" si="89"/>
        <v>50.966443946767392</v>
      </c>
      <c r="AL74" s="20">
        <f t="shared" si="58"/>
        <v>446.80194854061978</v>
      </c>
      <c r="AM74" s="59">
        <f t="shared" si="59"/>
        <v>740.13528187395309</v>
      </c>
      <c r="AN74" s="59">
        <f ca="1">AVERAGE(OFFSET($AM$3,0,0,'Données projet'!$E$10+1,1))-AVERAGE(OFFSET($H$3,0,0,'Données projet'!$E$10+1,1))</f>
        <v>364.3481978218424</v>
      </c>
      <c r="AO74" s="59">
        <f t="shared" si="90"/>
        <v>231.36959598460686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51.390271615770821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51.390271615770821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227.19999999999996</v>
      </c>
      <c r="BE74" s="13">
        <f>BD74*VLOOKUP('Données projet'!$B$11,Paramètres!$A$1:$I$89,3,0)*VLOOKUP('Données projet'!$B$11,Paramètres!$A$1:$I$89,5,0)</f>
        <v>230.38079999999997</v>
      </c>
      <c r="BF74" s="13">
        <f t="shared" si="91"/>
        <v>56.365011465139979</v>
      </c>
      <c r="BG74" s="20">
        <f t="shared" si="61"/>
        <v>499.41562163511867</v>
      </c>
      <c r="BH74" s="59">
        <f t="shared" si="62"/>
        <v>792.74895496845193</v>
      </c>
      <c r="BI74" s="59">
        <f ca="1">AVERAGE(OFFSET($BH$3,0,0,'Données projet'!$E$11+1,1))-AVERAGE(OFFSET($H$3,0,0,'Données projet'!$E$11+1,1))</f>
        <v>403.50418598112844</v>
      </c>
      <c r="BJ74" s="59">
        <f t="shared" si="92"/>
        <v>254.25036207346591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57.592545776294912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57.592545776294912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636.99999999999977</v>
      </c>
      <c r="O75" s="13">
        <f>N75*VLOOKUP('Données projet'!$B$9,Paramètres!$A$1:$I$89,3,0)*VLOOKUP('Données projet'!$B$9,Paramètres!$A$1:$I$89,5,0)</f>
        <v>356.08299999999991</v>
      </c>
      <c r="P75" s="13">
        <f t="shared" si="87"/>
        <v>82.813805255716545</v>
      </c>
      <c r="Q75" s="20">
        <f t="shared" si="54"/>
        <v>764.41193582037283</v>
      </c>
      <c r="R75" s="59">
        <f t="shared" si="55"/>
        <v>1057.7452691537062</v>
      </c>
      <c r="S75" s="59">
        <f ca="1">AVERAGE(OFFSET($R$3,0,0,'Données projet'!$E$9+1,1))-AVERAGE(OFFSET($H$3,0,0,'Données projet'!$E$9+1,1))</f>
        <v>443.34220761968419</v>
      </c>
      <c r="T75" s="59">
        <f t="shared" si="88"/>
        <v>546.58234447298014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77.058468379526488</v>
      </c>
      <c r="AA75" s="21">
        <f>EXP(-LN(2)/25)*AA74+(1-EXP(-LN(2)/25))/(LN(2)/25)*Calculateur!V75*Calculateur!X75*VLOOKUP('Données projet'!$B$9,Paramètres!$A$1:$I$89,3,0)*0.475*44/12</f>
        <v>6.846251715841162</v>
      </c>
      <c r="AB75" s="21">
        <f>EXP(-LN(2)/2)*AB74+(1-EXP(-LN(2)/2))/(LN(2)/2)*V75*Y75*VLOOKUP('Données projet'!$B$9,Paramètres!$A$1:$I$89,3,0)*0.475*44/12</f>
        <v>2.8809532359811207E-6</v>
      </c>
      <c r="AC75" s="22">
        <f t="shared" si="57"/>
        <v>83.904722976320883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211.18031999999994</v>
      </c>
      <c r="AK75" s="13">
        <f t="shared" si="89"/>
        <v>52.193431117443019</v>
      </c>
      <c r="AL75" s="20">
        <f t="shared" si="58"/>
        <v>458.70928319621316</v>
      </c>
      <c r="AM75" s="59">
        <f t="shared" si="59"/>
        <v>752.04261652954642</v>
      </c>
      <c r="AN75" s="59">
        <f ca="1">AVERAGE(OFFSET($AM$3,0,0,'Données projet'!$E$10+1,1))-AVERAGE(OFFSET($H$3,0,0,'Données projet'!$E$10+1,1))</f>
        <v>364.3481978218424</v>
      </c>
      <c r="AO75" s="59">
        <f t="shared" si="90"/>
        <v>231.36959598460686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50.382539734356179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50.382539734356179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233.39999999999995</v>
      </c>
      <c r="BE75" s="13">
        <f>BD75*VLOOKUP('Données projet'!$B$11,Paramètres!$A$1:$I$89,3,0)*VLOOKUP('Données projet'!$B$11,Paramètres!$A$1:$I$89,5,0)</f>
        <v>236.66759999999996</v>
      </c>
      <c r="BF75" s="13">
        <f t="shared" si="91"/>
        <v>57.721965974560838</v>
      </c>
      <c r="BG75" s="20">
        <f t="shared" si="61"/>
        <v>512.72849407236004</v>
      </c>
      <c r="BH75" s="59">
        <f t="shared" si="62"/>
        <v>806.06182740569329</v>
      </c>
      <c r="BI75" s="59">
        <f ca="1">AVERAGE(OFFSET($BH$3,0,0,'Données projet'!$E$11+1,1))-AVERAGE(OFFSET($H$3,0,0,'Données projet'!$E$11+1,1))</f>
        <v>403.50418598112844</v>
      </c>
      <c r="BJ75" s="59">
        <f t="shared" si="92"/>
        <v>254.25036207346591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56.463191081606091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56.463191081606091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636.99999999999977</v>
      </c>
      <c r="O76" s="13">
        <f>N76*VLOOKUP('Données projet'!$B$9,Paramètres!$A$1:$I$89,3,0)*VLOOKUP('Données projet'!$B$9,Paramètres!$A$1:$I$89,5,0)</f>
        <v>356.08299999999991</v>
      </c>
      <c r="P76" s="13">
        <f t="shared" si="87"/>
        <v>82.813805255716545</v>
      </c>
      <c r="Q76" s="20">
        <f t="shared" si="54"/>
        <v>764.41193582037283</v>
      </c>
      <c r="R76" s="59">
        <f t="shared" si="55"/>
        <v>1057.7452691537062</v>
      </c>
      <c r="S76" s="59">
        <f ca="1">AVERAGE(OFFSET($R$3,0,0,'Données projet'!$E$9+1,1))-AVERAGE(OFFSET($H$3,0,0,'Données projet'!$E$9+1,1))</f>
        <v>443.34220761968419</v>
      </c>
      <c r="T76" s="59">
        <f t="shared" si="88"/>
        <v>546.58234447298014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75.547398815628725</v>
      </c>
      <c r="AA76" s="21">
        <f>EXP(-LN(2)/25)*AA75+(1-EXP(-LN(2)/25))/(LN(2)/25)*Calculateur!V76*Calculateur!X76*VLOOKUP('Données projet'!$B$9,Paramètres!$A$1:$I$89,3,0)*0.475*44/12</f>
        <v>6.6590406026427553</v>
      </c>
      <c r="AB76" s="21">
        <f>EXP(-LN(2)/2)*AB75+(1-EXP(-LN(2)/2))/(LN(2)/2)*V76*Y76*VLOOKUP('Données projet'!$B$9,Paramètres!$A$1:$I$89,3,0)*0.475*44/12</f>
        <v>2.0371415694435783E-6</v>
      </c>
      <c r="AC76" s="22">
        <f t="shared" si="57"/>
        <v>82.206441455413056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216.79007999999996</v>
      </c>
      <c r="AK76" s="13">
        <f t="shared" si="89"/>
        <v>53.416629794462551</v>
      </c>
      <c r="AL76" s="20">
        <f t="shared" si="58"/>
        <v>470.61001955868886</v>
      </c>
      <c r="AM76" s="59">
        <f t="shared" si="59"/>
        <v>763.94335289202218</v>
      </c>
      <c r="AN76" s="59">
        <f ca="1">AVERAGE(OFFSET($AM$3,0,0,'Données projet'!$E$10+1,1))-AVERAGE(OFFSET($H$3,0,0,'Données projet'!$E$10+1,1))</f>
        <v>364.3481978218424</v>
      </c>
      <c r="AO76" s="59">
        <f t="shared" si="90"/>
        <v>231.36959598460686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49.394568860480327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49.394568860480327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239.59999999999994</v>
      </c>
      <c r="BE76" s="13">
        <f>BD76*VLOOKUP('Données projet'!$B$11,Paramètres!$A$1:$I$89,3,0)*VLOOKUP('Données projet'!$B$11,Paramètres!$A$1:$I$89,5,0)</f>
        <v>242.95439999999994</v>
      </c>
      <c r="BF76" s="13">
        <f t="shared" si="91"/>
        <v>59.074730698078945</v>
      </c>
      <c r="BG76" s="20">
        <f t="shared" si="61"/>
        <v>526.034069299154</v>
      </c>
      <c r="BH76" s="59">
        <f t="shared" si="62"/>
        <v>819.36740263248726</v>
      </c>
      <c r="BI76" s="59">
        <f ca="1">AVERAGE(OFFSET($BH$3,0,0,'Données projet'!$E$11+1,1))-AVERAGE(OFFSET($H$3,0,0,'Données projet'!$E$11+1,1))</f>
        <v>403.50418598112844</v>
      </c>
      <c r="BJ76" s="59">
        <f t="shared" si="92"/>
        <v>254.25036207346591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55.35598234364177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55.35598234364177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636.99999999999977</v>
      </c>
      <c r="O77" s="13">
        <f>N77*VLOOKUP('Données projet'!$B$9,Paramètres!$A$1:$I$89,3,0)*VLOOKUP('Données projet'!$B$9,Paramètres!$A$1:$I$89,5,0)</f>
        <v>356.08299999999991</v>
      </c>
      <c r="P77" s="13">
        <f t="shared" si="87"/>
        <v>82.813805255716545</v>
      </c>
      <c r="Q77" s="20">
        <f t="shared" si="54"/>
        <v>764.41193582037283</v>
      </c>
      <c r="R77" s="59">
        <f t="shared" si="55"/>
        <v>1057.7452691537062</v>
      </c>
      <c r="S77" s="59">
        <f ca="1">AVERAGE(OFFSET($R$3,0,0,'Données projet'!$E$9+1,1))-AVERAGE(OFFSET($H$3,0,0,'Données projet'!$E$9+1,1))</f>
        <v>443.34220761968419</v>
      </c>
      <c r="T77" s="59">
        <f t="shared" si="88"/>
        <v>546.58234447298014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74.065960404217563</v>
      </c>
      <c r="AA77" s="21">
        <f>EXP(-LN(2)/25)*AA76+(1-EXP(-LN(2)/25))/(LN(2)/25)*Calculateur!V77*Calculateur!X77*VLOOKUP('Données projet'!$B$9,Paramètres!$A$1:$I$89,3,0)*0.475*44/12</f>
        <v>6.4769487871797633</v>
      </c>
      <c r="AB77" s="21">
        <f>EXP(-LN(2)/2)*AB76+(1-EXP(-LN(2)/2))/(LN(2)/2)*V77*Y77*VLOOKUP('Données projet'!$B$9,Paramètres!$A$1:$I$89,3,0)*0.475*44/12</f>
        <v>1.4404766179905604E-6</v>
      </c>
      <c r="AC77" s="22">
        <f t="shared" si="57"/>
        <v>80.542910631873951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222.3998399999999</v>
      </c>
      <c r="AK77" s="13">
        <f t="shared" si="89"/>
        <v>54.636149281681448</v>
      </c>
      <c r="AL77" s="20">
        <f t="shared" si="58"/>
        <v>482.50434799892832</v>
      </c>
      <c r="AM77" s="59">
        <f t="shared" si="59"/>
        <v>775.83768133226158</v>
      </c>
      <c r="AN77" s="59">
        <f ca="1">AVERAGE(OFFSET($AM$3,0,0,'Données projet'!$E$10+1,1))-AVERAGE(OFFSET($H$3,0,0,'Données projet'!$E$10+1,1))</f>
        <v>364.3481978218424</v>
      </c>
      <c r="AO77" s="59">
        <f t="shared" si="90"/>
        <v>231.36959598460686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48.42597149283845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48.42597149283845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245.79999999999993</v>
      </c>
      <c r="BE77" s="13">
        <f>BD77*VLOOKUP('Données projet'!$B$11,Paramètres!$A$1:$I$89,3,0)*VLOOKUP('Données projet'!$B$11,Paramètres!$A$1:$I$89,5,0)</f>
        <v>249.24119999999994</v>
      </c>
      <c r="BF77" s="13">
        <f t="shared" si="91"/>
        <v>60.42342651744692</v>
      </c>
      <c r="BG77" s="20">
        <f t="shared" si="61"/>
        <v>539.33255785121992</v>
      </c>
      <c r="BH77" s="59">
        <f t="shared" si="62"/>
        <v>832.66589118455317</v>
      </c>
      <c r="BI77" s="59">
        <f ca="1">AVERAGE(OFFSET($BH$3,0,0,'Données projet'!$E$11+1,1))-AVERAGE(OFFSET($H$3,0,0,'Données projet'!$E$11+1,1))</f>
        <v>403.50418598112844</v>
      </c>
      <c r="BJ77" s="59">
        <f t="shared" si="92"/>
        <v>254.25036207346591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54.270485293698286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54.270485293698286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636.99999999999977</v>
      </c>
      <c r="O78" s="13">
        <f>N78*VLOOKUP('Données projet'!$B$9,Paramètres!$A$1:$I$89,3,0)*VLOOKUP('Données projet'!$B$9,Paramètres!$A$1:$I$89,5,0)</f>
        <v>356.08299999999991</v>
      </c>
      <c r="P78" s="13">
        <f t="shared" si="87"/>
        <v>82.813805255716545</v>
      </c>
      <c r="Q78" s="20">
        <f t="shared" si="54"/>
        <v>764.41193582037283</v>
      </c>
      <c r="R78" s="59">
        <f t="shared" si="55"/>
        <v>1057.7452691537062</v>
      </c>
      <c r="S78" s="59">
        <f ca="1">AVERAGE(OFFSET($R$3,0,0,'Données projet'!$E$9+1,1))-AVERAGE(OFFSET($H$3,0,0,'Données projet'!$E$9+1,1))</f>
        <v>443.34220761968419</v>
      </c>
      <c r="T78" s="59">
        <f t="shared" si="88"/>
        <v>546.58234447298014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72.613572096465973</v>
      </c>
      <c r="AA78" s="21">
        <f>EXP(-LN(2)/25)*AA77+(1-EXP(-LN(2)/25))/(LN(2)/25)*Calculateur!V78*Calculateur!X78*VLOOKUP('Données projet'!$B$9,Paramètres!$A$1:$I$89,3,0)*0.475*44/12</f>
        <v>6.2998362819863996</v>
      </c>
      <c r="AB78" s="21">
        <f>EXP(-LN(2)/2)*AB77+(1-EXP(-LN(2)/2))/(LN(2)/2)*V78*Y78*VLOOKUP('Données projet'!$B$9,Paramètres!$A$1:$I$89,3,0)*0.475*44/12</f>
        <v>1.0185707847217892E-6</v>
      </c>
      <c r="AC78" s="22">
        <f t="shared" si="57"/>
        <v>78.913409397023159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228.00959999999992</v>
      </c>
      <c r="AK78" s="13">
        <f t="shared" si="89"/>
        <v>55.852093054619829</v>
      </c>
      <c r="AL78" s="20">
        <f t="shared" si="58"/>
        <v>494.3924487367961</v>
      </c>
      <c r="AM78" s="59">
        <f t="shared" si="59"/>
        <v>787.72578207012941</v>
      </c>
      <c r="AN78" s="59">
        <f ca="1">AVERAGE(OFFSET($AM$3,0,0,'Données projet'!$E$10+1,1))-AVERAGE(OFFSET($H$3,0,0,'Données projet'!$E$10+1,1))</f>
        <v>364.3481978218424</v>
      </c>
      <c r="AO78" s="59">
        <f t="shared" si="90"/>
        <v>231.36959598460686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0.43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56.508441011384726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56.508441011384726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252</v>
      </c>
      <c r="BB78" s="12">
        <f>VLOOKUP(A78,'Données projet'!$A$87:$I$107,9,0)</f>
        <v>6.2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251.99999999999991</v>
      </c>
      <c r="BE78" s="13">
        <f>BD78*VLOOKUP('Données projet'!$B$11,Paramètres!$A$1:$I$89,3,0)*VLOOKUP('Données projet'!$B$11,Paramètres!$A$1:$I$89,5,0)</f>
        <v>255.52799999999993</v>
      </c>
      <c r="BF78" s="13">
        <f t="shared" si="91"/>
        <v>61.768167868721477</v>
      </c>
      <c r="BG78" s="20">
        <f t="shared" si="61"/>
        <v>552.62415903802309</v>
      </c>
      <c r="BH78" s="59">
        <f t="shared" si="62"/>
        <v>845.95749237135647</v>
      </c>
      <c r="BI78" s="59">
        <f ca="1">AVERAGE(OFFSET($BH$3,0,0,'Données projet'!$E$11+1,1))-AVERAGE(OFFSET($H$3,0,0,'Données projet'!$E$11+1,1))</f>
        <v>403.50418598112844</v>
      </c>
      <c r="BJ78" s="59">
        <f t="shared" si="92"/>
        <v>254.25036207346591</v>
      </c>
      <c r="BK78" s="15">
        <f>IF(ISNA(VLOOKUP(A78,'Données projet'!$A$87:$I$107,3,0)),0,VLOOKUP(A78,'Données projet'!$A$87:$I$107,3,0))</f>
        <v>11</v>
      </c>
      <c r="BL78" s="15">
        <f>IF(ISNA(VLOOKUP(A78,'Données projet'!$A$87:$I$107,4,0)),0,VLOOKUP(A78,'Données projet'!$A$87:$I$107,4,0))</f>
        <v>21</v>
      </c>
      <c r="BM78" s="16">
        <f>IF(ISNA(VLOOKUP(A78,'Données projet'!$A$87:$I$107,5,0)),0%,VLOOKUP(A78,'Données projet'!$A$87:$I$107,5,0)*VLOOKUP('Données projet'!$B$11,Paramètres!$A$1:$I$89,7,0))</f>
        <v>0.43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63.328425271379459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63.328425271379459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636.99999999999977</v>
      </c>
      <c r="O79" s="13">
        <f>N79*VLOOKUP('Données projet'!$B$9,Paramètres!$A$1:$I$89,3,0)*VLOOKUP('Données projet'!$B$9,Paramètres!$A$1:$I$89,5,0)</f>
        <v>356.08299999999991</v>
      </c>
      <c r="P79" s="13">
        <f t="shared" si="87"/>
        <v>82.813805255716545</v>
      </c>
      <c r="Q79" s="20">
        <f t="shared" si="54"/>
        <v>764.41193582037283</v>
      </c>
      <c r="R79" s="59">
        <f t="shared" si="55"/>
        <v>1057.7452691537062</v>
      </c>
      <c r="S79" s="59">
        <f ca="1">AVERAGE(OFFSET($R$3,0,0,'Données projet'!$E$9+1,1))-AVERAGE(OFFSET($H$3,0,0,'Données projet'!$E$9+1,1))</f>
        <v>443.34220761968419</v>
      </c>
      <c r="T79" s="59">
        <f t="shared" si="88"/>
        <v>546.58234447298014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71.189664237559995</v>
      </c>
      <c r="AA79" s="21">
        <f>EXP(-LN(2)/25)*AA78+(1-EXP(-LN(2)/25))/(LN(2)/25)*Calculateur!V79*Calculateur!X79*VLOOKUP('Données projet'!$B$9,Paramètres!$A$1:$I$89,3,0)*0.475*44/12</f>
        <v>6.1275669275614897</v>
      </c>
      <c r="AB79" s="21">
        <f>EXP(-LN(2)/2)*AB78+(1-EXP(-LN(2)/2))/(LN(2)/2)*V79*Y79*VLOOKUP('Données projet'!$B$9,Paramètres!$A$1:$I$89,3,0)*0.475*44/12</f>
        <v>7.2023830899528018E-7</v>
      </c>
      <c r="AC79" s="22">
        <f t="shared" si="57"/>
        <v>77.317231885359789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214.43759999999989</v>
      </c>
      <c r="AK79" s="13">
        <f t="shared" si="89"/>
        <v>52.904129603372375</v>
      </c>
      <c r="AL79" s="20">
        <f t="shared" si="58"/>
        <v>465.62017905920658</v>
      </c>
      <c r="AM79" s="59">
        <f t="shared" si="59"/>
        <v>758.95351239253989</v>
      </c>
      <c r="AN79" s="59">
        <f ca="1">AVERAGE(OFFSET($AM$3,0,0,'Données projet'!$E$10+1,1))-AVERAGE(OFFSET($H$3,0,0,'Données projet'!$E$10+1,1))</f>
        <v>364.3481978218424</v>
      </c>
      <c r="AO79" s="59">
        <f t="shared" si="90"/>
        <v>231.36959598460686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55.400344949897182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55.400344949897182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236.99999999999989</v>
      </c>
      <c r="BE79" s="13">
        <f>BD79*VLOOKUP('Données projet'!$B$11,Paramètres!$A$1:$I$89,3,0)*VLOOKUP('Données projet'!$B$11,Paramètres!$A$1:$I$89,5,0)</f>
        <v>240.3179999999999</v>
      </c>
      <c r="BF79" s="13">
        <f t="shared" si="91"/>
        <v>58.507944457766484</v>
      </c>
      <c r="BG79" s="20">
        <f t="shared" si="61"/>
        <v>520.45518659727634</v>
      </c>
      <c r="BH79" s="59">
        <f t="shared" si="62"/>
        <v>813.78851993060971</v>
      </c>
      <c r="BI79" s="59">
        <f ca="1">AVERAGE(OFFSET($BH$3,0,0,'Données projet'!$E$11+1,1))-AVERAGE(OFFSET($H$3,0,0,'Données projet'!$E$11+1,1))</f>
        <v>403.50418598112844</v>
      </c>
      <c r="BJ79" s="59">
        <f t="shared" si="92"/>
        <v>254.25036207346591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62.086593478333072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62.086593478333072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636.99999999999977</v>
      </c>
      <c r="O80" s="13">
        <f>N80*VLOOKUP('Données projet'!$B$9,Paramètres!$A$1:$I$89,3,0)*VLOOKUP('Données projet'!$B$9,Paramètres!$A$1:$I$89,5,0)</f>
        <v>356.08299999999991</v>
      </c>
      <c r="P80" s="13">
        <f t="shared" si="87"/>
        <v>82.813805255716545</v>
      </c>
      <c r="Q80" s="20">
        <f t="shared" si="54"/>
        <v>764.41193582037283</v>
      </c>
      <c r="R80" s="59">
        <f t="shared" si="55"/>
        <v>1057.7452691537062</v>
      </c>
      <c r="S80" s="59">
        <f ca="1">AVERAGE(OFFSET($R$3,0,0,'Données projet'!$E$9+1,1))-AVERAGE(OFFSET($H$3,0,0,'Données projet'!$E$9+1,1))</f>
        <v>443.34220761968419</v>
      </c>
      <c r="T80" s="59">
        <f t="shared" si="88"/>
        <v>546.58234447298014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69.793678343269121</v>
      </c>
      <c r="AA80" s="21">
        <f>EXP(-LN(2)/25)*AA79+(1-EXP(-LN(2)/25))/(LN(2)/25)*Calculateur!V80*Calculateur!X80*VLOOKUP('Données projet'!$B$9,Paramètres!$A$1:$I$89,3,0)*0.475*44/12</f>
        <v>5.9600082876925811</v>
      </c>
      <c r="AB80" s="21">
        <f>EXP(-LN(2)/2)*AB79+(1-EXP(-LN(2)/2))/(LN(2)/2)*V80*Y80*VLOOKUP('Données projet'!$B$9,Paramètres!$A$1:$I$89,3,0)*0.475*44/12</f>
        <v>5.0928539236089458E-7</v>
      </c>
      <c r="AC80" s="22">
        <f t="shared" si="57"/>
        <v>75.753687140247095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219.86639999999989</v>
      </c>
      <c r="AK80" s="13">
        <f t="shared" si="89"/>
        <v>54.085847394182416</v>
      </c>
      <c r="AL80" s="20">
        <f t="shared" si="58"/>
        <v>477.13349754486745</v>
      </c>
      <c r="AM80" s="59">
        <f t="shared" si="59"/>
        <v>770.46683087820077</v>
      </c>
      <c r="AN80" s="59">
        <f ca="1">AVERAGE(OFFSET($AM$3,0,0,'Données projet'!$E$10+1,1))-AVERAGE(OFFSET($H$3,0,0,'Données projet'!$E$10+1,1))</f>
        <v>364.3481978218424</v>
      </c>
      <c r="AO80" s="59">
        <f t="shared" si="90"/>
        <v>231.36959598460686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54.313977976303548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54.313977976303548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242.99999999999989</v>
      </c>
      <c r="BE80" s="13">
        <f>BD80*VLOOKUP('Données projet'!$B$11,Paramètres!$A$1:$I$89,3,0)*VLOOKUP('Données projet'!$B$11,Paramètres!$A$1:$I$89,5,0)</f>
        <v>246.4019999999999</v>
      </c>
      <c r="BF80" s="13">
        <f t="shared" si="91"/>
        <v>59.814834475385474</v>
      </c>
      <c r="BG80" s="20">
        <f t="shared" si="61"/>
        <v>533.32765337796286</v>
      </c>
      <c r="BH80" s="59">
        <f t="shared" si="62"/>
        <v>826.66098671129612</v>
      </c>
      <c r="BI80" s="59">
        <f ca="1">AVERAGE(OFFSET($BH$3,0,0,'Données projet'!$E$11+1,1))-AVERAGE(OFFSET($H$3,0,0,'Données projet'!$E$11+1,1))</f>
        <v>403.50418598112844</v>
      </c>
      <c r="BJ80" s="59">
        <f t="shared" si="92"/>
        <v>254.25036207346591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60.86911324930572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60.86911324930572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636.99999999999977</v>
      </c>
      <c r="O81" s="13">
        <f>N81*VLOOKUP('Données projet'!$B$9,Paramètres!$A$1:$I$89,3,0)*VLOOKUP('Données projet'!$B$9,Paramètres!$A$1:$I$89,5,0)</f>
        <v>356.08299999999991</v>
      </c>
      <c r="P81" s="13">
        <f t="shared" si="87"/>
        <v>82.813805255716545</v>
      </c>
      <c r="Q81" s="20">
        <f t="shared" si="54"/>
        <v>764.41193582037283</v>
      </c>
      <c r="R81" s="59">
        <f t="shared" si="55"/>
        <v>1057.7452691537062</v>
      </c>
      <c r="S81" s="59">
        <f ca="1">AVERAGE(OFFSET($R$3,0,0,'Données projet'!$E$9+1,1))-AVERAGE(OFFSET($H$3,0,0,'Données projet'!$E$9+1,1))</f>
        <v>443.34220761968419</v>
      </c>
      <c r="T81" s="59">
        <f t="shared" si="88"/>
        <v>546.58234447298014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68.425066880897973</v>
      </c>
      <c r="AA81" s="21">
        <f>EXP(-LN(2)/25)*AA80+(1-EXP(-LN(2)/25))/(LN(2)/25)*Calculateur!V81*Calculateur!X81*VLOOKUP('Données projet'!$B$9,Paramètres!$A$1:$I$89,3,0)*0.475*44/12</f>
        <v>5.7970315476424137</v>
      </c>
      <c r="AB81" s="21">
        <f>EXP(-LN(2)/2)*AB80+(1-EXP(-LN(2)/2))/(LN(2)/2)*V81*Y81*VLOOKUP('Données projet'!$B$9,Paramètres!$A$1:$I$89,3,0)*0.475*44/12</f>
        <v>3.6011915449764009E-7</v>
      </c>
      <c r="AC81" s="22">
        <f t="shared" si="57"/>
        <v>74.222098788659551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225.29519999999991</v>
      </c>
      <c r="AK81" s="13">
        <f t="shared" si="89"/>
        <v>55.264173352293078</v>
      </c>
      <c r="AL81" s="20">
        <f t="shared" si="58"/>
        <v>488.64090858857691</v>
      </c>
      <c r="AM81" s="59">
        <f t="shared" si="59"/>
        <v>781.97424192191022</v>
      </c>
      <c r="AN81" s="59">
        <f ca="1">AVERAGE(OFFSET($AM$3,0,0,'Données projet'!$E$10+1,1))-AVERAGE(OFFSET($H$3,0,0,'Données projet'!$E$10+1,1))</f>
        <v>364.3481978218424</v>
      </c>
      <c r="AO81" s="59">
        <f t="shared" si="90"/>
        <v>231.36959598460686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53.248913996443655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53.248913996443655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248.99999999999989</v>
      </c>
      <c r="BE81" s="13">
        <f>BD81*VLOOKUP('Données projet'!$B$11,Paramètres!$A$1:$I$89,3,0)*VLOOKUP('Données projet'!$B$11,Paramètres!$A$1:$I$89,5,0)</f>
        <v>252.4859999999999</v>
      </c>
      <c r="BF81" s="13">
        <f t="shared" si="91"/>
        <v>61.117973383957384</v>
      </c>
      <c r="BG81" s="20">
        <f t="shared" si="61"/>
        <v>546.193586977059</v>
      </c>
      <c r="BH81" s="59">
        <f t="shared" si="62"/>
        <v>839.52692031039237</v>
      </c>
      <c r="BI81" s="59">
        <f ca="1">AVERAGE(OFFSET($BH$3,0,0,'Données projet'!$E$11+1,1))-AVERAGE(OFFSET($H$3,0,0,'Données projet'!$E$11+1,1))</f>
        <v>403.50418598112844</v>
      </c>
      <c r="BJ81" s="59">
        <f t="shared" si="92"/>
        <v>254.25036207346591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59.675507064979982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59.675507064979982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636.99999999999977</v>
      </c>
      <c r="O82" s="13">
        <f>N82*VLOOKUP('Données projet'!$B$9,Paramètres!$A$1:$I$89,3,0)*VLOOKUP('Données projet'!$B$9,Paramètres!$A$1:$I$89,5,0)</f>
        <v>356.08299999999991</v>
      </c>
      <c r="P82" s="13">
        <f t="shared" si="87"/>
        <v>82.813805255716545</v>
      </c>
      <c r="Q82" s="20">
        <f t="shared" si="54"/>
        <v>764.41193582037283</v>
      </c>
      <c r="R82" s="59">
        <f t="shared" si="55"/>
        <v>1057.7452691537062</v>
      </c>
      <c r="S82" s="59">
        <f ca="1">AVERAGE(OFFSET($R$3,0,0,'Données projet'!$E$9+1,1))-AVERAGE(OFFSET($H$3,0,0,'Données projet'!$E$9+1,1))</f>
        <v>443.34220761968419</v>
      </c>
      <c r="T82" s="59">
        <f t="shared" si="88"/>
        <v>546.58234447298014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67.083293054533357</v>
      </c>
      <c r="AA82" s="21">
        <f>EXP(-LN(2)/25)*AA81+(1-EXP(-LN(2)/25))/(LN(2)/25)*Calculateur!V82*Calculateur!X82*VLOOKUP('Données projet'!$B$9,Paramètres!$A$1:$I$89,3,0)*0.475*44/12</f>
        <v>5.6385114151194919</v>
      </c>
      <c r="AB82" s="21">
        <f>EXP(-LN(2)/2)*AB81+(1-EXP(-LN(2)/2))/(LN(2)/2)*V82*Y82*VLOOKUP('Données projet'!$B$9,Paramètres!$A$1:$I$89,3,0)*0.475*44/12</f>
        <v>2.5464269618044729E-7</v>
      </c>
      <c r="AC82" s="22">
        <f t="shared" si="57"/>
        <v>72.721804724295552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230.72399999999988</v>
      </c>
      <c r="AK82" s="13">
        <f t="shared" si="89"/>
        <v>56.439198612082045</v>
      </c>
      <c r="AL82" s="20">
        <f t="shared" si="58"/>
        <v>500.14257091604264</v>
      </c>
      <c r="AM82" s="59">
        <f t="shared" si="59"/>
        <v>793.47590424937596</v>
      </c>
      <c r="AN82" s="59">
        <f ca="1">AVERAGE(OFFSET($AM$3,0,0,'Données projet'!$E$10+1,1))-AVERAGE(OFFSET($H$3,0,0,'Données projet'!$E$10+1,1))</f>
        <v>364.3481978218424</v>
      </c>
      <c r="AO82" s="59">
        <f t="shared" si="90"/>
        <v>231.36959598460686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52.204735271603937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52.204735271603937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254.99999999999989</v>
      </c>
      <c r="BE82" s="13">
        <f>BD82*VLOOKUP('Données projet'!$B$11,Paramètres!$A$1:$I$89,3,0)*VLOOKUP('Données projet'!$B$11,Paramètres!$A$1:$I$89,5,0)</f>
        <v>258.56999999999994</v>
      </c>
      <c r="BF82" s="13">
        <f t="shared" si="91"/>
        <v>62.417461971173843</v>
      </c>
      <c r="BG82" s="20">
        <f t="shared" si="61"/>
        <v>559.05316293312762</v>
      </c>
      <c r="BH82" s="59">
        <f t="shared" si="62"/>
        <v>852.38649626646088</v>
      </c>
      <c r="BI82" s="59">
        <f ca="1">AVERAGE(OFFSET($BH$3,0,0,'Données projet'!$E$11+1,1))-AVERAGE(OFFSET($H$3,0,0,'Données projet'!$E$11+1,1))</f>
        <v>403.50418598112844</v>
      </c>
      <c r="BJ82" s="59">
        <f t="shared" si="92"/>
        <v>254.25036207346591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58.505306769900983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58.505306769900983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636.99999999999977</v>
      </c>
      <c r="O83" s="13">
        <f>N83*VLOOKUP('Données projet'!$B$9,Paramètres!$A$1:$I$89,3,0)*VLOOKUP('Données projet'!$B$9,Paramètres!$A$1:$I$89,5,0)</f>
        <v>356.08299999999991</v>
      </c>
      <c r="P83" s="13">
        <f t="shared" si="87"/>
        <v>82.813805255716545</v>
      </c>
      <c r="Q83" s="20">
        <f t="shared" si="54"/>
        <v>764.41193582037283</v>
      </c>
      <c r="R83" s="59">
        <f t="shared" si="55"/>
        <v>1057.7452691537062</v>
      </c>
      <c r="S83" s="59">
        <f ca="1">AVERAGE(OFFSET($R$3,0,0,'Données projet'!$E$9+1,1))-AVERAGE(OFFSET($H$3,0,0,'Données projet'!$E$9+1,1))</f>
        <v>443.34220761968419</v>
      </c>
      <c r="T83" s="59">
        <f t="shared" si="88"/>
        <v>546.58234447298014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65.767830594502527</v>
      </c>
      <c r="AA83" s="21">
        <f>EXP(-LN(2)/25)*AA82+(1-EXP(-LN(2)/25))/(LN(2)/25)*Calculateur!V83*Calculateur!X83*VLOOKUP('Données projet'!$B$9,Paramètres!$A$1:$I$89,3,0)*0.475*44/12</f>
        <v>5.4843260239566209</v>
      </c>
      <c r="AB83" s="21">
        <f>EXP(-LN(2)/2)*AB82+(1-EXP(-LN(2)/2))/(LN(2)/2)*V83*Y83*VLOOKUP('Données projet'!$B$9,Paramètres!$A$1:$I$89,3,0)*0.475*44/12</f>
        <v>1.8005957724882004E-7</v>
      </c>
      <c r="AC83" s="22">
        <f t="shared" si="57"/>
        <v>71.252156798518726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236.15279999999987</v>
      </c>
      <c r="AK83" s="13">
        <f t="shared" si="89"/>
        <v>57.61100977459931</v>
      </c>
      <c r="AL83" s="20">
        <f t="shared" si="58"/>
        <v>511.63863535742689</v>
      </c>
      <c r="AM83" s="59">
        <f t="shared" si="59"/>
        <v>804.97196869076015</v>
      </c>
      <c r="AN83" s="59">
        <f ca="1">AVERAGE(OFFSET($AM$3,0,0,'Données projet'!$E$10+1,1))-AVERAGE(OFFSET($H$3,0,0,'Données projet'!$E$10+1,1))</f>
        <v>364.3481978218424</v>
      </c>
      <c r="AO83" s="59">
        <f t="shared" si="90"/>
        <v>231.36959598460686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60.213105537266948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60.213105537266948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261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260.99999999999989</v>
      </c>
      <c r="BE83" s="13">
        <f>BD83*VLOOKUP('Données projet'!$B$11,Paramètres!$A$1:$I$89,3,0)*VLOOKUP('Données projet'!$B$11,Paramètres!$A$1:$I$89,5,0)</f>
        <v>264.65399999999988</v>
      </c>
      <c r="BF83" s="13">
        <f t="shared" si="91"/>
        <v>63.71339601121106</v>
      </c>
      <c r="BG83" s="20">
        <f t="shared" si="61"/>
        <v>571.90654805285897</v>
      </c>
      <c r="BH83" s="59">
        <f t="shared" si="62"/>
        <v>865.23988138619234</v>
      </c>
      <c r="BI83" s="59">
        <f ca="1">AVERAGE(OFFSET($BH$3,0,0,'Données projet'!$E$11+1,1))-AVERAGE(OFFSET($H$3,0,0,'Données projet'!$E$11+1,1))</f>
        <v>403.50418598112844</v>
      </c>
      <c r="BJ83" s="59">
        <f t="shared" si="92"/>
        <v>254.25036207346591</v>
      </c>
      <c r="BK83" s="15">
        <f>IF(ISNA(VLOOKUP(A83,'Données projet'!$A$87:$I$107,3,0)),0,VLOOKUP(A83,'Données projet'!$A$87:$I$107,3,0))</f>
        <v>12</v>
      </c>
      <c r="BL83" s="21">
        <f>IF(ISNA(VLOOKUP(A83,'Données projet'!$A$87:$I$107,4,0)),0,VLOOKUP(A83,'Données projet'!$A$87:$I$107,4,0))</f>
        <v>21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67.480204481419875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67.480204481419875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636.99999999999977</v>
      </c>
      <c r="O84" s="13">
        <f>N84*VLOOKUP('Données projet'!$B$9,Paramètres!$A$1:$I$89,3,0)*VLOOKUP('Données projet'!$B$9,Paramètres!$A$1:$I$89,5,0)</f>
        <v>356.08299999999991</v>
      </c>
      <c r="P84" s="13">
        <f t="shared" si="87"/>
        <v>82.813805255716545</v>
      </c>
      <c r="Q84" s="20">
        <f t="shared" si="54"/>
        <v>764.41193582037283</v>
      </c>
      <c r="R84" s="59">
        <f t="shared" si="55"/>
        <v>1057.7452691537062</v>
      </c>
      <c r="S84" s="59">
        <f ca="1">AVERAGE(OFFSET($R$3,0,0,'Données projet'!$E$9+1,1))-AVERAGE(OFFSET($H$3,0,0,'Données projet'!$E$9+1,1))</f>
        <v>443.34220761968419</v>
      </c>
      <c r="T84" s="59">
        <f t="shared" si="88"/>
        <v>546.58234447298014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64.478163550960019</v>
      </c>
      <c r="AA84" s="21">
        <f>EXP(-LN(2)/25)*AA83+(1-EXP(-LN(2)/25))/(LN(2)/25)*Calculateur!V84*Calculateur!X84*VLOOKUP('Données projet'!$B$9,Paramètres!$A$1:$I$89,3,0)*0.475*44/12</f>
        <v>5.3343568404233563</v>
      </c>
      <c r="AB84" s="21">
        <f>EXP(-LN(2)/2)*AB83+(1-EXP(-LN(2)/2))/(LN(2)/2)*V84*Y84*VLOOKUP('Données projet'!$B$9,Paramètres!$A$1:$I$89,3,0)*0.475*44/12</f>
        <v>1.2732134809022364E-7</v>
      </c>
      <c r="AC84" s="22">
        <f t="shared" si="57"/>
        <v>69.812520518704716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222.3998399999999</v>
      </c>
      <c r="AK84" s="13">
        <f t="shared" si="89"/>
        <v>54.636149281681448</v>
      </c>
      <c r="AL84" s="20">
        <f t="shared" si="58"/>
        <v>482.50434799892832</v>
      </c>
      <c r="AM84" s="59">
        <f t="shared" si="59"/>
        <v>775.83768133226158</v>
      </c>
      <c r="AN84" s="59">
        <f ca="1">AVERAGE(OFFSET($AM$3,0,0,'Données projet'!$E$10+1,1))-AVERAGE(OFFSET($H$3,0,0,'Données projet'!$E$10+1,1))</f>
        <v>364.3481978218424</v>
      </c>
      <c r="AO84" s="59">
        <f t="shared" si="90"/>
        <v>231.36959598460686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59.032363264049096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59.032363264049096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5.8</v>
      </c>
      <c r="BD84" s="12">
        <f>IF('Données projet'!$A$88&gt;35,BD83+BC84-BL83,IF(A84&lt;'Données projet'!$A$88,$BA$205^A84,IF(A84='Données projet'!$A$88,'Données projet'!$B$88,BD83+BC84-BL83)))</f>
        <v>245.7999999999999</v>
      </c>
      <c r="BE84" s="13">
        <f>BD84*VLOOKUP('Données projet'!$B$11,Paramètres!$A$1:$I$89,3,0)*VLOOKUP('Données projet'!$B$11,Paramètres!$A$1:$I$89,5,0)</f>
        <v>249.24119999999988</v>
      </c>
      <c r="BF84" s="13">
        <f t="shared" si="91"/>
        <v>60.42342651744687</v>
      </c>
      <c r="BG84" s="20">
        <f t="shared" si="61"/>
        <v>539.3325578512198</v>
      </c>
      <c r="BH84" s="59">
        <f t="shared" si="62"/>
        <v>832.66589118455317</v>
      </c>
      <c r="BI84" s="59">
        <f ca="1">AVERAGE(OFFSET($BH$3,0,0,'Données projet'!$E$11+1,1))-AVERAGE(OFFSET($H$3,0,0,'Données projet'!$E$11+1,1))</f>
        <v>403.50418598112844</v>
      </c>
      <c r="BJ84" s="59">
        <f t="shared" si="92"/>
        <v>254.25036207346591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66.156958830399859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66.156958830399859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636.99999999999977</v>
      </c>
      <c r="O85" s="13">
        <f>N85*VLOOKUP('Données projet'!$B$9,Paramètres!$A$1:$I$89,3,0)*VLOOKUP('Données projet'!$B$9,Paramètres!$A$1:$I$89,5,0)</f>
        <v>356.08299999999991</v>
      </c>
      <c r="P85" s="13">
        <f t="shared" si="87"/>
        <v>82.813805255716545</v>
      </c>
      <c r="Q85" s="20">
        <f t="shared" si="54"/>
        <v>764.41193582037283</v>
      </c>
      <c r="R85" s="59">
        <f t="shared" si="55"/>
        <v>1057.7452691537062</v>
      </c>
      <c r="S85" s="59">
        <f ca="1">AVERAGE(OFFSET($R$3,0,0,'Données projet'!$E$9+1,1))-AVERAGE(OFFSET($H$3,0,0,'Données projet'!$E$9+1,1))</f>
        <v>443.34220761968419</v>
      </c>
      <c r="T85" s="59">
        <f t="shared" si="88"/>
        <v>546.58234447298014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63.213786091522159</v>
      </c>
      <c r="AA85" s="21">
        <f>EXP(-LN(2)/25)*AA84+(1-EXP(-LN(2)/25))/(LN(2)/25)*Calculateur!V85*Calculateur!X85*VLOOKUP('Données projet'!$B$9,Paramètres!$A$1:$I$89,3,0)*0.475*44/12</f>
        <v>5.1884885721003453</v>
      </c>
      <c r="AB85" s="21">
        <f>EXP(-LN(2)/2)*AB84+(1-EXP(-LN(2)/2))/(LN(2)/2)*V85*Y85*VLOOKUP('Données projet'!$B$9,Paramètres!$A$1:$I$89,3,0)*0.475*44/12</f>
        <v>9.0029788624410022E-8</v>
      </c>
      <c r="AC85" s="22">
        <f t="shared" si="57"/>
        <v>68.402274753652293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227.64767999999992</v>
      </c>
      <c r="AK85" s="13">
        <f t="shared" si="89"/>
        <v>55.773751036838313</v>
      </c>
      <c r="AL85" s="20">
        <f t="shared" si="58"/>
        <v>493.62565905582659</v>
      </c>
      <c r="AM85" s="59">
        <f t="shared" si="59"/>
        <v>786.9589923891599</v>
      </c>
      <c r="AN85" s="59">
        <f ca="1">AVERAGE(OFFSET($AM$3,0,0,'Données projet'!$E$10+1,1))-AVERAGE(OFFSET($H$3,0,0,'Données projet'!$E$10+1,1))</f>
        <v>364.3481978218424</v>
      </c>
      <c r="AO85" s="59">
        <f t="shared" si="90"/>
        <v>231.36959598460686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57.874774626627371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57.874774626627371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5.8</v>
      </c>
      <c r="BD85" s="12">
        <f>IF('Données projet'!$A$88&gt;35,BD84+BC85-BL84,IF(A85&lt;'Données projet'!$A$88,$BA$205^A85,IF(A85='Données projet'!$A$88,'Données projet'!$B$88,BD84+BC85-BL84)))</f>
        <v>251.59999999999991</v>
      </c>
      <c r="BE85" s="13">
        <f>BD85*VLOOKUP('Données projet'!$B$11,Paramètres!$A$1:$I$89,3,0)*VLOOKUP('Données projet'!$B$11,Paramètres!$A$1:$I$89,5,0)</f>
        <v>255.12239999999991</v>
      </c>
      <c r="BF85" s="13">
        <f t="shared" si="91"/>
        <v>61.681527554261443</v>
      </c>
      <c r="BG85" s="20">
        <f t="shared" si="61"/>
        <v>551.7668404903385</v>
      </c>
      <c r="BH85" s="59">
        <f t="shared" si="62"/>
        <v>845.10017382367187</v>
      </c>
      <c r="BI85" s="59">
        <f ca="1">AVERAGE(OFFSET($BH$3,0,0,'Données projet'!$E$11+1,1))-AVERAGE(OFFSET($H$3,0,0,'Données projet'!$E$11+1,1))</f>
        <v>403.50418598112844</v>
      </c>
      <c r="BJ85" s="59">
        <f t="shared" si="92"/>
        <v>254.25036207346591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64.859661219496203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64.859661219496203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636.99999999999977</v>
      </c>
      <c r="O86" s="13">
        <f>N86*VLOOKUP('Données projet'!$B$9,Paramètres!$A$1:$I$89,3,0)*VLOOKUP('Données projet'!$B$9,Paramètres!$A$1:$I$89,5,0)</f>
        <v>356.08299999999991</v>
      </c>
      <c r="P86" s="13">
        <f t="shared" si="87"/>
        <v>82.813805255716545</v>
      </c>
      <c r="Q86" s="20">
        <f t="shared" si="54"/>
        <v>764.41193582037283</v>
      </c>
      <c r="R86" s="59">
        <f t="shared" si="55"/>
        <v>1057.7452691537062</v>
      </c>
      <c r="S86" s="59">
        <f ca="1">AVERAGE(OFFSET($R$3,0,0,'Données projet'!$E$9+1,1))-AVERAGE(OFFSET($H$3,0,0,'Données projet'!$E$9+1,1))</f>
        <v>443.34220761968419</v>
      </c>
      <c r="T86" s="59">
        <f t="shared" si="88"/>
        <v>546.58234447298014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61.974202302869777</v>
      </c>
      <c r="AA86" s="21">
        <f>EXP(-LN(2)/25)*AA85+(1-EXP(-LN(2)/25))/(LN(2)/25)*Calculateur!V86*Calculateur!X86*VLOOKUP('Données projet'!$B$9,Paramètres!$A$1:$I$89,3,0)*0.475*44/12</f>
        <v>5.0466090792455054</v>
      </c>
      <c r="AB86" s="21">
        <f>EXP(-LN(2)/2)*AB85+(1-EXP(-LN(2)/2))/(LN(2)/2)*V86*Y86*VLOOKUP('Données projet'!$B$9,Paramètres!$A$1:$I$89,3,0)*0.475*44/12</f>
        <v>6.3660674045111822E-8</v>
      </c>
      <c r="AC86" s="22">
        <f t="shared" si="57"/>
        <v>67.020811445775962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232.89551999999992</v>
      </c>
      <c r="AK86" s="13">
        <f t="shared" si="89"/>
        <v>56.908304063818662</v>
      </c>
      <c r="AL86" s="20">
        <f t="shared" si="58"/>
        <v>504.74166024448397</v>
      </c>
      <c r="AM86" s="59">
        <f t="shared" si="59"/>
        <v>798.07499357781728</v>
      </c>
      <c r="AN86" s="59">
        <f ca="1">AVERAGE(OFFSET($AM$3,0,0,'Données projet'!$E$10+1,1))-AVERAGE(OFFSET($H$3,0,0,'Données projet'!$E$10+1,1))</f>
        <v>364.3481978218424</v>
      </c>
      <c r="AO86" s="59">
        <f t="shared" si="90"/>
        <v>231.36959598460686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56.739885596326133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56.739885596326133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5.8</v>
      </c>
      <c r="BD86" s="12">
        <f>IF('Données projet'!$A$88&gt;35,BD85+BC86-BL85,IF(A86&lt;'Données projet'!$A$88,$BA$205^A86,IF(A86='Données projet'!$A$88,'Données projet'!$B$88,BD85+BC86-BL85)))</f>
        <v>257.39999999999992</v>
      </c>
      <c r="BE86" s="13">
        <f>BD86*VLOOKUP('Données projet'!$B$11,Paramètres!$A$1:$I$89,3,0)*VLOOKUP('Données projet'!$B$11,Paramètres!$A$1:$I$89,5,0)</f>
        <v>261.00359999999995</v>
      </c>
      <c r="BF86" s="13">
        <f t="shared" si="91"/>
        <v>62.936256929541173</v>
      </c>
      <c r="BG86" s="20">
        <f t="shared" si="61"/>
        <v>564.19525081895074</v>
      </c>
      <c r="BH86" s="59">
        <f t="shared" si="62"/>
        <v>857.52858415228411</v>
      </c>
      <c r="BI86" s="59">
        <f ca="1">AVERAGE(OFFSET($BH$3,0,0,'Données projet'!$E$11+1,1))-AVERAGE(OFFSET($H$3,0,0,'Données projet'!$E$11+1,1))</f>
        <v>403.50418598112844</v>
      </c>
      <c r="BJ86" s="59">
        <f t="shared" si="92"/>
        <v>254.25036207346591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63.587802823468955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63.587802823468955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636.99999999999977</v>
      </c>
      <c r="O87" s="13">
        <f>N87*VLOOKUP('Données projet'!$B$9,Paramètres!$A$1:$I$89,3,0)*VLOOKUP('Données projet'!$B$9,Paramètres!$A$1:$I$89,5,0)</f>
        <v>356.08299999999991</v>
      </c>
      <c r="P87" s="13">
        <f t="shared" si="87"/>
        <v>82.813805255716545</v>
      </c>
      <c r="Q87" s="20">
        <f t="shared" si="54"/>
        <v>764.41193582037283</v>
      </c>
      <c r="R87" s="59">
        <f t="shared" si="55"/>
        <v>1057.7452691537062</v>
      </c>
      <c r="S87" s="59">
        <f ca="1">AVERAGE(OFFSET($R$3,0,0,'Données projet'!$E$9+1,1))-AVERAGE(OFFSET($H$3,0,0,'Données projet'!$E$9+1,1))</f>
        <v>443.34220761968419</v>
      </c>
      <c r="T87" s="59">
        <f t="shared" si="88"/>
        <v>546.58234447298014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60.758925996241416</v>
      </c>
      <c r="AA87" s="21">
        <f>EXP(-LN(2)/25)*AA86+(1-EXP(-LN(2)/25))/(LN(2)/25)*Calculateur!V87*Calculateur!X87*VLOOKUP('Données projet'!$B$9,Paramètres!$A$1:$I$89,3,0)*0.475*44/12</f>
        <v>4.9086092885839001</v>
      </c>
      <c r="AB87" s="21">
        <f>EXP(-LN(2)/2)*AB86+(1-EXP(-LN(2)/2))/(LN(2)/2)*V87*Y87*VLOOKUP('Données projet'!$B$9,Paramètres!$A$1:$I$89,3,0)*0.475*44/12</f>
        <v>4.5014894312205011E-8</v>
      </c>
      <c r="AC87" s="22">
        <f t="shared" si="57"/>
        <v>65.66753532984022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238.14335999999992</v>
      </c>
      <c r="AK87" s="13">
        <f t="shared" si="89"/>
        <v>58.039884968630489</v>
      </c>
      <c r="AL87" s="20">
        <f t="shared" si="58"/>
        <v>515.85248498703129</v>
      </c>
      <c r="AM87" s="59">
        <f t="shared" si="59"/>
        <v>809.18581832036466</v>
      </c>
      <c r="AN87" s="59">
        <f ca="1">AVERAGE(OFFSET($AM$3,0,0,'Données projet'!$E$10+1,1))-AVERAGE(OFFSET($H$3,0,0,'Données projet'!$E$10+1,1))</f>
        <v>364.3481978218424</v>
      </c>
      <c r="AO87" s="59">
        <f t="shared" si="90"/>
        <v>231.36959598460686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55.627251047695147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55.627251047695147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5.8</v>
      </c>
      <c r="BD87" s="12">
        <f>IF('Données projet'!$A$88&gt;35,BD86+BC87-BL86,IF(A87&lt;'Données projet'!$A$88,$BA$205^A87,IF(A87='Données projet'!$A$88,'Données projet'!$B$88,BD86+BC87-BL86)))</f>
        <v>263.19999999999993</v>
      </c>
      <c r="BE87" s="13">
        <f>BD87*VLOOKUP('Données projet'!$B$11,Paramètres!$A$1:$I$89,3,0)*VLOOKUP('Données projet'!$B$11,Paramètres!$A$1:$I$89,5,0)</f>
        <v>266.88479999999993</v>
      </c>
      <c r="BF87" s="13">
        <f t="shared" si="91"/>
        <v>64.18769936370569</v>
      </c>
      <c r="BG87" s="20">
        <f t="shared" si="61"/>
        <v>576.61793639178723</v>
      </c>
      <c r="BH87" s="59">
        <f t="shared" si="62"/>
        <v>869.95126972512048</v>
      </c>
      <c r="BI87" s="59">
        <f ca="1">AVERAGE(OFFSET($BH$3,0,0,'Données projet'!$E$11+1,1))-AVERAGE(OFFSET($H$3,0,0,'Données projet'!$E$11+1,1))</f>
        <v>403.50418598112844</v>
      </c>
      <c r="BJ87" s="59">
        <f t="shared" si="92"/>
        <v>254.25036207346591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62.340884794830778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62.340884794830778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636.99999999999977</v>
      </c>
      <c r="O88" s="13">
        <f>N88*VLOOKUP('Données projet'!$B$9,Paramètres!$A$1:$I$89,3,0)*VLOOKUP('Données projet'!$B$9,Paramètres!$A$1:$I$89,5,0)</f>
        <v>356.08299999999991</v>
      </c>
      <c r="P88" s="13">
        <f t="shared" si="87"/>
        <v>82.813805255716545</v>
      </c>
      <c r="Q88" s="20">
        <f t="shared" si="54"/>
        <v>764.41193582037283</v>
      </c>
      <c r="R88" s="59">
        <f t="shared" si="55"/>
        <v>1057.7452691537062</v>
      </c>
      <c r="S88" s="59">
        <f ca="1">AVERAGE(OFFSET($R$3,0,0,'Données projet'!$E$9+1,1))-AVERAGE(OFFSET($H$3,0,0,'Données projet'!$E$9+1,1))</f>
        <v>443.34220761968419</v>
      </c>
      <c r="T88" s="59">
        <f t="shared" si="88"/>
        <v>546.58234447298014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59.56748051674068</v>
      </c>
      <c r="AA88" s="21">
        <f>EXP(-LN(2)/25)*AA87+(1-EXP(-LN(2)/25))/(LN(2)/25)*Calculateur!V88*Calculateur!X88*VLOOKUP('Données projet'!$B$9,Paramètres!$A$1:$I$89,3,0)*0.475*44/12</f>
        <v>4.7743831094550293</v>
      </c>
      <c r="AB88" s="21">
        <f>EXP(-LN(2)/2)*AB87+(1-EXP(-LN(2)/2))/(LN(2)/2)*V88*Y88*VLOOKUP('Données projet'!$B$9,Paramètres!$A$1:$I$89,3,0)*0.475*44/12</f>
        <v>3.1830337022555911E-8</v>
      </c>
      <c r="AC88" s="22">
        <f t="shared" si="57"/>
        <v>64.341863658026043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243.39119999999994</v>
      </c>
      <c r="AK88" s="13">
        <f t="shared" si="89"/>
        <v>59.168566788241527</v>
      </c>
      <c r="AL88" s="20">
        <f t="shared" si="58"/>
        <v>526.95826048952051</v>
      </c>
      <c r="AM88" s="59">
        <f t="shared" si="59"/>
        <v>820.29159382285388</v>
      </c>
      <c r="AN88" s="59">
        <f ca="1">AVERAGE(OFFSET($AM$3,0,0,'Données projet'!$E$10+1,1))-AVERAGE(OFFSET($H$3,0,0,'Données projet'!$E$10+1,1))</f>
        <v>364.3481978218424</v>
      </c>
      <c r="AO88" s="59">
        <f t="shared" si="90"/>
        <v>231.36959598460686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0.43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63.568507866517507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63.568507866517507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269</v>
      </c>
      <c r="BB88" s="12">
        <f>VLOOKUP(A88,'Données projet'!$A$87:$I$107,9,0)</f>
        <v>5.8</v>
      </c>
      <c r="BC88" s="12">
        <f t="array" ref="BC88">INDEX(BB:BB,MIN(IF(ISNUMBER(BB88:BB284),ROW(BB88:BB284),"")))</f>
        <v>5.8</v>
      </c>
      <c r="BD88" s="12">
        <f>IF('Données projet'!$A$88&gt;35,BD87+BC88-BL87,IF(A88&lt;'Données projet'!$A$88,$BA$205^A88,IF(A88='Données projet'!$A$88,'Données projet'!$B$88,BD87+BC88-BL87)))</f>
        <v>268.99999999999994</v>
      </c>
      <c r="BE88" s="13">
        <f>BD88*VLOOKUP('Données projet'!$B$11,Paramètres!$A$1:$I$89,3,0)*VLOOKUP('Données projet'!$B$11,Paramètres!$A$1:$I$89,5,0)</f>
        <v>272.76599999999996</v>
      </c>
      <c r="BF88" s="13">
        <f t="shared" si="91"/>
        <v>65.43593563008757</v>
      </c>
      <c r="BG88" s="20">
        <f t="shared" si="61"/>
        <v>589.03503788906914</v>
      </c>
      <c r="BH88" s="59">
        <f t="shared" si="62"/>
        <v>882.3683712224024</v>
      </c>
      <c r="BI88" s="59">
        <f ca="1">AVERAGE(OFFSET($BH$3,0,0,'Données projet'!$E$11+1,1))-AVERAGE(OFFSET($H$3,0,0,'Données projet'!$E$11+1,1))</f>
        <v>403.50418598112844</v>
      </c>
      <c r="BJ88" s="59">
        <f t="shared" si="92"/>
        <v>254.25036207346591</v>
      </c>
      <c r="BK88" s="15">
        <f>IF(ISNA(VLOOKUP(A88,'Données projet'!$A$87:$I$107,3,0)),0,VLOOKUP(A88,'Données projet'!$A$87:$I$107,3,0))</f>
        <v>13</v>
      </c>
      <c r="BL88" s="15">
        <f>IF(ISNA(VLOOKUP(A88,'Données projet'!$A$87:$I$107,4,0)),0,VLOOKUP(A88,'Données projet'!$A$87:$I$107,4,0))</f>
        <v>21</v>
      </c>
      <c r="BM88" s="16">
        <f>IF(ISNA(VLOOKUP(A88,'Données projet'!$A$87:$I$107,5,0)),0%,VLOOKUP(A88,'Données projet'!$A$87:$I$107,5,0)*VLOOKUP('Données projet'!$B$11,Paramètres!$A$1:$I$89,7,0))</f>
        <v>0.43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71.240569160752386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71.240569160752386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636.99999999999977</v>
      </c>
      <c r="O89" s="13">
        <f>N89*VLOOKUP('Données projet'!$B$9,Paramètres!$A$1:$I$89,3,0)*VLOOKUP('Données projet'!$B$9,Paramètres!$A$1:$I$89,5,0)</f>
        <v>356.08299999999991</v>
      </c>
      <c r="P89" s="13">
        <f t="shared" si="87"/>
        <v>82.813805255716545</v>
      </c>
      <c r="Q89" s="20">
        <f t="shared" si="54"/>
        <v>764.41193582037283</v>
      </c>
      <c r="R89" s="59">
        <f t="shared" si="55"/>
        <v>1057.7452691537062</v>
      </c>
      <c r="S89" s="59">
        <f ca="1">AVERAGE(OFFSET($R$3,0,0,'Données projet'!$E$9+1,1))-AVERAGE(OFFSET($H$3,0,0,'Données projet'!$E$9+1,1))</f>
        <v>443.34220761968419</v>
      </c>
      <c r="T89" s="59">
        <f t="shared" si="88"/>
        <v>546.58234447298014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58.39939855638297</v>
      </c>
      <c r="AA89" s="21">
        <f>EXP(-LN(2)/25)*AA88+(1-EXP(-LN(2)/25))/(LN(2)/25)*Calculateur!V89*Calculateur!X89*VLOOKUP('Données projet'!$B$9,Paramètres!$A$1:$I$89,3,0)*0.475*44/12</f>
        <v>4.6438273522530862</v>
      </c>
      <c r="AB89" s="21">
        <f>EXP(-LN(2)/2)*AB88+(1-EXP(-LN(2)/2))/(LN(2)/2)*V89*Y89*VLOOKUP('Données projet'!$B$9,Paramètres!$A$1:$I$89,3,0)*0.475*44/12</f>
        <v>2.2507447156102506E-8</v>
      </c>
      <c r="AC89" s="22">
        <f t="shared" si="57"/>
        <v>63.043225931143503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229.27631999999994</v>
      </c>
      <c r="AK89" s="13">
        <f t="shared" si="89"/>
        <v>56.126176307517476</v>
      </c>
      <c r="AL89" s="20">
        <f t="shared" si="58"/>
        <v>497.07601440225949</v>
      </c>
      <c r="AM89" s="59">
        <f t="shared" si="59"/>
        <v>790.40934773559275</v>
      </c>
      <c r="AN89" s="59">
        <f ca="1">AVERAGE(OFFSET($AM$3,0,0,'Données projet'!$E$10+1,1))-AVERAGE(OFFSET($H$3,0,0,'Données projet'!$E$10+1,1))</f>
        <v>364.3481978218424</v>
      </c>
      <c r="AO89" s="59">
        <f t="shared" si="90"/>
        <v>231.36959598460686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62.321968200216382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62.321968200216382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5.4</v>
      </c>
      <c r="BD89" s="12">
        <f>IF('Données projet'!$A$88&gt;35,BD88+BC89-BL88,IF(A89&lt;'Données projet'!$A$88,$BA$205^A89,IF(A89='Données projet'!$A$88,'Données projet'!$B$88,BD88+BC89-BL88)))</f>
        <v>253.39999999999992</v>
      </c>
      <c r="BE89" s="13">
        <f>BD89*VLOOKUP('Données projet'!$B$11,Paramètres!$A$1:$I$89,3,0)*VLOOKUP('Données projet'!$B$11,Paramètres!$A$1:$I$89,5,0)</f>
        <v>256.94759999999991</v>
      </c>
      <c r="BF89" s="13">
        <f t="shared" si="91"/>
        <v>62.071283104858246</v>
      </c>
      <c r="BG89" s="20">
        <f t="shared" si="61"/>
        <v>555.62455474096134</v>
      </c>
      <c r="BH89" s="59">
        <f t="shared" si="62"/>
        <v>848.95788807429471</v>
      </c>
      <c r="BI89" s="59">
        <f ca="1">AVERAGE(OFFSET($BH$3,0,0,'Données projet'!$E$11+1,1))-AVERAGE(OFFSET($H$3,0,0,'Données projet'!$E$11+1,1))</f>
        <v>403.50418598112844</v>
      </c>
      <c r="BJ89" s="59">
        <f t="shared" si="92"/>
        <v>254.25036207346591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69.843585051966642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69.843585051966642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636.99999999999977</v>
      </c>
      <c r="O90" s="13">
        <f>N90*VLOOKUP('Données projet'!$B$9,Paramètres!$A$1:$I$89,3,0)*VLOOKUP('Données projet'!$B$9,Paramètres!$A$1:$I$89,5,0)</f>
        <v>356.08299999999991</v>
      </c>
      <c r="P90" s="13">
        <f t="shared" si="87"/>
        <v>82.813805255716545</v>
      </c>
      <c r="Q90" s="20">
        <f t="shared" si="54"/>
        <v>764.41193582037283</v>
      </c>
      <c r="R90" s="59">
        <f t="shared" si="55"/>
        <v>1057.7452691537062</v>
      </c>
      <c r="S90" s="59">
        <f ca="1">AVERAGE(OFFSET($R$3,0,0,'Données projet'!$E$9+1,1))-AVERAGE(OFFSET($H$3,0,0,'Données projet'!$E$9+1,1))</f>
        <v>443.34220761968419</v>
      </c>
      <c r="T90" s="59">
        <f t="shared" si="88"/>
        <v>546.58234447298014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57.254221970808224</v>
      </c>
      <c r="AA90" s="21">
        <f>EXP(-LN(2)/25)*AA89+(1-EXP(-LN(2)/25))/(LN(2)/25)*Calculateur!V90*Calculateur!X90*VLOOKUP('Données projet'!$B$9,Paramètres!$A$1:$I$89,3,0)*0.475*44/12</f>
        <v>4.5168416490974588</v>
      </c>
      <c r="AB90" s="21">
        <f>EXP(-LN(2)/2)*AB89+(1-EXP(-LN(2)/2))/(LN(2)/2)*V90*Y90*VLOOKUP('Données projet'!$B$9,Paramètres!$A$1:$I$89,3,0)*0.475*44/12</f>
        <v>1.5915168511277956E-8</v>
      </c>
      <c r="AC90" s="22">
        <f t="shared" si="57"/>
        <v>61.771063635820852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234.16223999999988</v>
      </c>
      <c r="AK90" s="13">
        <f t="shared" si="89"/>
        <v>57.181713578143047</v>
      </c>
      <c r="AL90" s="20">
        <f t="shared" si="58"/>
        <v>507.42405248193222</v>
      </c>
      <c r="AM90" s="59">
        <f t="shared" si="59"/>
        <v>800.75738581526548</v>
      </c>
      <c r="AN90" s="59">
        <f ca="1">AVERAGE(OFFSET($AM$3,0,0,'Données projet'!$E$10+1,1))-AVERAGE(OFFSET($H$3,0,0,'Données projet'!$E$10+1,1))</f>
        <v>364.3481978218424</v>
      </c>
      <c r="AO90" s="59">
        <f t="shared" si="90"/>
        <v>231.36959598460686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61.099872416457302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61.099872416457302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5.4</v>
      </c>
      <c r="BD90" s="12">
        <f>IF('Données projet'!$A$88&gt;35,BD89+BC90-BL89,IF(A90&lt;'Données projet'!$A$88,$BA$205^A90,IF(A90='Données projet'!$A$88,'Données projet'!$B$88,BD89+BC90-BL89)))</f>
        <v>258.7999999999999</v>
      </c>
      <c r="BE90" s="13">
        <f>BD90*VLOOKUP('Données projet'!$B$11,Paramètres!$A$1:$I$89,3,0)*VLOOKUP('Données projet'!$B$11,Paramètres!$A$1:$I$89,5,0)</f>
        <v>262.42319999999989</v>
      </c>
      <c r="BF90" s="13">
        <f t="shared" si="91"/>
        <v>63.238627062047733</v>
      </c>
      <c r="BG90" s="20">
        <f t="shared" si="61"/>
        <v>567.19434879973289</v>
      </c>
      <c r="BH90" s="59">
        <f t="shared" si="62"/>
        <v>860.52768213306626</v>
      </c>
      <c r="BI90" s="59">
        <f ca="1">AVERAGE(OFFSET($BH$3,0,0,'Données projet'!$E$11+1,1))-AVERAGE(OFFSET($H$3,0,0,'Données projet'!$E$11+1,1))</f>
        <v>403.50418598112844</v>
      </c>
      <c r="BJ90" s="59">
        <f t="shared" si="92"/>
        <v>254.25036207346591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68.473994949478026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68.473994949478026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636.99999999999977</v>
      </c>
      <c r="O91" s="13">
        <f>N91*VLOOKUP('Données projet'!$B$9,Paramètres!$A$1:$I$89,3,0)*VLOOKUP('Données projet'!$B$9,Paramètres!$A$1:$I$89,5,0)</f>
        <v>356.08299999999991</v>
      </c>
      <c r="P91" s="13">
        <f t="shared" si="87"/>
        <v>82.813805255716545</v>
      </c>
      <c r="Q91" s="20">
        <f t="shared" si="54"/>
        <v>764.41193582037283</v>
      </c>
      <c r="R91" s="59">
        <f t="shared" si="55"/>
        <v>1057.7452691537062</v>
      </c>
      <c r="S91" s="59">
        <f ca="1">AVERAGE(OFFSET($R$3,0,0,'Données projet'!$E$9+1,1))-AVERAGE(OFFSET($H$3,0,0,'Données projet'!$E$9+1,1))</f>
        <v>443.34220761968419</v>
      </c>
      <c r="T91" s="59">
        <f t="shared" si="88"/>
        <v>546.58234447298014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56.13150159958785</v>
      </c>
      <c r="AA91" s="21">
        <f>EXP(-LN(2)/25)*AA90+(1-EXP(-LN(2)/25))/(LN(2)/25)*Calculateur!V91*Calculateur!X91*VLOOKUP('Données projet'!$B$9,Paramètres!$A$1:$I$89,3,0)*0.475*44/12</f>
        <v>4.3933283766725095</v>
      </c>
      <c r="AB91" s="21">
        <f>EXP(-LN(2)/2)*AB90+(1-EXP(-LN(2)/2))/(LN(2)/2)*V91*Y91*VLOOKUP('Données projet'!$B$9,Paramètres!$A$1:$I$89,3,0)*0.475*44/12</f>
        <v>1.1253723578051253E-8</v>
      </c>
      <c r="AC91" s="22">
        <f t="shared" si="57"/>
        <v>60.524829987514082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239.04815999999985</v>
      </c>
      <c r="AK91" s="13">
        <f t="shared" si="89"/>
        <v>58.234690128947292</v>
      </c>
      <c r="AL91" s="20">
        <f t="shared" si="58"/>
        <v>517.76763064124964</v>
      </c>
      <c r="AM91" s="59">
        <f t="shared" si="59"/>
        <v>811.10096397458301</v>
      </c>
      <c r="AN91" s="59">
        <f ca="1">AVERAGE(OFFSET($AM$3,0,0,'Données projet'!$E$10+1,1))-AVERAGE(OFFSET($H$3,0,0,'Données projet'!$E$10+1,1))</f>
        <v>364.3481978218424</v>
      </c>
      <c r="AO91" s="59">
        <f t="shared" si="90"/>
        <v>231.36959598460686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59.901741185612913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59.901741185612913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5.4</v>
      </c>
      <c r="BD91" s="12">
        <f>IF('Données projet'!$A$88&gt;35,BD90+BC91-BL90,IF(A91&lt;'Données projet'!$A$88,$BA$205^A91,IF(A91='Données projet'!$A$88,'Données projet'!$B$88,BD90+BC91-BL90)))</f>
        <v>264.19999999999987</v>
      </c>
      <c r="BE91" s="13">
        <f>BD91*VLOOKUP('Données projet'!$B$11,Paramètres!$A$1:$I$89,3,0)*VLOOKUP('Données projet'!$B$11,Paramètres!$A$1:$I$89,5,0)</f>
        <v>267.89879999999988</v>
      </c>
      <c r="BF91" s="13">
        <f t="shared" si="91"/>
        <v>64.403139057834508</v>
      </c>
      <c r="BG91" s="20">
        <f t="shared" si="61"/>
        <v>578.75921052572812</v>
      </c>
      <c r="BH91" s="59">
        <f t="shared" si="62"/>
        <v>872.09254385906138</v>
      </c>
      <c r="BI91" s="59">
        <f ca="1">AVERAGE(OFFSET($BH$3,0,0,'Données projet'!$E$11+1,1))-AVERAGE(OFFSET($H$3,0,0,'Données projet'!$E$11+1,1))</f>
        <v>403.50418598112844</v>
      </c>
      <c r="BJ91" s="59">
        <f t="shared" si="92"/>
        <v>254.25036207346591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67.131261673531725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67.131261673531725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636.99999999999977</v>
      </c>
      <c r="O92" s="13">
        <f>N92*VLOOKUP('Données projet'!$B$9,Paramètres!$A$1:$I$89,3,0)*VLOOKUP('Données projet'!$B$9,Paramètres!$A$1:$I$89,5,0)</f>
        <v>356.08299999999991</v>
      </c>
      <c r="P92" s="13">
        <f t="shared" si="87"/>
        <v>82.813805255716545</v>
      </c>
      <c r="Q92" s="20">
        <f t="shared" si="54"/>
        <v>764.41193582037283</v>
      </c>
      <c r="R92" s="59">
        <f t="shared" si="55"/>
        <v>1057.7452691537062</v>
      </c>
      <c r="S92" s="59">
        <f ca="1">AVERAGE(OFFSET($R$3,0,0,'Données projet'!$E$9+1,1))-AVERAGE(OFFSET($H$3,0,0,'Données projet'!$E$9+1,1))</f>
        <v>443.34220761968419</v>
      </c>
      <c r="T92" s="59">
        <f t="shared" si="88"/>
        <v>546.58234447298014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55.030797090055302</v>
      </c>
      <c r="AA92" s="21">
        <f>EXP(-LN(2)/25)*AA91+(1-EXP(-LN(2)/25))/(LN(2)/25)*Calculateur!V92*Calculateur!X92*VLOOKUP('Données projet'!$B$9,Paramètres!$A$1:$I$89,3,0)*0.475*44/12</f>
        <v>4.2731925811773017</v>
      </c>
      <c r="AB92" s="21">
        <f>EXP(-LN(2)/2)*AB91+(1-EXP(-LN(2)/2))/(LN(2)/2)*V92*Y92*VLOOKUP('Données projet'!$B$9,Paramètres!$A$1:$I$89,3,0)*0.475*44/12</f>
        <v>7.9575842556389778E-9</v>
      </c>
      <c r="AC92" s="22">
        <f t="shared" si="57"/>
        <v>59.303989679190181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243.93407999999988</v>
      </c>
      <c r="AK92" s="13">
        <f t="shared" si="89"/>
        <v>59.285164329617594</v>
      </c>
      <c r="AL92" s="20">
        <f t="shared" si="58"/>
        <v>528.10685054075043</v>
      </c>
      <c r="AM92" s="59">
        <f t="shared" si="59"/>
        <v>821.44018387408369</v>
      </c>
      <c r="AN92" s="59">
        <f ca="1">AVERAGE(OFFSET($AM$3,0,0,'Données projet'!$E$10+1,1))-AVERAGE(OFFSET($H$3,0,0,'Données projet'!$E$10+1,1))</f>
        <v>364.3481978218424</v>
      </c>
      <c r="AO92" s="59">
        <f t="shared" si="90"/>
        <v>231.36959598460686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58.727104577417492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58.727104577417492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5.4</v>
      </c>
      <c r="BD92" s="12">
        <f>IF('Données projet'!$A$88&gt;35,BD91+BC92-BL91,IF(A92&lt;'Données projet'!$A$88,$BA$205^A92,IF(A92='Données projet'!$A$88,'Données projet'!$B$88,BD91+BC92-BL91)))</f>
        <v>269.59999999999985</v>
      </c>
      <c r="BE92" s="13">
        <f>BD92*VLOOKUP('Données projet'!$B$11,Paramètres!$A$1:$I$89,3,0)*VLOOKUP('Données projet'!$B$11,Paramètres!$A$1:$I$89,5,0)</f>
        <v>273.37439999999987</v>
      </c>
      <c r="BF92" s="13">
        <f t="shared" si="91"/>
        <v>65.564883644654373</v>
      </c>
      <c r="BG92" s="20">
        <f t="shared" si="61"/>
        <v>590.3192523477727</v>
      </c>
      <c r="BH92" s="59">
        <f t="shared" si="62"/>
        <v>883.65258568110607</v>
      </c>
      <c r="BI92" s="59">
        <f ca="1">AVERAGE(OFFSET($BH$3,0,0,'Données projet'!$E$11+1,1))-AVERAGE(OFFSET($H$3,0,0,'Données projet'!$E$11+1,1))</f>
        <v>403.50418598112844</v>
      </c>
      <c r="BJ92" s="59">
        <f t="shared" si="92"/>
        <v>254.25036207346591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65.814858578140303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65.814858578140303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636.99999999999977</v>
      </c>
      <c r="O93" s="13">
        <f>N93*VLOOKUP('Données projet'!$B$9,Paramètres!$A$1:$I$89,3,0)*VLOOKUP('Données projet'!$B$9,Paramètres!$A$1:$I$89,5,0)</f>
        <v>356.08299999999991</v>
      </c>
      <c r="P93" s="13">
        <f t="shared" si="87"/>
        <v>82.813805255716545</v>
      </c>
      <c r="Q93" s="20">
        <f t="shared" si="54"/>
        <v>764.41193582037283</v>
      </c>
      <c r="R93" s="59">
        <f t="shared" si="55"/>
        <v>1057.7452691537062</v>
      </c>
      <c r="S93" s="59">
        <f ca="1">AVERAGE(OFFSET($R$3,0,0,'Données projet'!$E$9+1,1))-AVERAGE(OFFSET($H$3,0,0,'Données projet'!$E$9+1,1))</f>
        <v>443.34220761968419</v>
      </c>
      <c r="T93" s="59">
        <f t="shared" si="88"/>
        <v>546.58234447298014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53.951676724591231</v>
      </c>
      <c r="AA93" s="21">
        <f>EXP(-LN(2)/25)*AA92+(1-EXP(-LN(2)/25))/(LN(2)/25)*Calculateur!V93*Calculateur!X93*VLOOKUP('Données projet'!$B$9,Paramètres!$A$1:$I$89,3,0)*0.475*44/12</f>
        <v>4.1563419053275767</v>
      </c>
      <c r="AB93" s="21">
        <f>EXP(-LN(2)/2)*AB92+(1-EXP(-LN(2)/2))/(LN(2)/2)*V93*Y93*VLOOKUP('Données projet'!$B$9,Paramètres!$A$1:$I$89,3,0)*0.475*44/12</f>
        <v>5.6268617890256264E-9</v>
      </c>
      <c r="AC93" s="22">
        <f t="shared" si="57"/>
        <v>58.108018635545669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248.81999999999982</v>
      </c>
      <c r="AK93" s="13">
        <f t="shared" si="89"/>
        <v>60.333192077890018</v>
      </c>
      <c r="AL93" s="20">
        <f t="shared" si="58"/>
        <v>538.44180953565808</v>
      </c>
      <c r="AM93" s="59">
        <f t="shared" si="59"/>
        <v>831.77514286899145</v>
      </c>
      <c r="AN93" s="59">
        <f ca="1">AVERAGE(OFFSET($AM$3,0,0,'Données projet'!$E$10+1,1))-AVERAGE(OFFSET($H$3,0,0,'Données projet'!$E$10+1,1))</f>
        <v>364.3481978218424</v>
      </c>
      <c r="AO93" s="59">
        <f t="shared" si="90"/>
        <v>231.36959598460686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66.607575159245954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66.607575159245954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275</v>
      </c>
      <c r="BB93" s="12">
        <f>VLOOKUP(A93,'Données projet'!$A$87:$I$107,9,0)</f>
        <v>5.4</v>
      </c>
      <c r="BC93" s="12">
        <f t="array" ref="BC93">INDEX(BB:BB,MIN(IF(ISNUMBER(BB93:BB289),ROW(BB93:BB289),"")))</f>
        <v>5.4</v>
      </c>
      <c r="BD93" s="12">
        <f>IF('Données projet'!$A$88&gt;35,BD92+BC93-BL92,IF(A93&lt;'Données projet'!$A$88,$BA$205^A93,IF(A93='Données projet'!$A$88,'Données projet'!$B$88,BD92+BC93-BL92)))</f>
        <v>274.99999999999983</v>
      </c>
      <c r="BE93" s="13">
        <f>BD93*VLOOKUP('Données projet'!$B$11,Paramètres!$A$1:$I$89,3,0)*VLOOKUP('Données projet'!$B$11,Paramètres!$A$1:$I$89,5,0)</f>
        <v>278.84999999999985</v>
      </c>
      <c r="BF93" s="13">
        <f t="shared" si="91"/>
        <v>66.723922641152967</v>
      </c>
      <c r="BG93" s="20">
        <f t="shared" si="61"/>
        <v>601.87458193334112</v>
      </c>
      <c r="BH93" s="59">
        <f t="shared" si="62"/>
        <v>895.20791526667449</v>
      </c>
      <c r="BI93" s="59">
        <f ca="1">AVERAGE(OFFSET($BH$3,0,0,'Données projet'!$E$11+1,1))-AVERAGE(OFFSET($H$3,0,0,'Données projet'!$E$11+1,1))</f>
        <v>403.50418598112844</v>
      </c>
      <c r="BJ93" s="59">
        <f t="shared" si="92"/>
        <v>254.25036207346591</v>
      </c>
      <c r="BK93" s="15">
        <f>IF(ISNA(VLOOKUP(A93,'Données projet'!$A$87:$I$107,3,0)),0,VLOOKUP(A93,'Données projet'!$A$87:$I$107,3,0))</f>
        <v>14</v>
      </c>
      <c r="BL93" s="15">
        <f>IF(ISNA(VLOOKUP(A93,'Données projet'!$A$87:$I$107,4,0)),0,VLOOKUP(A93,'Données projet'!$A$87:$I$107,4,0))</f>
        <v>21</v>
      </c>
      <c r="BM93" s="16">
        <f>IF(ISNA(VLOOKUP(A93,'Données projet'!$A$87:$I$107,5,0)),0%,VLOOKUP(A93,'Données projet'!$A$87:$I$107,5,0)*VLOOKUP('Données projet'!$B$11,Paramètres!$A$1:$I$89,7,0))</f>
        <v>0.43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74.646420437086007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74.646420437086007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636.99999999999977</v>
      </c>
      <c r="O94" s="13">
        <f>N94*VLOOKUP('Données projet'!$B$9,Paramètres!$A$1:$I$89,3,0)*VLOOKUP('Données projet'!$B$9,Paramètres!$A$1:$I$89,5,0)</f>
        <v>356.08299999999991</v>
      </c>
      <c r="P94" s="13">
        <f t="shared" si="87"/>
        <v>82.813805255716545</v>
      </c>
      <c r="Q94" s="20">
        <f t="shared" si="54"/>
        <v>764.41193582037283</v>
      </c>
      <c r="R94" s="59">
        <f t="shared" si="55"/>
        <v>1057.7452691537062</v>
      </c>
      <c r="S94" s="59">
        <f ca="1">AVERAGE(OFFSET($R$3,0,0,'Données projet'!$E$9+1,1))-AVERAGE(OFFSET($H$3,0,0,'Données projet'!$E$9+1,1))</f>
        <v>443.34220761968419</v>
      </c>
      <c r="T94" s="59">
        <f t="shared" si="88"/>
        <v>546.58234447298014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52.893717251295477</v>
      </c>
      <c r="AA94" s="21">
        <f>EXP(-LN(2)/25)*AA93+(1-EXP(-LN(2)/25))/(LN(2)/25)*Calculateur!V94*Calculateur!X94*VLOOKUP('Données projet'!$B$9,Paramètres!$A$1:$I$89,3,0)*0.475*44/12</f>
        <v>4.0426865173538724</v>
      </c>
      <c r="AB94" s="21">
        <f>EXP(-LN(2)/2)*AB93+(1-EXP(-LN(2)/2))/(LN(2)/2)*V94*Y94*VLOOKUP('Données projet'!$B$9,Paramètres!$A$1:$I$89,3,0)*0.475*44/12</f>
        <v>3.9787921278194889E-9</v>
      </c>
      <c r="AC94" s="22">
        <f t="shared" si="57"/>
        <v>56.93640377262814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234.34319999999983</v>
      </c>
      <c r="AK94" s="13">
        <f t="shared" si="89"/>
        <v>57.220758006491614</v>
      </c>
      <c r="AL94" s="20">
        <f t="shared" si="58"/>
        <v>507.80722686130588</v>
      </c>
      <c r="AM94" s="59">
        <f t="shared" si="59"/>
        <v>801.14056019463919</v>
      </c>
      <c r="AN94" s="59">
        <f ca="1">AVERAGE(OFFSET($AM$3,0,0,'Données projet'!$E$10+1,1))-AVERAGE(OFFSET($H$3,0,0,'Données projet'!$E$10+1,1))</f>
        <v>364.3481978218424</v>
      </c>
      <c r="AO94" s="59">
        <f t="shared" si="90"/>
        <v>231.36959598460686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65.301441236982441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65.301441236982441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</v>
      </c>
      <c r="BD94" s="12">
        <f>IF('Données projet'!$A$88&gt;35,BD93+BC94-BL93,IF(A94&lt;'Données projet'!$A$88,$BA$205^A94,IF(A94='Données projet'!$A$88,'Données projet'!$B$88,BD93+BC94-BL93)))</f>
        <v>258.99999999999983</v>
      </c>
      <c r="BE94" s="13">
        <f>BD94*VLOOKUP('Données projet'!$B$11,Paramètres!$A$1:$I$89,3,0)*VLOOKUP('Données projet'!$B$11,Paramètres!$A$1:$I$89,5,0)</f>
        <v>262.62599999999986</v>
      </c>
      <c r="BF94" s="13">
        <f t="shared" si="91"/>
        <v>63.281807230823397</v>
      </c>
      <c r="BG94" s="20">
        <f t="shared" si="61"/>
        <v>567.62276426035044</v>
      </c>
      <c r="BH94" s="59">
        <f t="shared" si="62"/>
        <v>860.95609759368381</v>
      </c>
      <c r="BI94" s="59">
        <f ca="1">AVERAGE(OFFSET($BH$3,0,0,'Données projet'!$E$11+1,1))-AVERAGE(OFFSET($H$3,0,0,'Données projet'!$E$11+1,1))</f>
        <v>403.50418598112844</v>
      </c>
      <c r="BJ94" s="59">
        <f t="shared" si="92"/>
        <v>254.25036207346591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73.182649662135518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73.182649662135518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636.99999999999977</v>
      </c>
      <c r="O95" s="13">
        <f>N95*VLOOKUP('Données projet'!$B$9,Paramètres!$A$1:$I$89,3,0)*VLOOKUP('Données projet'!$B$9,Paramètres!$A$1:$I$89,5,0)</f>
        <v>356.08299999999991</v>
      </c>
      <c r="P95" s="13">
        <f t="shared" si="87"/>
        <v>82.813805255716545</v>
      </c>
      <c r="Q95" s="20">
        <f t="shared" si="54"/>
        <v>764.41193582037283</v>
      </c>
      <c r="R95" s="59">
        <f t="shared" si="55"/>
        <v>1057.7452691537062</v>
      </c>
      <c r="S95" s="59">
        <f ca="1">AVERAGE(OFFSET($R$3,0,0,'Données projet'!$E$9+1,1))-AVERAGE(OFFSET($H$3,0,0,'Données projet'!$E$9+1,1))</f>
        <v>443.34220761968419</v>
      </c>
      <c r="T95" s="59">
        <f t="shared" si="88"/>
        <v>546.58234447298014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51.856503717979493</v>
      </c>
      <c r="AA95" s="21">
        <f>EXP(-LN(2)/25)*AA94+(1-EXP(-LN(2)/25))/(LN(2)/25)*Calculateur!V95*Calculateur!X95*VLOOKUP('Données projet'!$B$9,Paramètres!$A$1:$I$89,3,0)*0.475*44/12</f>
        <v>3.9321390419411864</v>
      </c>
      <c r="AB95" s="21">
        <f>EXP(-LN(2)/2)*AB94+(1-EXP(-LN(2)/2))/(LN(2)/2)*V95*Y95*VLOOKUP('Données projet'!$B$9,Paramètres!$A$1:$I$89,3,0)*0.475*44/12</f>
        <v>2.8134308945128132E-9</v>
      </c>
      <c r="AC95" s="22">
        <f t="shared" si="57"/>
        <v>55.788642762734106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238.86719999999983</v>
      </c>
      <c r="AK95" s="13">
        <f t="shared" si="89"/>
        <v>58.195735973104156</v>
      </c>
      <c r="AL95" s="20">
        <f t="shared" si="58"/>
        <v>517.38461348648946</v>
      </c>
      <c r="AM95" s="59">
        <f t="shared" si="59"/>
        <v>810.71794681982283</v>
      </c>
      <c r="AN95" s="59">
        <f ca="1">AVERAGE(OFFSET($AM$3,0,0,'Données projet'!$E$10+1,1))-AVERAGE(OFFSET($H$3,0,0,'Données projet'!$E$10+1,1))</f>
        <v>364.3481978218424</v>
      </c>
      <c r="AO95" s="59">
        <f t="shared" si="90"/>
        <v>231.36959598460686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64.020919804271486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64.020919804271486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</v>
      </c>
      <c r="BD95" s="12">
        <f>IF('Données projet'!$A$88&gt;35,BD94+BC95-BL94,IF(A95&lt;'Données projet'!$A$88,$BA$205^A95,IF(A95='Données projet'!$A$88,'Données projet'!$B$88,BD94+BC95-BL94)))</f>
        <v>263.99999999999983</v>
      </c>
      <c r="BE95" s="13">
        <f>BD95*VLOOKUP('Données projet'!$B$11,Paramètres!$A$1:$I$89,3,0)*VLOOKUP('Données projet'!$B$11,Paramètres!$A$1:$I$89,5,0)</f>
        <v>267.69599999999986</v>
      </c>
      <c r="BF95" s="13">
        <f t="shared" si="91"/>
        <v>64.360058723585439</v>
      </c>
      <c r="BG95" s="20">
        <f t="shared" si="61"/>
        <v>578.33096894357766</v>
      </c>
      <c r="BH95" s="59">
        <f t="shared" si="62"/>
        <v>871.66430227691103</v>
      </c>
      <c r="BI95" s="59">
        <f ca="1">AVERAGE(OFFSET($BH$3,0,0,'Données projet'!$E$11+1,1))-AVERAGE(OFFSET($H$3,0,0,'Données projet'!$E$11+1,1))</f>
        <v>403.50418598112844</v>
      </c>
      <c r="BJ95" s="59">
        <f t="shared" si="92"/>
        <v>254.25036207346591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71.7475825392698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71.7475825392698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636.99999999999977</v>
      </c>
      <c r="O96" s="13">
        <f>N96*VLOOKUP('Données projet'!$B$9,Paramètres!$A$1:$I$89,3,0)*VLOOKUP('Données projet'!$B$9,Paramètres!$A$1:$I$89,5,0)</f>
        <v>356.08299999999991</v>
      </c>
      <c r="P96" s="13">
        <f t="shared" si="87"/>
        <v>82.813805255716545</v>
      </c>
      <c r="Q96" s="20">
        <f t="shared" si="54"/>
        <v>764.41193582037283</v>
      </c>
      <c r="R96" s="59">
        <f t="shared" si="55"/>
        <v>1057.7452691537062</v>
      </c>
      <c r="S96" s="59">
        <f ca="1">AVERAGE(OFFSET($R$3,0,0,'Données projet'!$E$9+1,1))-AVERAGE(OFFSET($H$3,0,0,'Données projet'!$E$9+1,1))</f>
        <v>443.34220761968419</v>
      </c>
      <c r="T96" s="59">
        <f t="shared" si="88"/>
        <v>546.58234447298014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50.839629309414043</v>
      </c>
      <c r="AA96" s="21">
        <f>EXP(-LN(2)/25)*AA95+(1-EXP(-LN(2)/25))/(LN(2)/25)*Calculateur!V96*Calculateur!X96*VLOOKUP('Données projet'!$B$9,Paramètres!$A$1:$I$89,3,0)*0.475*44/12</f>
        <v>3.8246144930570996</v>
      </c>
      <c r="AB96" s="21">
        <f>EXP(-LN(2)/2)*AB95+(1-EXP(-LN(2)/2))/(LN(2)/2)*V96*Y96*VLOOKUP('Données projet'!$B$9,Paramètres!$A$1:$I$89,3,0)*0.475*44/12</f>
        <v>1.9893960639097444E-9</v>
      </c>
      <c r="AC96" s="22">
        <f t="shared" si="57"/>
        <v>54.66424380446054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243.39119999999986</v>
      </c>
      <c r="AK96" s="13">
        <f t="shared" si="89"/>
        <v>59.168566788241527</v>
      </c>
      <c r="AL96" s="20">
        <f t="shared" si="58"/>
        <v>526.95826048952051</v>
      </c>
      <c r="AM96" s="59">
        <f t="shared" si="59"/>
        <v>820.29159382285388</v>
      </c>
      <c r="AN96" s="59">
        <f ca="1">AVERAGE(OFFSET($AM$3,0,0,'Données projet'!$E$10+1,1))-AVERAGE(OFFSET($H$3,0,0,'Données projet'!$E$10+1,1))</f>
        <v>364.3481978218424</v>
      </c>
      <c r="AO96" s="59">
        <f t="shared" si="90"/>
        <v>231.36959598460686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62.765508615815044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62.765508615815044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</v>
      </c>
      <c r="BD96" s="12">
        <f>IF('Données projet'!$A$88&gt;35,BD95+BC96-BL95,IF(A96&lt;'Données projet'!$A$88,$BA$205^A96,IF(A96='Données projet'!$A$88,'Données projet'!$B$88,BD95+BC96-BL95)))</f>
        <v>268.99999999999983</v>
      </c>
      <c r="BE96" s="13">
        <f>BD96*VLOOKUP('Données projet'!$B$11,Paramètres!$A$1:$I$89,3,0)*VLOOKUP('Données projet'!$B$11,Paramètres!$A$1:$I$89,5,0)</f>
        <v>272.76599999999985</v>
      </c>
      <c r="BF96" s="13">
        <f t="shared" si="91"/>
        <v>65.43593563008757</v>
      </c>
      <c r="BG96" s="20">
        <f t="shared" si="61"/>
        <v>589.03503788906892</v>
      </c>
      <c r="BH96" s="59">
        <f t="shared" si="62"/>
        <v>882.36837122240217</v>
      </c>
      <c r="BI96" s="59">
        <f ca="1">AVERAGE(OFFSET($BH$3,0,0,'Données projet'!$E$11+1,1))-AVERAGE(OFFSET($H$3,0,0,'Données projet'!$E$11+1,1))</f>
        <v>403.50418598112844</v>
      </c>
      <c r="BJ96" s="59">
        <f t="shared" si="92"/>
        <v>254.25036207346591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70.340656207378956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70.340656207378956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636.99999999999977</v>
      </c>
      <c r="O97" s="13">
        <f>N97*VLOOKUP('Données projet'!$B$9,Paramètres!$A$1:$I$89,3,0)*VLOOKUP('Données projet'!$B$9,Paramètres!$A$1:$I$89,5,0)</f>
        <v>356.08299999999991</v>
      </c>
      <c r="P97" s="13">
        <f t="shared" si="87"/>
        <v>82.813805255716545</v>
      </c>
      <c r="Q97" s="20">
        <f t="shared" si="54"/>
        <v>764.41193582037283</v>
      </c>
      <c r="R97" s="59">
        <f t="shared" si="55"/>
        <v>1057.7452691537062</v>
      </c>
      <c r="S97" s="59">
        <f ca="1">AVERAGE(OFFSET($R$3,0,0,'Données projet'!$E$9+1,1))-AVERAGE(OFFSET($H$3,0,0,'Données projet'!$E$9+1,1))</f>
        <v>443.34220761968419</v>
      </c>
      <c r="T97" s="59">
        <f t="shared" si="88"/>
        <v>546.58234447298014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49.84269518776842</v>
      </c>
      <c r="AA97" s="21">
        <f>EXP(-LN(2)/25)*AA96+(1-EXP(-LN(2)/25))/(LN(2)/25)*Calculateur!V97*Calculateur!X97*VLOOKUP('Données projet'!$B$9,Paramètres!$A$1:$I$89,3,0)*0.475*44/12</f>
        <v>3.7200302086167181</v>
      </c>
      <c r="AB97" s="21">
        <f>EXP(-LN(2)/2)*AB96+(1-EXP(-LN(2)/2))/(LN(2)/2)*V97*Y97*VLOOKUP('Données projet'!$B$9,Paramètres!$A$1:$I$89,3,0)*0.475*44/12</f>
        <v>1.4067154472564066E-9</v>
      </c>
      <c r="AC97" s="22">
        <f t="shared" si="57"/>
        <v>53.562725397791858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247.91519999999986</v>
      </c>
      <c r="AK97" s="13">
        <f t="shared" si="89"/>
        <v>60.139294964297406</v>
      </c>
      <c r="AL97" s="20">
        <f t="shared" si="58"/>
        <v>536.52824539615096</v>
      </c>
      <c r="AM97" s="59">
        <f t="shared" si="59"/>
        <v>829.86157872948434</v>
      </c>
      <c r="AN97" s="59">
        <f ca="1">AVERAGE(OFFSET($AM$3,0,0,'Données projet'!$E$10+1,1))-AVERAGE(OFFSET($H$3,0,0,'Données projet'!$E$10+1,1))</f>
        <v>364.3481978218424</v>
      </c>
      <c r="AO97" s="59">
        <f t="shared" si="90"/>
        <v>231.36959598460686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61.534715275039019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61.534715275039019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</v>
      </c>
      <c r="BD97" s="12">
        <f>IF('Données projet'!$A$88&gt;35,BD96+BC97-BL96,IF(A97&lt;'Données projet'!$A$88,$BA$205^A97,IF(A97='Données projet'!$A$88,'Données projet'!$B$88,BD96+BC97-BL96)))</f>
        <v>273.99999999999983</v>
      </c>
      <c r="BE97" s="13">
        <f>BD97*VLOOKUP('Données projet'!$B$11,Paramètres!$A$1:$I$89,3,0)*VLOOKUP('Données projet'!$B$11,Paramètres!$A$1:$I$89,5,0)</f>
        <v>277.83599999999984</v>
      </c>
      <c r="BF97" s="13">
        <f t="shared" si="91"/>
        <v>66.509487177652261</v>
      </c>
      <c r="BG97" s="20">
        <f t="shared" si="61"/>
        <v>599.73505683441078</v>
      </c>
      <c r="BH97" s="59">
        <f t="shared" si="62"/>
        <v>893.06839016774416</v>
      </c>
      <c r="BI97" s="59">
        <f ca="1">AVERAGE(OFFSET($BH$3,0,0,'Données projet'!$E$11+1,1))-AVERAGE(OFFSET($H$3,0,0,'Données projet'!$E$11+1,1))</f>
        <v>403.50418598112844</v>
      </c>
      <c r="BJ97" s="59">
        <f t="shared" si="92"/>
        <v>254.25036207346591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68.961318842716167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68.961318842716167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636.99999999999977</v>
      </c>
      <c r="O98" s="13">
        <f>N98*VLOOKUP('Données projet'!$B$9,Paramètres!$A$1:$I$89,3,0)*VLOOKUP('Données projet'!$B$9,Paramètres!$A$1:$I$89,5,0)</f>
        <v>356.08299999999991</v>
      </c>
      <c r="P98" s="13">
        <f t="shared" si="87"/>
        <v>82.813805255716545</v>
      </c>
      <c r="Q98" s="20">
        <f t="shared" si="54"/>
        <v>764.41193582037283</v>
      </c>
      <c r="R98" s="59">
        <f t="shared" si="55"/>
        <v>1057.7452691537062</v>
      </c>
      <c r="S98" s="59">
        <f ca="1">AVERAGE(OFFSET($R$3,0,0,'Données projet'!$E$9+1,1))-AVERAGE(OFFSET($H$3,0,0,'Données projet'!$E$9+1,1))</f>
        <v>443.34220761968419</v>
      </c>
      <c r="T98" s="59">
        <f t="shared" si="88"/>
        <v>546.58234447298014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48.865310336178496</v>
      </c>
      <c r="AA98" s="21">
        <f>EXP(-LN(2)/25)*AA97+(1-EXP(-LN(2)/25))/(LN(2)/25)*Calculateur!V98*Calculateur!X98*VLOOKUP('Données projet'!$B$9,Paramètres!$A$1:$I$89,3,0)*0.475*44/12</f>
        <v>3.6183057869342075</v>
      </c>
      <c r="AB98" s="21">
        <f>EXP(-LN(2)/2)*AB97+(1-EXP(-LN(2)/2))/(LN(2)/2)*V98*Y98*VLOOKUP('Données projet'!$B$9,Paramètres!$A$1:$I$89,3,0)*0.475*44/12</f>
        <v>9.9469803195487222E-10</v>
      </c>
      <c r="AC98" s="22">
        <f t="shared" si="57"/>
        <v>52.4836161241074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252.43919999999983</v>
      </c>
      <c r="AK98" s="13">
        <f t="shared" si="89"/>
        <v>61.107963296116218</v>
      </c>
      <c r="AL98" s="20">
        <f t="shared" si="58"/>
        <v>546.09464274073537</v>
      </c>
      <c r="AM98" s="59">
        <f t="shared" si="59"/>
        <v>839.42797607406874</v>
      </c>
      <c r="AN98" s="59">
        <f ca="1">AVERAGE(OFFSET($AM$3,0,0,'Données projet'!$E$10+1,1))-AVERAGE(OFFSET($H$3,0,0,'Données projet'!$E$10+1,1))</f>
        <v>364.3481978218424</v>
      </c>
      <c r="AO98" s="59">
        <f t="shared" si="90"/>
        <v>231.36959598460686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0.43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69.360130323560554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69.360130323560554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279</v>
      </c>
      <c r="BB98" s="12">
        <f>VLOOKUP(A98,'Données projet'!$A$87:$I$107,9,0)</f>
        <v>5</v>
      </c>
      <c r="BC98" s="12">
        <f t="array" ref="BC98">INDEX(BB:BB,MIN(IF(ISNUMBER(BB98:BB294),ROW(BB98:BB294),"")))</f>
        <v>5</v>
      </c>
      <c r="BD98" s="12">
        <f>IF('Données projet'!$A$88&gt;35,BD97+BC98-BL97,IF(A98&lt;'Données projet'!$A$88,$BA$205^A98,IF(A98='Données projet'!$A$88,'Données projet'!$B$88,BD97+BC98-BL97)))</f>
        <v>278.99999999999983</v>
      </c>
      <c r="BE98" s="13">
        <f>BD98*VLOOKUP('Données projet'!$B$11,Paramètres!$A$1:$I$89,3,0)*VLOOKUP('Données projet'!$B$11,Paramètres!$A$1:$I$89,5,0)</f>
        <v>282.90599999999989</v>
      </c>
      <c r="BF98" s="13">
        <f t="shared" si="91"/>
        <v>67.580760694123455</v>
      </c>
      <c r="BG98" s="20">
        <f t="shared" si="61"/>
        <v>610.43110820893151</v>
      </c>
      <c r="BH98" s="59">
        <f t="shared" si="62"/>
        <v>903.76444154226488</v>
      </c>
      <c r="BI98" s="59">
        <f ca="1">AVERAGE(OFFSET($BH$3,0,0,'Données projet'!$E$11+1,1))-AVERAGE(OFFSET($H$3,0,0,'Données projet'!$E$11+1,1))</f>
        <v>403.50418598112844</v>
      </c>
      <c r="BJ98" s="59">
        <f t="shared" si="92"/>
        <v>254.25036207346591</v>
      </c>
      <c r="BK98" s="15">
        <f>IF(ISNA(VLOOKUP(A98,'Données projet'!$A$87:$I$107,3,0)),0,VLOOKUP(A98,'Données projet'!$A$87:$I$107,3,0))</f>
        <v>15</v>
      </c>
      <c r="BL98" s="15">
        <f>IF(ISNA(VLOOKUP(A98,'Données projet'!$A$87:$I$107,4,0)),0,VLOOKUP(A98,'Données projet'!$A$87:$I$107,4,0))</f>
        <v>21</v>
      </c>
      <c r="BM98" s="16">
        <f>IF(ISNA(VLOOKUP(A98,'Données projet'!$A$87:$I$107,5,0)),0%,VLOOKUP(A98,'Données projet'!$A$87:$I$107,5,0)*VLOOKUP('Données projet'!$B$11,Paramètres!$A$1:$I$89,7,0))</f>
        <v>0.43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77.731180535024791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77.731180535024791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636.99999999999977</v>
      </c>
      <c r="O99" s="13">
        <f>N99*VLOOKUP('Données projet'!$B$9,Paramètres!$A$1:$I$89,3,0)*VLOOKUP('Données projet'!$B$9,Paramètres!$A$1:$I$89,5,0)</f>
        <v>356.08299999999991</v>
      </c>
      <c r="P99" s="13">
        <f t="shared" si="87"/>
        <v>82.813805255716545</v>
      </c>
      <c r="Q99" s="20">
        <f t="shared" ref="Q99:Q130" si="107">(O99+P99)*0.475*44/12</f>
        <v>764.41193582037283</v>
      </c>
      <c r="R99" s="59">
        <f t="shared" si="55"/>
        <v>1057.7452691537062</v>
      </c>
      <c r="S99" s="59">
        <f ca="1">AVERAGE(OFFSET($R$3,0,0,'Données projet'!$E$9+1,1))-AVERAGE(OFFSET($H$3,0,0,'Données projet'!$E$9+1,1))</f>
        <v>443.34220761968419</v>
      </c>
      <c r="T99" s="59">
        <f t="shared" si="88"/>
        <v>546.58234447298014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47.907091405382353</v>
      </c>
      <c r="AA99" s="21">
        <f>EXP(-LN(2)/25)*AA98+(1-EXP(-LN(2)/25))/(LN(2)/25)*Calculateur!V99*Calculateur!X99*VLOOKUP('Données projet'!$B$9,Paramètres!$A$1:$I$89,3,0)*0.475*44/12</f>
        <v>3.5193630249120598</v>
      </c>
      <c r="AB99" s="21">
        <f>EXP(-LN(2)/2)*AB98+(1-EXP(-LN(2)/2))/(LN(2)/2)*V99*Y99*VLOOKUP('Données projet'!$B$9,Paramètres!$A$1:$I$89,3,0)*0.475*44/12</f>
        <v>7.033577236282033E-10</v>
      </c>
      <c r="AC99" s="22">
        <f t="shared" si="57"/>
        <v>51.426454430997772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237.78143999999983</v>
      </c>
      <c r="AK99" s="13">
        <f t="shared" si="89"/>
        <v>57.9619387969109</v>
      </c>
      <c r="AL99" s="20">
        <f t="shared" si="58"/>
        <v>515.08638473795281</v>
      </c>
      <c r="AM99" s="59">
        <f t="shared" si="59"/>
        <v>808.41971807128607</v>
      </c>
      <c r="AN99" s="59">
        <f ca="1">AVERAGE(OFFSET($AM$3,0,0,'Données projet'!$E$10+1,1))-AVERAGE(OFFSET($H$3,0,0,'Données projet'!$E$10+1,1))</f>
        <v>364.3481978218424</v>
      </c>
      <c r="AO99" s="59">
        <f t="shared" si="90"/>
        <v>231.36959598460686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68.000020473417706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68.000020473417706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4.8</v>
      </c>
      <c r="BD99" s="12">
        <f>IF('Données projet'!$A$88&gt;35,BD98+BC99-BL98,IF(A99&lt;'Données projet'!$A$88,$BA$205^A99,IF(A99='Données projet'!$A$88,'Données projet'!$B$88,BD98+BC99-BL98)))</f>
        <v>262.79999999999984</v>
      </c>
      <c r="BE99" s="13">
        <f>BD99*VLOOKUP('Données projet'!$B$11,Paramètres!$A$1:$I$89,3,0)*VLOOKUP('Données projet'!$B$11,Paramètres!$A$1:$I$89,5,0)</f>
        <v>266.47919999999988</v>
      </c>
      <c r="BF99" s="13">
        <f t="shared" si="91"/>
        <v>64.101496824889622</v>
      </c>
      <c r="BG99" s="20">
        <f t="shared" si="61"/>
        <v>575.76138030334926</v>
      </c>
      <c r="BH99" s="59">
        <f t="shared" si="62"/>
        <v>869.09471363668263</v>
      </c>
      <c r="BI99" s="59">
        <f ca="1">AVERAGE(OFFSET($BH$3,0,0,'Données projet'!$E$11+1,1))-AVERAGE(OFFSET($H$3,0,0,'Données projet'!$E$11+1,1))</f>
        <v>403.50418598112844</v>
      </c>
      <c r="BJ99" s="59">
        <f t="shared" si="92"/>
        <v>254.25036207346591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76.206919496071606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76.206919496071606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636.99999999999977</v>
      </c>
      <c r="O100" s="13">
        <f>N100*VLOOKUP('Données projet'!$B$9,Paramètres!$A$1:$I$89,3,0)*VLOOKUP('Données projet'!$B$9,Paramètres!$A$1:$I$89,5,0)</f>
        <v>356.08299999999991</v>
      </c>
      <c r="P100" s="13">
        <f t="shared" si="87"/>
        <v>82.813805255716545</v>
      </c>
      <c r="Q100" s="20">
        <f t="shared" si="107"/>
        <v>764.41193582037283</v>
      </c>
      <c r="R100" s="59">
        <f t="shared" si="55"/>
        <v>1057.7452691537062</v>
      </c>
      <c r="S100" s="59">
        <f ca="1">AVERAGE(OFFSET($R$3,0,0,'Données projet'!$E$9+1,1))-AVERAGE(OFFSET($H$3,0,0,'Données projet'!$E$9+1,1))</f>
        <v>443.34220761968419</v>
      </c>
      <c r="T100" s="59">
        <f t="shared" si="88"/>
        <v>546.58234447298014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46.967662563363284</v>
      </c>
      <c r="AA100" s="21">
        <f>EXP(-LN(2)/25)*AA99+(1-EXP(-LN(2)/25))/(LN(2)/25)*Calculateur!V100*Calculateur!X100*VLOOKUP('Données projet'!$B$9,Paramètres!$A$1:$I$89,3,0)*0.475*44/12</f>
        <v>3.4231258579205814</v>
      </c>
      <c r="AB100" s="21">
        <f>EXP(-LN(2)/2)*AB99+(1-EXP(-LN(2)/2))/(LN(2)/2)*V100*Y100*VLOOKUP('Données projet'!$B$9,Paramètres!$A$1:$I$89,3,0)*0.475*44/12</f>
        <v>4.9734901597743611E-10</v>
      </c>
      <c r="AC100" s="22">
        <f t="shared" si="57"/>
        <v>50.390788421781217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242.12447999999986</v>
      </c>
      <c r="AK100" s="13">
        <f t="shared" si="89"/>
        <v>58.896387987806008</v>
      </c>
      <c r="AL100" s="20">
        <f t="shared" si="58"/>
        <v>524.27801174542856</v>
      </c>
      <c r="AM100" s="59">
        <f t="shared" si="59"/>
        <v>817.61134507876181</v>
      </c>
      <c r="AN100" s="59">
        <f ca="1">AVERAGE(OFFSET($AM$3,0,0,'Données projet'!$E$10+1,1))-AVERAGE(OFFSET($H$3,0,0,'Données projet'!$E$10+1,1))</f>
        <v>364.3481978218424</v>
      </c>
      <c r="AO100" s="59">
        <f t="shared" si="90"/>
        <v>231.36959598460686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66.666581547851067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66.666581547851067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4.8</v>
      </c>
      <c r="BD100" s="12">
        <f>IF('Données projet'!$A$88&gt;35,BD99+BC100-BL99,IF(A100&lt;'Données projet'!$A$88,$BA$205^A100,IF(A100='Données projet'!$A$88,'Données projet'!$B$88,BD99+BC100-BL99)))</f>
        <v>267.59999999999985</v>
      </c>
      <c r="BE100" s="13">
        <f>BD100*VLOOKUP('Données projet'!$B$11,Paramètres!$A$1:$I$89,3,0)*VLOOKUP('Données projet'!$B$11,Paramètres!$A$1:$I$89,5,0)</f>
        <v>271.34639999999985</v>
      </c>
      <c r="BF100" s="13">
        <f t="shared" si="91"/>
        <v>65.134926573557308</v>
      </c>
      <c r="BG100" s="20">
        <f t="shared" si="61"/>
        <v>586.03831044894537</v>
      </c>
      <c r="BH100" s="59">
        <f t="shared" si="62"/>
        <v>879.37164378227862</v>
      </c>
      <c r="BI100" s="59">
        <f ca="1">AVERAGE(OFFSET($BH$3,0,0,'Données projet'!$E$11+1,1))-AVERAGE(OFFSET($H$3,0,0,'Données projet'!$E$11+1,1))</f>
        <v>403.50418598112844</v>
      </c>
      <c r="BJ100" s="59">
        <f t="shared" si="92"/>
        <v>254.25036207346591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74.712548286384859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74.712548286384859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636.99999999999977</v>
      </c>
      <c r="O101" s="13">
        <f>N101*VLOOKUP('Données projet'!$B$9,Paramètres!$A$1:$I$89,3,0)*VLOOKUP('Données projet'!$B$9,Paramètres!$A$1:$I$89,5,0)</f>
        <v>356.08299999999991</v>
      </c>
      <c r="P101" s="13">
        <f t="shared" si="87"/>
        <v>82.813805255716545</v>
      </c>
      <c r="Q101" s="20">
        <f t="shared" si="107"/>
        <v>764.41193582037283</v>
      </c>
      <c r="R101" s="59">
        <f t="shared" si="55"/>
        <v>1057.7452691537062</v>
      </c>
      <c r="S101" s="59">
        <f ca="1">AVERAGE(OFFSET($R$3,0,0,'Données projet'!$E$9+1,1))-AVERAGE(OFFSET($H$3,0,0,'Données projet'!$E$9+1,1))</f>
        <v>443.34220761968419</v>
      </c>
      <c r="T101" s="59">
        <f t="shared" si="88"/>
        <v>546.58234447298014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46.04665534794119</v>
      </c>
      <c r="AA101" s="21">
        <f>EXP(-LN(2)/25)*AA100+(1-EXP(-LN(2)/25))/(LN(2)/25)*Calculateur!V101*Calculateur!X101*VLOOKUP('Données projet'!$B$9,Paramètres!$A$1:$I$89,3,0)*0.475*44/12</f>
        <v>3.3295203013213781</v>
      </c>
      <c r="AB101" s="21">
        <f>EXP(-LN(2)/2)*AB100+(1-EXP(-LN(2)/2))/(LN(2)/2)*V101*Y101*VLOOKUP('Données projet'!$B$9,Paramètres!$A$1:$I$89,3,0)*0.475*44/12</f>
        <v>3.5167886181410165E-10</v>
      </c>
      <c r="AC101" s="22">
        <f t="shared" si="57"/>
        <v>49.376175649614247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246.46751999999987</v>
      </c>
      <c r="AK101" s="13">
        <f t="shared" si="89"/>
        <v>59.828888074216977</v>
      </c>
      <c r="AL101" s="20">
        <f t="shared" si="58"/>
        <v>533.46624406259423</v>
      </c>
      <c r="AM101" s="59">
        <f t="shared" si="59"/>
        <v>826.7995773959276</v>
      </c>
      <c r="AN101" s="59">
        <f ca="1">AVERAGE(OFFSET($AM$3,0,0,'Données projet'!$E$10+1,1))-AVERAGE(OFFSET($H$3,0,0,'Données projet'!$E$10+1,1))</f>
        <v>364.3481978218424</v>
      </c>
      <c r="AO101" s="59">
        <f t="shared" si="90"/>
        <v>231.36959598460686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65.359290546297359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65.359290546297359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4.8</v>
      </c>
      <c r="BD101" s="12">
        <f>IF('Données projet'!$A$88&gt;35,BD100+BC101-BL100,IF(A101&lt;'Données projet'!$A$88,$BA$205^A101,IF(A101='Données projet'!$A$88,'Données projet'!$B$88,BD100+BC101-BL100)))</f>
        <v>272.39999999999986</v>
      </c>
      <c r="BE101" s="13">
        <f>BD101*VLOOKUP('Données projet'!$B$11,Paramètres!$A$1:$I$89,3,0)*VLOOKUP('Données projet'!$B$11,Paramètres!$A$1:$I$89,5,0)</f>
        <v>276.21359999999987</v>
      </c>
      <c r="BF101" s="13">
        <f t="shared" si="91"/>
        <v>66.166200760877416</v>
      </c>
      <c r="BG101" s="20">
        <f t="shared" si="61"/>
        <v>596.31148632519455</v>
      </c>
      <c r="BH101" s="59">
        <f t="shared" si="62"/>
        <v>889.64481965852792</v>
      </c>
      <c r="BI101" s="59">
        <f ca="1">AVERAGE(OFFSET($BH$3,0,0,'Données projet'!$E$11+1,1))-AVERAGE(OFFSET($H$3,0,0,'Données projet'!$E$11+1,1))</f>
        <v>403.50418598112844</v>
      </c>
      <c r="BJ101" s="59">
        <f t="shared" si="92"/>
        <v>254.25036207346591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73.247480784643628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73.247480784643628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636.99999999999977</v>
      </c>
      <c r="O102" s="13">
        <f>N102*VLOOKUP('Données projet'!$B$9,Paramètres!$A$1:$I$89,3,0)*VLOOKUP('Données projet'!$B$9,Paramètres!$A$1:$I$89,5,0)</f>
        <v>356.08299999999991</v>
      </c>
      <c r="P102" s="13">
        <f t="shared" si="87"/>
        <v>82.813805255716545</v>
      </c>
      <c r="Q102" s="20">
        <f t="shared" si="107"/>
        <v>764.41193582037283</v>
      </c>
      <c r="R102" s="59">
        <f t="shared" si="55"/>
        <v>1057.7452691537062</v>
      </c>
      <c r="S102" s="59">
        <f ca="1">AVERAGE(OFFSET($R$3,0,0,'Données projet'!$E$9+1,1))-AVERAGE(OFFSET($H$3,0,0,'Données projet'!$E$9+1,1))</f>
        <v>443.34220761968419</v>
      </c>
      <c r="T102" s="59">
        <f t="shared" si="88"/>
        <v>546.58234447298014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45.143708522254592</v>
      </c>
      <c r="AA102" s="21">
        <f>EXP(-LN(2)/25)*AA101+(1-EXP(-LN(2)/25))/(LN(2)/25)*Calculateur!V102*Calculateur!X102*VLOOKUP('Données projet'!$B$9,Paramètres!$A$1:$I$89,3,0)*0.475*44/12</f>
        <v>3.2384743935898821</v>
      </c>
      <c r="AB102" s="21">
        <f>EXP(-LN(2)/2)*AB101+(1-EXP(-LN(2)/2))/(LN(2)/2)*V102*Y102*VLOOKUP('Données projet'!$B$9,Paramètres!$A$1:$I$89,3,0)*0.475*44/12</f>
        <v>2.4867450798871805E-10</v>
      </c>
      <c r="AC102" s="22">
        <f t="shared" si="57"/>
        <v>48.38218291609315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250.8105599999999</v>
      </c>
      <c r="AK102" s="13">
        <f t="shared" si="89"/>
        <v>60.75947736410869</v>
      </c>
      <c r="AL102" s="20">
        <f t="shared" si="58"/>
        <v>542.65114840915578</v>
      </c>
      <c r="AM102" s="59">
        <f t="shared" si="59"/>
        <v>835.98448174248915</v>
      </c>
      <c r="AN102" s="59">
        <f ca="1">AVERAGE(OFFSET($AM$3,0,0,'Données projet'!$E$10+1,1))-AVERAGE(OFFSET($H$3,0,0,'Données projet'!$E$10+1,1))</f>
        <v>364.3481978218424</v>
      </c>
      <c r="AO102" s="59">
        <f t="shared" si="90"/>
        <v>231.36959598460686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64.077634723915338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64.077634723915338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4.8</v>
      </c>
      <c r="BD102" s="12">
        <f>IF('Données projet'!$A$88&gt;35,BD101+BC102-BL101,IF(A102&lt;'Données projet'!$A$88,$BA$205^A102,IF(A102='Données projet'!$A$88,'Données projet'!$B$88,BD101+BC102-BL101)))</f>
        <v>277.19999999999987</v>
      </c>
      <c r="BE102" s="13">
        <f>BD102*VLOOKUP('Données projet'!$B$11,Paramètres!$A$1:$I$89,3,0)*VLOOKUP('Données projet'!$B$11,Paramètres!$A$1:$I$89,5,0)</f>
        <v>281.0807999999999</v>
      </c>
      <c r="BF102" s="13">
        <f t="shared" si="91"/>
        <v>67.19536175254612</v>
      </c>
      <c r="BG102" s="20">
        <f t="shared" si="61"/>
        <v>606.58098171901759</v>
      </c>
      <c r="BH102" s="59">
        <f t="shared" si="62"/>
        <v>899.91431505235096</v>
      </c>
      <c r="BI102" s="59">
        <f ca="1">AVERAGE(OFFSET($BH$3,0,0,'Données projet'!$E$11+1,1))-AVERAGE(OFFSET($H$3,0,0,'Données projet'!$E$11+1,1))</f>
        <v>403.50418598112844</v>
      </c>
      <c r="BJ102" s="59">
        <f t="shared" si="92"/>
        <v>254.25036207346591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71.811142363008599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71.811142363008599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636.99999999999977</v>
      </c>
      <c r="O103" s="13">
        <f>N103*VLOOKUP('Données projet'!$B$9,Paramètres!$A$1:$I$89,3,0)*VLOOKUP('Données projet'!$B$9,Paramètres!$A$1:$I$89,5,0)</f>
        <v>356.08299999999991</v>
      </c>
      <c r="P103" s="13">
        <f t="shared" si="87"/>
        <v>82.813805255716545</v>
      </c>
      <c r="Q103" s="20">
        <f t="shared" si="107"/>
        <v>764.41193582037283</v>
      </c>
      <c r="R103" s="59">
        <f t="shared" si="55"/>
        <v>1057.7452691537062</v>
      </c>
      <c r="S103" s="59">
        <f ca="1">AVERAGE(OFFSET($R$3,0,0,'Données projet'!$E$9+1,1))-AVERAGE(OFFSET($H$3,0,0,'Données projet'!$E$9+1,1))</f>
        <v>443.34220761968419</v>
      </c>
      <c r="T103" s="59">
        <f t="shared" si="88"/>
        <v>546.58234447298014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44.258467933076531</v>
      </c>
      <c r="AA103" s="21">
        <f>EXP(-LN(2)/25)*AA102+(1-EXP(-LN(2)/25))/(LN(2)/25)*Calculateur!V103*Calculateur!X103*VLOOKUP('Données projet'!$B$9,Paramètres!$A$1:$I$89,3,0)*0.475*44/12</f>
        <v>3.1499181409932002</v>
      </c>
      <c r="AB103" s="21">
        <f>EXP(-LN(2)/2)*AB102+(1-EXP(-LN(2)/2))/(LN(2)/2)*V103*Y103*VLOOKUP('Données projet'!$B$9,Paramètres!$A$1:$I$89,3,0)*0.475*44/12</f>
        <v>1.7583943090705082E-10</v>
      </c>
      <c r="AC103" s="22">
        <f t="shared" si="57"/>
        <v>47.40838607424557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255.15359999999987</v>
      </c>
      <c r="AK103" s="13">
        <f t="shared" si="89"/>
        <v>61.688192762754376</v>
      </c>
      <c r="AL103" s="20">
        <f t="shared" si="58"/>
        <v>551.83278906179692</v>
      </c>
      <c r="AM103" s="59">
        <f t="shared" si="59"/>
        <v>845.16612239513029</v>
      </c>
      <c r="AN103" s="59">
        <f ca="1">AVERAGE(OFFSET($AM$3,0,0,'Données projet'!$E$10+1,1))-AVERAGE(OFFSET($H$3,0,0,'Données projet'!$E$10+1,1))</f>
        <v>364.3481978218424</v>
      </c>
      <c r="AO103" s="59">
        <f t="shared" si="90"/>
        <v>231.36959598460686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71.853184673072121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71.853184673072121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282</v>
      </c>
      <c r="BB103" s="12">
        <f>VLOOKUP(A103,'Données projet'!$A$87:$I$107,9,0)</f>
        <v>4.8</v>
      </c>
      <c r="BC103" s="12">
        <f t="array" ref="BC103">INDEX(BB:BB,MIN(IF(ISNUMBER(BB103:BB299),ROW(BB103:BB299),"")))</f>
        <v>4.8</v>
      </c>
      <c r="BD103" s="12">
        <f>IF('Données projet'!$A$88&gt;35,BD102+BC103-BL102,IF(A103&lt;'Données projet'!$A$88,$BA$205^A103,IF(A103='Données projet'!$A$88,'Données projet'!$B$88,BD102+BC103-BL102)))</f>
        <v>281.99999999999989</v>
      </c>
      <c r="BE103" s="13">
        <f>BD103*VLOOKUP('Données projet'!$B$11,Paramètres!$A$1:$I$89,3,0)*VLOOKUP('Données projet'!$B$11,Paramètres!$A$1:$I$89,5,0)</f>
        <v>285.94799999999992</v>
      </c>
      <c r="BF103" s="13">
        <f t="shared" si="91"/>
        <v>68.222450362989363</v>
      </c>
      <c r="BG103" s="20">
        <f t="shared" si="61"/>
        <v>616.84686771553959</v>
      </c>
      <c r="BH103" s="59">
        <f t="shared" si="62"/>
        <v>910.18020104887296</v>
      </c>
      <c r="BI103" s="59">
        <f ca="1">AVERAGE(OFFSET($BH$3,0,0,'Données projet'!$E$11+1,1))-AVERAGE(OFFSET($H$3,0,0,'Données projet'!$E$11+1,1))</f>
        <v>403.50418598112844</v>
      </c>
      <c r="BJ103" s="59">
        <f t="shared" si="92"/>
        <v>254.25036207346591</v>
      </c>
      <c r="BK103" s="15">
        <f>IF(ISNA(VLOOKUP(A103,'Données projet'!$A$87:$I$107,3,0)),0,VLOOKUP(A103,'Données projet'!$A$87:$I$107,3,0))</f>
        <v>16</v>
      </c>
      <c r="BL103" s="15">
        <f>IF(ISNA(VLOOKUP(A103,'Données projet'!$A$87:$I$107,4,0)),0,VLOOKUP(A103,'Données projet'!$A$87:$I$107,4,0))</f>
        <v>21</v>
      </c>
      <c r="BM103" s="16">
        <f>IF(ISNA(VLOOKUP(A103,'Données projet'!$A$87:$I$107,5,0)),0%,VLOOKUP(A103,'Données projet'!$A$87:$I$107,5,0)*VLOOKUP('Données projet'!$B$11,Paramètres!$A$1:$I$89,7,0))</f>
        <v>0.43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80.525120754305007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80.525120754305007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636.99999999999977</v>
      </c>
      <c r="O104" s="13">
        <f>N104*VLOOKUP('Données projet'!$B$9,Paramètres!$A$1:$I$89,3,0)*VLOOKUP('Données projet'!$B$9,Paramètres!$A$1:$I$89,5,0)</f>
        <v>356.08299999999991</v>
      </c>
      <c r="P104" s="13">
        <f t="shared" si="87"/>
        <v>82.813805255716545</v>
      </c>
      <c r="Q104" s="20">
        <f t="shared" si="107"/>
        <v>764.41193582037283</v>
      </c>
      <c r="R104" s="59">
        <f t="shared" si="55"/>
        <v>1057.7452691537062</v>
      </c>
      <c r="S104" s="59">
        <f ca="1">AVERAGE(OFFSET($R$3,0,0,'Données projet'!$E$9+1,1))-AVERAGE(OFFSET($H$3,0,0,'Données projet'!$E$9+1,1))</f>
        <v>443.34220761968419</v>
      </c>
      <c r="T104" s="59">
        <f t="shared" si="88"/>
        <v>546.58234447298014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43.390586371908803</v>
      </c>
      <c r="AA104" s="21">
        <f>EXP(-LN(2)/25)*AA103+(1-EXP(-LN(2)/25))/(LN(2)/25)*Calculateur!V104*Calculateur!X104*VLOOKUP('Données projet'!$B$9,Paramètres!$A$1:$I$89,3,0)*0.475*44/12</f>
        <v>3.0637834637807453</v>
      </c>
      <c r="AB104" s="21">
        <f>EXP(-LN(2)/2)*AB103+(1-EXP(-LN(2)/2))/(LN(2)/2)*V104*Y104*VLOOKUP('Données projet'!$B$9,Paramètres!$A$1:$I$89,3,0)*0.475*44/12</f>
        <v>1.2433725399435903E-10</v>
      </c>
      <c r="AC104" s="22">
        <f t="shared" si="57"/>
        <v>46.454369835813885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240.31487999999993</v>
      </c>
      <c r="AK104" s="13">
        <f t="shared" si="89"/>
        <v>58.50727327751612</v>
      </c>
      <c r="AL104" s="20">
        <f t="shared" si="58"/>
        <v>520.44858362500713</v>
      </c>
      <c r="AM104" s="59">
        <f t="shared" si="59"/>
        <v>813.78191695834039</v>
      </c>
      <c r="AN104" s="59">
        <f ca="1">AVERAGE(OFFSET($AM$3,0,0,'Données projet'!$E$10+1,1))-AVERAGE(OFFSET($H$3,0,0,'Données projet'!$E$10+1,1))</f>
        <v>364.3481978218424</v>
      </c>
      <c r="AO104" s="59">
        <f t="shared" si="90"/>
        <v>231.36959598460686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70.444187547748356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70.444187547748356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4.5999999999999996</v>
      </c>
      <c r="BD104" s="12">
        <f>IF('Données projet'!$A$88&gt;35,BD103+BC104-BL103,IF(A104&lt;'Données projet'!$A$88,$BA$205^A104,IF(A104='Données projet'!$A$88,'Données projet'!$B$88,BD103+BC104-BL103)))</f>
        <v>265.59999999999991</v>
      </c>
      <c r="BE104" s="13">
        <f>BD104*VLOOKUP('Données projet'!$B$11,Paramètres!$A$1:$I$89,3,0)*VLOOKUP('Données projet'!$B$11,Paramètres!$A$1:$I$89,5,0)</f>
        <v>269.31839999999994</v>
      </c>
      <c r="BF104" s="13">
        <f t="shared" si="91"/>
        <v>64.70459529265311</v>
      </c>
      <c r="BG104" s="20">
        <f t="shared" si="61"/>
        <v>581.75671680137077</v>
      </c>
      <c r="BH104" s="59">
        <f t="shared" si="62"/>
        <v>875.09005013470414</v>
      </c>
      <c r="BI104" s="59">
        <f ca="1">AVERAGE(OFFSET($BH$3,0,0,'Données projet'!$E$11+1,1))-AVERAGE(OFFSET($H$3,0,0,'Données projet'!$E$11+1,1))</f>
        <v>403.50418598112844</v>
      </c>
      <c r="BJ104" s="59">
        <f t="shared" si="92"/>
        <v>254.25036207346591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78.946072251787001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78.946072251787001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636.99999999999977</v>
      </c>
      <c r="O105" s="13">
        <f>N105*VLOOKUP('Données projet'!$B$9,Paramètres!$A$1:$I$89,3,0)*VLOOKUP('Données projet'!$B$9,Paramètres!$A$1:$I$89,5,0)</f>
        <v>356.08299999999991</v>
      </c>
      <c r="P105" s="13">
        <f t="shared" si="87"/>
        <v>82.813805255716545</v>
      </c>
      <c r="Q105" s="20">
        <f t="shared" si="107"/>
        <v>764.41193582037283</v>
      </c>
      <c r="R105" s="59">
        <f t="shared" si="55"/>
        <v>1057.7452691537062</v>
      </c>
      <c r="S105" s="59">
        <f ca="1">AVERAGE(OFFSET($R$3,0,0,'Données projet'!$E$9+1,1))-AVERAGE(OFFSET($H$3,0,0,'Données projet'!$E$9+1,1))</f>
        <v>443.34220761968419</v>
      </c>
      <c r="T105" s="59">
        <f t="shared" si="88"/>
        <v>546.58234447298014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42.539723438800095</v>
      </c>
      <c r="AA105" s="21">
        <f>EXP(-LN(2)/25)*AA104+(1-EXP(-LN(2)/25))/(LN(2)/25)*Calculateur!V105*Calculateur!X105*VLOOKUP('Données projet'!$B$9,Paramètres!$A$1:$I$89,3,0)*0.475*44/12</f>
        <v>2.980004143846291</v>
      </c>
      <c r="AB105" s="21">
        <f>EXP(-LN(2)/2)*AB104+(1-EXP(-LN(2)/2))/(LN(2)/2)*V105*Y105*VLOOKUP('Données projet'!$B$9,Paramètres!$A$1:$I$89,3,0)*0.475*44/12</f>
        <v>8.7919715453525412E-11</v>
      </c>
      <c r="AC105" s="22">
        <f t="shared" si="57"/>
        <v>45.519727582734312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244.47695999999993</v>
      </c>
      <c r="AK105" s="13">
        <f t="shared" si="89"/>
        <v>59.401731670234192</v>
      </c>
      <c r="AL105" s="20">
        <f t="shared" si="58"/>
        <v>529.25538799232447</v>
      </c>
      <c r="AM105" s="59">
        <f t="shared" si="59"/>
        <v>822.58872132565784</v>
      </c>
      <c r="AN105" s="59">
        <f ca="1">AVERAGE(OFFSET($AM$3,0,0,'Données projet'!$E$10+1,1))-AVERAGE(OFFSET($H$3,0,0,'Données projet'!$E$10+1,1))</f>
        <v>364.3481978218424</v>
      </c>
      <c r="AO105" s="59">
        <f t="shared" si="90"/>
        <v>231.36959598460686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69.062819996648798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69.062819996648798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4.5999999999999996</v>
      </c>
      <c r="BD105" s="12">
        <f>IF('Données projet'!$A$88&gt;35,BD104+BC105-BL104,IF(A105&lt;'Données projet'!$A$88,$BA$205^A105,IF(A105='Données projet'!$A$88,'Données projet'!$B$88,BD104+BC105-BL104)))</f>
        <v>270.19999999999993</v>
      </c>
      <c r="BE105" s="13">
        <f>BD105*VLOOKUP('Données projet'!$B$11,Paramètres!$A$1:$I$89,3,0)*VLOOKUP('Données projet'!$B$11,Paramètres!$A$1:$I$89,5,0)</f>
        <v>273.98279999999994</v>
      </c>
      <c r="BF105" s="13">
        <f t="shared" si="91"/>
        <v>65.693798259477774</v>
      </c>
      <c r="BG105" s="20">
        <f t="shared" si="61"/>
        <v>591.6034086352571</v>
      </c>
      <c r="BH105" s="59">
        <f t="shared" si="62"/>
        <v>884.93674196859047</v>
      </c>
      <c r="BI105" s="59">
        <f ca="1">AVERAGE(OFFSET($BH$3,0,0,'Données projet'!$E$11+1,1))-AVERAGE(OFFSET($H$3,0,0,'Données projet'!$E$11+1,1))</f>
        <v>403.50418598112844</v>
      </c>
      <c r="BJ105" s="59">
        <f t="shared" si="92"/>
        <v>254.25036207346591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77.397987927278876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77.397987927278876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636.99999999999977</v>
      </c>
      <c r="O106" s="13">
        <f>N106*VLOOKUP('Données projet'!$B$9,Paramètres!$A$1:$I$89,3,0)*VLOOKUP('Données projet'!$B$9,Paramètres!$A$1:$I$89,5,0)</f>
        <v>356.08299999999991</v>
      </c>
      <c r="P106" s="13">
        <f t="shared" si="87"/>
        <v>82.813805255716545</v>
      </c>
      <c r="Q106" s="20">
        <f t="shared" si="107"/>
        <v>764.41193582037283</v>
      </c>
      <c r="R106" s="59">
        <f t="shared" si="55"/>
        <v>1057.7452691537062</v>
      </c>
      <c r="S106" s="59">
        <f ca="1">AVERAGE(OFFSET($R$3,0,0,'Données projet'!$E$9+1,1))-AVERAGE(OFFSET($H$3,0,0,'Données projet'!$E$9+1,1))</f>
        <v>443.34220761968419</v>
      </c>
      <c r="T106" s="59">
        <f t="shared" si="88"/>
        <v>546.58234447298014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41.705545408834503</v>
      </c>
      <c r="AA106" s="21">
        <f>EXP(-LN(2)/25)*AA105+(1-EXP(-LN(2)/25))/(LN(2)/25)*Calculateur!V106*Calculateur!X106*VLOOKUP('Données projet'!$B$9,Paramètres!$A$1:$I$89,3,0)*0.475*44/12</f>
        <v>2.8985157738212073</v>
      </c>
      <c r="AB106" s="21">
        <f>EXP(-LN(2)/2)*AB105+(1-EXP(-LN(2)/2))/(LN(2)/2)*V106*Y106*VLOOKUP('Données projet'!$B$9,Paramètres!$A$1:$I$89,3,0)*0.475*44/12</f>
        <v>6.2168626997179514E-11</v>
      </c>
      <c r="AC106" s="22">
        <f t="shared" si="57"/>
        <v>44.604061182717878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248.63903999999994</v>
      </c>
      <c r="AK106" s="13">
        <f t="shared" si="89"/>
        <v>60.294419230169922</v>
      </c>
      <c r="AL106" s="20">
        <f t="shared" si="58"/>
        <v>538.05910815921254</v>
      </c>
      <c r="AM106" s="59">
        <f t="shared" si="59"/>
        <v>831.39244149254591</v>
      </c>
      <c r="AN106" s="59">
        <f ca="1">AVERAGE(OFFSET($AM$3,0,0,'Données projet'!$E$10+1,1))-AVERAGE(OFFSET($H$3,0,0,'Données projet'!$E$10+1,1))</f>
        <v>364.3481978218424</v>
      </c>
      <c r="AO106" s="59">
        <f t="shared" si="90"/>
        <v>231.36959598460686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67.708540220675303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67.708540220675303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4.5999999999999996</v>
      </c>
      <c r="BD106" s="12">
        <f>IF('Données projet'!$A$88&gt;35,BD105+BC106-BL105,IF(A106&lt;'Données projet'!$A$88,$BA$205^A106,IF(A106='Données projet'!$A$88,'Données projet'!$B$88,BD105+BC106-BL105)))</f>
        <v>274.79999999999995</v>
      </c>
      <c r="BE106" s="13">
        <f>BD106*VLOOKUP('Données projet'!$B$11,Paramètres!$A$1:$I$89,3,0)*VLOOKUP('Données projet'!$B$11,Paramètres!$A$1:$I$89,5,0)</f>
        <v>278.6472</v>
      </c>
      <c r="BF106" s="13">
        <f t="shared" si="91"/>
        <v>66.681042819901123</v>
      </c>
      <c r="BG106" s="20">
        <f t="shared" si="61"/>
        <v>601.44668957799445</v>
      </c>
      <c r="BH106" s="59">
        <f t="shared" si="62"/>
        <v>894.78002291132771</v>
      </c>
      <c r="BI106" s="59">
        <f ca="1">AVERAGE(OFFSET($BH$3,0,0,'Données projet'!$E$11+1,1))-AVERAGE(OFFSET($H$3,0,0,'Données projet'!$E$11+1,1))</f>
        <v>403.50418598112844</v>
      </c>
      <c r="BJ106" s="59">
        <f t="shared" si="92"/>
        <v>254.25036207346591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75.880260592136153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75.880260592136153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636.99999999999977</v>
      </c>
      <c r="O107" s="13">
        <f>N107*VLOOKUP('Données projet'!$B$9,Paramètres!$A$1:$I$89,3,0)*VLOOKUP('Données projet'!$B$9,Paramètres!$A$1:$I$89,5,0)</f>
        <v>356.08299999999991</v>
      </c>
      <c r="P107" s="13">
        <f t="shared" si="87"/>
        <v>82.813805255716545</v>
      </c>
      <c r="Q107" s="20">
        <f t="shared" si="107"/>
        <v>764.41193582037283</v>
      </c>
      <c r="R107" s="59">
        <f t="shared" si="55"/>
        <v>1057.7452691537062</v>
      </c>
      <c r="S107" s="59">
        <f ca="1">AVERAGE(OFFSET($R$3,0,0,'Données projet'!$E$9+1,1))-AVERAGE(OFFSET($H$3,0,0,'Données projet'!$E$9+1,1))</f>
        <v>443.34220761968419</v>
      </c>
      <c r="T107" s="59">
        <f t="shared" si="88"/>
        <v>546.58234447298014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40.887725101238175</v>
      </c>
      <c r="AA107" s="21">
        <f>EXP(-LN(2)/25)*AA106+(1-EXP(-LN(2)/25))/(LN(2)/25)*Calculateur!V107*Calculateur!X107*VLOOKUP('Données projet'!$B$9,Paramètres!$A$1:$I$89,3,0)*0.475*44/12</f>
        <v>2.8192557075597464</v>
      </c>
      <c r="AB107" s="21">
        <f>EXP(-LN(2)/2)*AB106+(1-EXP(-LN(2)/2))/(LN(2)/2)*V107*Y107*VLOOKUP('Données projet'!$B$9,Paramètres!$A$1:$I$89,3,0)*0.475*44/12</f>
        <v>4.3959857726762706E-11</v>
      </c>
      <c r="AC107" s="22">
        <f t="shared" si="57"/>
        <v>43.706980808841884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252.80111999999994</v>
      </c>
      <c r="AK107" s="13">
        <f t="shared" si="89"/>
        <v>61.185369021394209</v>
      </c>
      <c r="AL107" s="20">
        <f t="shared" si="58"/>
        <v>546.8598017122614</v>
      </c>
      <c r="AM107" s="59">
        <f t="shared" si="59"/>
        <v>840.19313504559477</v>
      </c>
      <c r="AN107" s="59">
        <f ca="1">AVERAGE(OFFSET($AM$3,0,0,'Données projet'!$E$10+1,1))-AVERAGE(OFFSET($H$3,0,0,'Données projet'!$E$10+1,1))</f>
        <v>364.3481978218424</v>
      </c>
      <c r="AO107" s="59">
        <f t="shared" si="90"/>
        <v>231.36959598460686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66.380817045079539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66.380817045079539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4.5999999999999996</v>
      </c>
      <c r="BD107" s="12">
        <f>IF('Données projet'!$A$88&gt;35,BD106+BC107-BL106,IF(A107&lt;'Données projet'!$A$88,$BA$205^A107,IF(A107='Données projet'!$A$88,'Données projet'!$B$88,BD106+BC107-BL106)))</f>
        <v>279.39999999999998</v>
      </c>
      <c r="BE107" s="13">
        <f>BD107*VLOOKUP('Données projet'!$B$11,Paramètres!$A$1:$I$89,3,0)*VLOOKUP('Données projet'!$B$11,Paramètres!$A$1:$I$89,5,0)</f>
        <v>283.3116</v>
      </c>
      <c r="BF107" s="13">
        <f t="shared" si="91"/>
        <v>67.666365540271272</v>
      </c>
      <c r="BG107" s="20">
        <f t="shared" si="61"/>
        <v>611.28662331597241</v>
      </c>
      <c r="BH107" s="59">
        <f t="shared" si="62"/>
        <v>904.61995664930578</v>
      </c>
      <c r="BI107" s="59">
        <f ca="1">AVERAGE(OFFSET($BH$3,0,0,'Données projet'!$E$11+1,1))-AVERAGE(OFFSET($H$3,0,0,'Données projet'!$E$11+1,1))</f>
        <v>403.50418598112844</v>
      </c>
      <c r="BJ107" s="59">
        <f t="shared" si="92"/>
        <v>254.25036207346591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74.392294964313322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74.392294964313322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636.99999999999977</v>
      </c>
      <c r="O108" s="13">
        <f>N108*VLOOKUP('Données projet'!$B$9,Paramètres!$A$1:$I$89,3,0)*VLOOKUP('Données projet'!$B$9,Paramètres!$A$1:$I$89,5,0)</f>
        <v>356.08299999999991</v>
      </c>
      <c r="P108" s="13">
        <f t="shared" si="87"/>
        <v>82.813805255716545</v>
      </c>
      <c r="Q108" s="20">
        <f t="shared" si="107"/>
        <v>764.41193582037283</v>
      </c>
      <c r="R108" s="59">
        <f t="shared" si="55"/>
        <v>1057.7452691537062</v>
      </c>
      <c r="S108" s="59">
        <f ca="1">AVERAGE(OFFSET($R$3,0,0,'Données projet'!$E$9+1,1))-AVERAGE(OFFSET($H$3,0,0,'Données projet'!$E$9+1,1))</f>
        <v>443.34220761968419</v>
      </c>
      <c r="T108" s="59">
        <f t="shared" si="88"/>
        <v>546.58234447298014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40.08594175105268</v>
      </c>
      <c r="AA108" s="21">
        <f>EXP(-LN(2)/25)*AA107+(1-EXP(-LN(2)/25))/(LN(2)/25)*Calculateur!V108*Calculateur!X108*VLOOKUP('Données projet'!$B$9,Paramètres!$A$1:$I$89,3,0)*0.475*44/12</f>
        <v>2.7421630119783109</v>
      </c>
      <c r="AB108" s="21">
        <f>EXP(-LN(2)/2)*AB107+(1-EXP(-LN(2)/2))/(LN(2)/2)*V108*Y108*VLOOKUP('Données projet'!$B$9,Paramètres!$A$1:$I$89,3,0)*0.475*44/12</f>
        <v>3.1084313498589757E-11</v>
      </c>
      <c r="AC108" s="22">
        <f t="shared" si="57"/>
        <v>42.828104763062079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256.96320000000003</v>
      </c>
      <c r="AK108" s="13">
        <f t="shared" si="89"/>
        <v>62.074612956838024</v>
      </c>
      <c r="AL108" s="20">
        <f t="shared" si="58"/>
        <v>555.65752423315951</v>
      </c>
      <c r="AM108" s="59">
        <f t="shared" si="59"/>
        <v>848.99085756649288</v>
      </c>
      <c r="AN108" s="59">
        <f ca="1">AVERAGE(OFFSET($AM$3,0,0,'Données projet'!$E$10+1,1))-AVERAGE(OFFSET($H$3,0,0,'Données projet'!$E$10+1,1))</f>
        <v>364.3481978218424</v>
      </c>
      <c r="AO108" s="59">
        <f t="shared" si="90"/>
        <v>231.36959598460686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0.43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73.681104265978192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73.681104265978192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284</v>
      </c>
      <c r="BB108" s="12">
        <f>VLOOKUP(A108,'Données projet'!$A$87:$I$107,9,0)</f>
        <v>4.5999999999999996</v>
      </c>
      <c r="BC108" s="12">
        <f t="array" ref="BC108">INDEX(BB:BB,MIN(IF(ISNUMBER(BB108:BB304),ROW(BB108:BB304),"")))</f>
        <v>4.5999999999999996</v>
      </c>
      <c r="BD108" s="12">
        <f>IF('Données projet'!$A$88&gt;35,BD107+BC108-BL107,IF(A108&lt;'Données projet'!$A$88,$BA$205^A108,IF(A108='Données projet'!$A$88,'Données projet'!$B$88,BD107+BC108-BL107)))</f>
        <v>284</v>
      </c>
      <c r="BE108" s="13">
        <f>BD108*VLOOKUP('Données projet'!$B$11,Paramètres!$A$1:$I$89,3,0)*VLOOKUP('Données projet'!$B$11,Paramètres!$A$1:$I$89,5,0)</f>
        <v>287.976</v>
      </c>
      <c r="BF108" s="13">
        <f t="shared" si="91"/>
        <v>68.649801713863141</v>
      </c>
      <c r="BG108" s="20">
        <f t="shared" si="61"/>
        <v>621.12327131831159</v>
      </c>
      <c r="BH108" s="59">
        <f t="shared" si="62"/>
        <v>914.45660465164497</v>
      </c>
      <c r="BI108" s="59">
        <f ca="1">AVERAGE(OFFSET($BH$3,0,0,'Données projet'!$E$11+1,1))-AVERAGE(OFFSET($H$3,0,0,'Données projet'!$E$11+1,1))</f>
        <v>403.50418598112844</v>
      </c>
      <c r="BJ108" s="59">
        <f t="shared" si="92"/>
        <v>254.25036207346591</v>
      </c>
      <c r="BK108" s="15">
        <f>IF(ISNA(VLOOKUP(A108,'Données projet'!$A$87:$I$107,3,0)),0,VLOOKUP(A108,'Données projet'!$A$87:$I$107,3,0))</f>
        <v>17</v>
      </c>
      <c r="BL108" s="15">
        <f>IF(ISNA(VLOOKUP(A108,'Données projet'!$A$87:$I$107,4,0)),0,VLOOKUP(A108,'Données projet'!$A$87:$I$107,4,0))</f>
        <v>20</v>
      </c>
      <c r="BM108" s="16">
        <f>IF(ISNA(VLOOKUP(A108,'Données projet'!$A$87:$I$107,5,0)),0%,VLOOKUP(A108,'Données projet'!$A$87:$I$107,5,0)*VLOOKUP('Données projet'!$B$11,Paramètres!$A$1:$I$89,7,0))</f>
        <v>0.43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82.573651332561809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82.573651332561809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636.99999999999977</v>
      </c>
      <c r="O109" s="13">
        <f>N109*VLOOKUP('Données projet'!$B$9,Paramètres!$A$1:$I$89,3,0)*VLOOKUP('Données projet'!$B$9,Paramètres!$A$1:$I$89,5,0)</f>
        <v>356.08299999999991</v>
      </c>
      <c r="P109" s="13">
        <f t="shared" si="87"/>
        <v>82.813805255716545</v>
      </c>
      <c r="Q109" s="20">
        <f t="shared" si="107"/>
        <v>764.41193582037283</v>
      </c>
      <c r="R109" s="59">
        <f t="shared" si="55"/>
        <v>1057.7452691537062</v>
      </c>
      <c r="S109" s="59">
        <f ca="1">AVERAGE(OFFSET($R$3,0,0,'Données projet'!$E$9+1,1))-AVERAGE(OFFSET($H$3,0,0,'Données projet'!$E$9+1,1))</f>
        <v>443.34220761968419</v>
      </c>
      <c r="T109" s="59">
        <f t="shared" si="88"/>
        <v>546.58234447298014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39.299880883324768</v>
      </c>
      <c r="AA109" s="21">
        <f>EXP(-LN(2)/25)*AA108+(1-EXP(-LN(2)/25))/(LN(2)/25)*Calculateur!V109*Calculateur!X109*VLOOKUP('Données projet'!$B$9,Paramètres!$A$1:$I$89,3,0)*0.475*44/12</f>
        <v>2.6671784202116786</v>
      </c>
      <c r="AB109" s="21">
        <f>EXP(-LN(2)/2)*AB108+(1-EXP(-LN(2)/2))/(LN(2)/2)*V109*Y109*VLOOKUP('Données projet'!$B$9,Paramètres!$A$1:$I$89,3,0)*0.475*44/12</f>
        <v>2.1979928863381353E-11</v>
      </c>
      <c r="AC109" s="22">
        <f t="shared" si="57"/>
        <v>41.967059303558422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242.66735999999997</v>
      </c>
      <c r="AK109" s="13">
        <f t="shared" si="89"/>
        <v>59.013056290731797</v>
      </c>
      <c r="AL109" s="20">
        <f t="shared" si="58"/>
        <v>525.42672503969118</v>
      </c>
      <c r="AM109" s="59">
        <f t="shared" si="59"/>
        <v>818.76005837302455</v>
      </c>
      <c r="AN109" s="59">
        <f ca="1">AVERAGE(OFFSET($AM$3,0,0,'Données projet'!$E$10+1,1))-AVERAGE(OFFSET($H$3,0,0,'Données projet'!$E$10+1,1))</f>
        <v>364.3481978218424</v>
      </c>
      <c r="AO109" s="59">
        <f t="shared" si="90"/>
        <v>231.36959598460686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72.2362627523584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72.2362627523584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4.2</v>
      </c>
      <c r="BD109" s="12">
        <f>IF('Données projet'!$A$88&gt;35,BD108+BC109-BL108,IF(A109&lt;'Données projet'!$A$88,$BA$205^A109,IF(A109='Données projet'!$A$88,'Données projet'!$B$88,BD108+BC109-BL108)))</f>
        <v>268.2</v>
      </c>
      <c r="BE109" s="13">
        <f>BD109*VLOOKUP('Données projet'!$B$11,Paramètres!$A$1:$I$89,3,0)*VLOOKUP('Données projet'!$B$11,Paramètres!$A$1:$I$89,5,0)</f>
        <v>271.95480000000003</v>
      </c>
      <c r="BF109" s="13">
        <f t="shared" si="91"/>
        <v>65.263952845017442</v>
      </c>
      <c r="BG109" s="20">
        <f t="shared" si="61"/>
        <v>587.322661205072</v>
      </c>
      <c r="BH109" s="59">
        <f t="shared" si="62"/>
        <v>880.65599453840537</v>
      </c>
      <c r="BI109" s="59">
        <f ca="1">AVERAGE(OFFSET($BH$3,0,0,'Données projet'!$E$11+1,1))-AVERAGE(OFFSET($H$3,0,0,'Données projet'!$E$11+1,1))</f>
        <v>403.50418598112844</v>
      </c>
      <c r="BJ109" s="59">
        <f t="shared" si="92"/>
        <v>254.25036207346591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80.954432394884464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80.954432394884464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636.99999999999977</v>
      </c>
      <c r="O110" s="13">
        <f>N110*VLOOKUP('Données projet'!$B$9,Paramètres!$A$1:$I$89,3,0)*VLOOKUP('Données projet'!$B$9,Paramètres!$A$1:$I$89,5,0)</f>
        <v>356.08299999999991</v>
      </c>
      <c r="P110" s="13">
        <f t="shared" si="87"/>
        <v>82.813805255716545</v>
      </c>
      <c r="Q110" s="20">
        <f t="shared" si="107"/>
        <v>764.41193582037283</v>
      </c>
      <c r="R110" s="59">
        <f t="shared" si="55"/>
        <v>1057.7452691537062</v>
      </c>
      <c r="S110" s="59">
        <f ca="1">AVERAGE(OFFSET($R$3,0,0,'Données projet'!$E$9+1,1))-AVERAGE(OFFSET($H$3,0,0,'Données projet'!$E$9+1,1))</f>
        <v>443.34220761968419</v>
      </c>
      <c r="T110" s="59">
        <f t="shared" si="88"/>
        <v>546.58234447298014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38.529234189763208</v>
      </c>
      <c r="AA110" s="21">
        <f>EXP(-LN(2)/25)*AA109+(1-EXP(-LN(2)/25))/(LN(2)/25)*Calculateur!V110*Calculateur!X110*VLOOKUP('Données projet'!$B$9,Paramètres!$A$1:$I$89,3,0)*0.475*44/12</f>
        <v>2.5942442860501731</v>
      </c>
      <c r="AB110" s="21">
        <f>EXP(-LN(2)/2)*AB109+(1-EXP(-LN(2)/2))/(LN(2)/2)*V110*Y110*VLOOKUP('Données projet'!$B$9,Paramètres!$A$1:$I$89,3,0)*0.475*44/12</f>
        <v>1.5542156749294878E-11</v>
      </c>
      <c r="AC110" s="22">
        <f t="shared" si="57"/>
        <v>41.123478475828918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246.46751999999995</v>
      </c>
      <c r="AK110" s="13">
        <f t="shared" si="89"/>
        <v>59.828888074216977</v>
      </c>
      <c r="AL110" s="20">
        <f t="shared" si="58"/>
        <v>533.46624406259446</v>
      </c>
      <c r="AM110" s="59">
        <f t="shared" si="59"/>
        <v>826.79957739592783</v>
      </c>
      <c r="AN110" s="59">
        <f ca="1">AVERAGE(OFFSET($AM$3,0,0,'Données projet'!$E$10+1,1))-AVERAGE(OFFSET($H$3,0,0,'Données projet'!$E$10+1,1))</f>
        <v>364.3481978218424</v>
      </c>
      <c r="AO110" s="59">
        <f t="shared" si="90"/>
        <v>231.36959598460686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70.819753699554383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70.819753699554383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4.2</v>
      </c>
      <c r="BD110" s="12">
        <f>IF('Données projet'!$A$88&gt;35,BD109+BC110-BL109,IF(A110&lt;'Données projet'!$A$88,$BA$205^A110,IF(A110='Données projet'!$A$88,'Données projet'!$B$88,BD109+BC110-BL109)))</f>
        <v>272.39999999999998</v>
      </c>
      <c r="BE110" s="13">
        <f>BD110*VLOOKUP('Données projet'!$B$11,Paramètres!$A$1:$I$89,3,0)*VLOOKUP('Données projet'!$B$11,Paramètres!$A$1:$I$89,5,0)</f>
        <v>276.21359999999999</v>
      </c>
      <c r="BF110" s="13">
        <f t="shared" si="91"/>
        <v>66.166200760877473</v>
      </c>
      <c r="BG110" s="20">
        <f t="shared" si="61"/>
        <v>596.31148632519489</v>
      </c>
      <c r="BH110" s="59">
        <f t="shared" si="62"/>
        <v>889.64481965852815</v>
      </c>
      <c r="BI110" s="59">
        <f ca="1">AVERAGE(OFFSET($BH$3,0,0,'Données projet'!$E$11+1,1))-AVERAGE(OFFSET($H$3,0,0,'Données projet'!$E$11+1,1))</f>
        <v>403.50418598112844</v>
      </c>
      <c r="BJ110" s="59">
        <f t="shared" si="92"/>
        <v>254.25036207346591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79.366965352948938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79.366965352948938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636.99999999999977</v>
      </c>
      <c r="O111" s="13">
        <f>N111*VLOOKUP('Données projet'!$B$9,Paramètres!$A$1:$I$89,3,0)*VLOOKUP('Données projet'!$B$9,Paramètres!$A$1:$I$89,5,0)</f>
        <v>356.08299999999991</v>
      </c>
      <c r="P111" s="13">
        <f t="shared" si="87"/>
        <v>82.813805255716545</v>
      </c>
      <c r="Q111" s="20">
        <f t="shared" si="107"/>
        <v>764.41193582037283</v>
      </c>
      <c r="R111" s="59">
        <f t="shared" si="55"/>
        <v>1057.7452691537062</v>
      </c>
      <c r="S111" s="59">
        <f ca="1">AVERAGE(OFFSET($R$3,0,0,'Données projet'!$E$9+1,1))-AVERAGE(OFFSET($H$3,0,0,'Données projet'!$E$9+1,1))</f>
        <v>443.34220761968419</v>
      </c>
      <c r="T111" s="59">
        <f t="shared" si="88"/>
        <v>546.58234447298014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37.773699407814327</v>
      </c>
      <c r="AA111" s="21">
        <f>EXP(-LN(2)/25)*AA110+(1-EXP(-LN(2)/25))/(LN(2)/25)*Calculateur!V111*Calculateur!X111*VLOOKUP('Données projet'!$B$9,Paramètres!$A$1:$I$89,3,0)*0.475*44/12</f>
        <v>2.5233045396227531</v>
      </c>
      <c r="AB111" s="21">
        <f>EXP(-LN(2)/2)*AB110+(1-EXP(-LN(2)/2))/(LN(2)/2)*V111*Y111*VLOOKUP('Données projet'!$B$9,Paramètres!$A$1:$I$89,3,0)*0.475*44/12</f>
        <v>1.0989964431690677E-11</v>
      </c>
      <c r="AC111" s="22">
        <f t="shared" si="57"/>
        <v>40.297003947448069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250.26767999999996</v>
      </c>
      <c r="AK111" s="13">
        <f t="shared" si="89"/>
        <v>60.643256925083442</v>
      </c>
      <c r="AL111" s="20">
        <f t="shared" si="58"/>
        <v>541.50321514452014</v>
      </c>
      <c r="AM111" s="59">
        <f t="shared" si="59"/>
        <v>834.83654847785351</v>
      </c>
      <c r="AN111" s="59">
        <f ca="1">AVERAGE(OFFSET($AM$3,0,0,'Données projet'!$E$10+1,1))-AVERAGE(OFFSET($H$3,0,0,'Données projet'!$E$10+1,1))</f>
        <v>364.3481978218424</v>
      </c>
      <c r="AO111" s="59">
        <f t="shared" si="90"/>
        <v>231.36959598460686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69.431021525290646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69.431021525290646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4.2</v>
      </c>
      <c r="BD111" s="12">
        <f>IF('Données projet'!$A$88&gt;35,BD110+BC111-BL110,IF(A111&lt;'Données projet'!$A$88,$BA$205^A111,IF(A111='Données projet'!$A$88,'Données projet'!$B$88,BD110+BC111-BL110)))</f>
        <v>276.59999999999997</v>
      </c>
      <c r="BE111" s="13">
        <f>BD111*VLOOKUP('Données projet'!$B$11,Paramètres!$A$1:$I$89,3,0)*VLOOKUP('Données projet'!$B$11,Paramètres!$A$1:$I$89,5,0)</f>
        <v>280.47239999999999</v>
      </c>
      <c r="BF111" s="13">
        <f t="shared" si="91"/>
        <v>67.066830784504006</v>
      </c>
      <c r="BG111" s="20">
        <f t="shared" si="61"/>
        <v>605.29749361634447</v>
      </c>
      <c r="BH111" s="59">
        <f t="shared" si="62"/>
        <v>898.63082694967784</v>
      </c>
      <c r="BI111" s="59">
        <f ca="1">AVERAGE(OFFSET($BH$3,0,0,'Données projet'!$E$11+1,1))-AVERAGE(OFFSET($H$3,0,0,'Données projet'!$E$11+1,1))</f>
        <v>403.50418598112844</v>
      </c>
      <c r="BJ111" s="59">
        <f t="shared" si="92"/>
        <v>254.25036207346591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77.810627571446474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77.810627571446474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636.99999999999977</v>
      </c>
      <c r="O112" s="13">
        <f>N112*VLOOKUP('Données projet'!$B$9,Paramètres!$A$1:$I$89,3,0)*VLOOKUP('Données projet'!$B$9,Paramètres!$A$1:$I$89,5,0)</f>
        <v>356.08299999999991</v>
      </c>
      <c r="P112" s="13">
        <f t="shared" si="87"/>
        <v>82.813805255716545</v>
      </c>
      <c r="Q112" s="20">
        <f t="shared" si="107"/>
        <v>764.41193582037283</v>
      </c>
      <c r="R112" s="59">
        <f t="shared" si="55"/>
        <v>1057.7452691537062</v>
      </c>
      <c r="S112" s="59">
        <f ca="1">AVERAGE(OFFSET($R$3,0,0,'Données projet'!$E$9+1,1))-AVERAGE(OFFSET($H$3,0,0,'Données projet'!$E$9+1,1))</f>
        <v>443.34220761968419</v>
      </c>
      <c r="T112" s="59">
        <f t="shared" si="88"/>
        <v>546.58234447298014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37.032980202108746</v>
      </c>
      <c r="AA112" s="21">
        <f>EXP(-LN(2)/25)*AA111+(1-EXP(-LN(2)/25))/(LN(2)/25)*Calculateur!V112*Calculateur!X112*VLOOKUP('Données projet'!$B$9,Paramètres!$A$1:$I$89,3,0)*0.475*44/12</f>
        <v>2.4543046442919505</v>
      </c>
      <c r="AB112" s="21">
        <f>EXP(-LN(2)/2)*AB111+(1-EXP(-LN(2)/2))/(LN(2)/2)*V112*Y112*VLOOKUP('Données projet'!$B$9,Paramètres!$A$1:$I$89,3,0)*0.475*44/12</f>
        <v>7.7710783746474392E-12</v>
      </c>
      <c r="AC112" s="22">
        <f t="shared" si="57"/>
        <v>39.487284846408471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254.06783999999996</v>
      </c>
      <c r="AK112" s="13">
        <f t="shared" si="89"/>
        <v>61.456187622750718</v>
      </c>
      <c r="AL112" s="20">
        <f t="shared" si="58"/>
        <v>549.53768144295748</v>
      </c>
      <c r="AM112" s="59">
        <f t="shared" si="59"/>
        <v>842.87101477629085</v>
      </c>
      <c r="AN112" s="59">
        <f ca="1">AVERAGE(OFFSET($AM$3,0,0,'Données projet'!$E$10+1,1))-AVERAGE(OFFSET($H$3,0,0,'Données projet'!$E$10+1,1))</f>
        <v>364.3481978218424</v>
      </c>
      <c r="AO112" s="59">
        <f t="shared" si="90"/>
        <v>231.36959598460686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68.069521541921233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68.069521541921233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4.2</v>
      </c>
      <c r="BD112" s="12">
        <f>IF('Données projet'!$A$88&gt;35,BD111+BC112-BL111,IF(A112&lt;'Données projet'!$A$88,$BA$205^A112,IF(A112='Données projet'!$A$88,'Données projet'!$B$88,BD111+BC112-BL111)))</f>
        <v>280.79999999999995</v>
      </c>
      <c r="BE112" s="13">
        <f>BD112*VLOOKUP('Données projet'!$B$11,Paramètres!$A$1:$I$89,3,0)*VLOOKUP('Données projet'!$B$11,Paramètres!$A$1:$I$89,5,0)</f>
        <v>284.7312</v>
      </c>
      <c r="BF112" s="13">
        <f t="shared" si="91"/>
        <v>67.96587032005101</v>
      </c>
      <c r="BG112" s="20">
        <f t="shared" si="61"/>
        <v>614.28073080742217</v>
      </c>
      <c r="BH112" s="59">
        <f t="shared" si="62"/>
        <v>907.61406414075554</v>
      </c>
      <c r="BI112" s="59">
        <f ca="1">AVERAGE(OFFSET($BH$3,0,0,'Données projet'!$E$11+1,1))-AVERAGE(OFFSET($H$3,0,0,'Données projet'!$E$11+1,1))</f>
        <v>403.50418598112844</v>
      </c>
      <c r="BJ112" s="59">
        <f t="shared" si="92"/>
        <v>254.25036207346591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76.284808624566963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76.284808624566963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636.99999999999977</v>
      </c>
      <c r="O113" s="13">
        <f>N113*VLOOKUP('Données projet'!$B$9,Paramètres!$A$1:$I$89,3,0)*VLOOKUP('Données projet'!$B$9,Paramètres!$A$1:$I$89,5,0)</f>
        <v>356.08299999999991</v>
      </c>
      <c r="P113" s="13">
        <f t="shared" si="87"/>
        <v>82.813805255716545</v>
      </c>
      <c r="Q113" s="20">
        <f t="shared" si="107"/>
        <v>764.41193582037283</v>
      </c>
      <c r="R113" s="59">
        <f t="shared" si="55"/>
        <v>1057.7452691537062</v>
      </c>
      <c r="S113" s="59">
        <f ca="1">AVERAGE(OFFSET($R$3,0,0,'Données projet'!$E$9+1,1))-AVERAGE(OFFSET($H$3,0,0,'Données projet'!$E$9+1,1))</f>
        <v>443.34220761968419</v>
      </c>
      <c r="T113" s="59">
        <f t="shared" si="88"/>
        <v>546.58234447298014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36.306786048232951</v>
      </c>
      <c r="AA113" s="21">
        <f>EXP(-LN(2)/25)*AA112+(1-EXP(-LN(2)/25))/(LN(2)/25)*Calculateur!V113*Calculateur!X113*VLOOKUP('Données projet'!$B$9,Paramètres!$A$1:$I$89,3,0)*0.475*44/12</f>
        <v>2.3871915547275151</v>
      </c>
      <c r="AB113" s="21">
        <f>EXP(-LN(2)/2)*AB112+(1-EXP(-LN(2)/2))/(LN(2)/2)*V113*Y113*VLOOKUP('Données projet'!$B$9,Paramètres!$A$1:$I$89,3,0)*0.475*44/12</f>
        <v>5.4949822158453383E-12</v>
      </c>
      <c r="AC113" s="22">
        <f t="shared" si="57"/>
        <v>38.693977602965958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257.86799999999994</v>
      </c>
      <c r="AK113" s="13">
        <f t="shared" si="89"/>
        <v>62.267704162827528</v>
      </c>
      <c r="AL113" s="20">
        <f t="shared" si="58"/>
        <v>557.56968475025781</v>
      </c>
      <c r="AM113" s="59">
        <f t="shared" si="59"/>
        <v>850.90301808359118</v>
      </c>
      <c r="AN113" s="59">
        <f ca="1">AVERAGE(OFFSET($AM$3,0,0,'Données projet'!$E$10+1,1))-AVERAGE(OFFSET($H$3,0,0,'Données projet'!$E$10+1,1))</f>
        <v>364.3481978218424</v>
      </c>
      <c r="AO113" s="59">
        <f t="shared" si="90"/>
        <v>231.36959598460686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74.906595569902251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74.906595569902251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285</v>
      </c>
      <c r="BB113" s="12">
        <f>VLOOKUP(A113,'Données projet'!$A$87:$I$107,9,0)</f>
        <v>4.2</v>
      </c>
      <c r="BC113" s="12">
        <f t="array" ref="BC113">INDEX(BB:BB,MIN(IF(ISNUMBER(BB113:BB309),ROW(BB113:BB309),"")))</f>
        <v>4.2</v>
      </c>
      <c r="BD113" s="12">
        <f>IF('Données projet'!$A$88&gt;35,BD112+BC113-BL112,IF(A113&lt;'Données projet'!$A$88,$BA$205^A113,IF(A113='Données projet'!$A$88,'Données projet'!$B$88,BD112+BC113-BL112)))</f>
        <v>284.99999999999994</v>
      </c>
      <c r="BE113" s="13">
        <f>BD113*VLOOKUP('Données projet'!$B$11,Paramètres!$A$1:$I$89,3,0)*VLOOKUP('Données projet'!$B$11,Paramètres!$A$1:$I$89,5,0)</f>
        <v>288.98999999999995</v>
      </c>
      <c r="BF113" s="13">
        <f t="shared" si="91"/>
        <v>68.863345904836791</v>
      </c>
      <c r="BG113" s="20">
        <f t="shared" si="61"/>
        <v>623.26124411759065</v>
      </c>
      <c r="BH113" s="59">
        <f t="shared" si="62"/>
        <v>916.59457745092391</v>
      </c>
      <c r="BI113" s="59">
        <f ca="1">AVERAGE(OFFSET($BH$3,0,0,'Données projet'!$E$11+1,1))-AVERAGE(OFFSET($H$3,0,0,'Données projet'!$E$11+1,1))</f>
        <v>403.50418598112844</v>
      </c>
      <c r="BJ113" s="59">
        <f t="shared" si="92"/>
        <v>254.25036207346591</v>
      </c>
      <c r="BK113" s="15">
        <f>IF(ISNA(VLOOKUP(A113,'Données projet'!$A$87:$I$107,3,0)),0,VLOOKUP(A113,'Données projet'!$A$87:$I$107,3,0))</f>
        <v>18</v>
      </c>
      <c r="BL113" s="15">
        <f>IF(ISNA(VLOOKUP(A113,'Données projet'!$A$87:$I$107,4,0)),0,VLOOKUP(A113,'Données projet'!$A$87:$I$107,4,0))</f>
        <v>19</v>
      </c>
      <c r="BM113" s="16">
        <f>IF(ISNA(VLOOKUP(A113,'Données projet'!$A$87:$I$107,5,0)),0%,VLOOKUP(A113,'Données projet'!$A$87:$I$107,5,0)*VLOOKUP('Données projet'!$B$11,Paramètres!$A$1:$I$89,7,0))</f>
        <v>0.43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83.947046759373265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83.947046759373265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636.99999999999977</v>
      </c>
      <c r="O114" s="13">
        <f>N114*VLOOKUP('Données projet'!$B$9,Paramètres!$A$1:$I$89,3,0)*VLOOKUP('Données projet'!$B$9,Paramètres!$A$1:$I$89,5,0)</f>
        <v>356.08299999999991</v>
      </c>
      <c r="P114" s="13">
        <f t="shared" si="87"/>
        <v>82.813805255716545</v>
      </c>
      <c r="Q114" s="20">
        <f t="shared" si="107"/>
        <v>764.41193582037283</v>
      </c>
      <c r="R114" s="59">
        <f t="shared" si="55"/>
        <v>1057.7452691537062</v>
      </c>
      <c r="S114" s="59">
        <f ca="1">AVERAGE(OFFSET($R$3,0,0,'Données projet'!$E$9+1,1))-AVERAGE(OFFSET($H$3,0,0,'Données projet'!$E$9+1,1))</f>
        <v>443.34220761968419</v>
      </c>
      <c r="T114" s="59">
        <f t="shared" si="88"/>
        <v>546.58234447298014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35.594832118779962</v>
      </c>
      <c r="AA114" s="21">
        <f>EXP(-LN(2)/25)*AA113+(1-EXP(-LN(2)/25))/(LN(2)/25)*Calculateur!V114*Calculateur!X114*VLOOKUP('Données projet'!$B$9,Paramètres!$A$1:$I$89,3,0)*0.475*44/12</f>
        <v>2.3219136761265435</v>
      </c>
      <c r="AB114" s="21">
        <f>EXP(-LN(2)/2)*AB113+(1-EXP(-LN(2)/2))/(LN(2)/2)*V114*Y114*VLOOKUP('Données projet'!$B$9,Paramètres!$A$1:$I$89,3,0)*0.475*44/12</f>
        <v>3.8855391873237196E-12</v>
      </c>
      <c r="AC114" s="22">
        <f t="shared" si="57"/>
        <v>37.916745794910391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269.79999999999995</v>
      </c>
      <c r="AJ114" s="13">
        <f>AI114*VLOOKUP('Données projet'!$B$10,Paramètres!$A$1:$I$89,3,0)*VLOOKUP('Données projet'!$B$10,Paramètres!$A$1:$I$89,5,0)</f>
        <v>244.11503999999994</v>
      </c>
      <c r="AK114" s="13">
        <f t="shared" si="89"/>
        <v>59.324023461759012</v>
      </c>
      <c r="AL114" s="20">
        <f t="shared" si="58"/>
        <v>528.48970219589683</v>
      </c>
      <c r="AM114" s="59">
        <f t="shared" si="59"/>
        <v>821.82303552923008</v>
      </c>
      <c r="AN114" s="59">
        <f ca="1">AVERAGE(OFFSET($AM$3,0,0,'Données projet'!$E$10+1,1))-AVERAGE(OFFSET($H$3,0,0,'Données projet'!$E$10+1,1))</f>
        <v>364.3481978218424</v>
      </c>
      <c r="AO114" s="59">
        <f t="shared" si="90"/>
        <v>231.36959598460686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73.437722919288404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73.437722919288404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3.8</v>
      </c>
      <c r="BD114" s="12">
        <f>IF('Données projet'!$A$88&gt;35,BD113+BC114-BL113,IF(A114&lt;'Données projet'!$A$88,$BA$205^A114,IF(A114='Données projet'!$A$88,'Données projet'!$B$88,BD113+BC114-BL113)))</f>
        <v>269.79999999999995</v>
      </c>
      <c r="BE114" s="13">
        <f>BD114*VLOOKUP('Données projet'!$B$11,Paramètres!$A$1:$I$89,3,0)*VLOOKUP('Données projet'!$B$11,Paramètres!$A$1:$I$89,5,0)</f>
        <v>273.57719999999995</v>
      </c>
      <c r="BF114" s="13">
        <f t="shared" si="91"/>
        <v>65.60785888991505</v>
      </c>
      <c r="BG114" s="20">
        <f t="shared" si="61"/>
        <v>590.74731089993531</v>
      </c>
      <c r="BH114" s="59">
        <f t="shared" si="62"/>
        <v>884.08064423326869</v>
      </c>
      <c r="BI114" s="59">
        <f ca="1">AVERAGE(OFFSET($BH$3,0,0,'Données projet'!$E$11+1,1))-AVERAGE(OFFSET($H$3,0,0,'Données projet'!$E$11+1,1))</f>
        <v>403.50418598112844</v>
      </c>
      <c r="BJ114" s="59">
        <f t="shared" si="92"/>
        <v>254.25036207346591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82.300896375064639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82.300896375064639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636.99999999999977</v>
      </c>
      <c r="O115" s="13">
        <f>N115*VLOOKUP('Données projet'!$B$9,Paramètres!$A$1:$I$89,3,0)*VLOOKUP('Données projet'!$B$9,Paramètres!$A$1:$I$89,5,0)</f>
        <v>356.08299999999991</v>
      </c>
      <c r="P115" s="13">
        <f t="shared" si="87"/>
        <v>82.813805255716545</v>
      </c>
      <c r="Q115" s="20">
        <f t="shared" si="107"/>
        <v>764.41193582037283</v>
      </c>
      <c r="R115" s="59">
        <f t="shared" si="55"/>
        <v>1057.7452691537062</v>
      </c>
      <c r="S115" s="59">
        <f ca="1">AVERAGE(OFFSET($R$3,0,0,'Données projet'!$E$9+1,1))-AVERAGE(OFFSET($H$3,0,0,'Données projet'!$E$9+1,1))</f>
        <v>443.34220761968419</v>
      </c>
      <c r="T115" s="59">
        <f t="shared" si="88"/>
        <v>546.58234447298014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34.896839171634525</v>
      </c>
      <c r="AA115" s="21">
        <f>EXP(-LN(2)/25)*AA114+(1-EXP(-LN(2)/25))/(LN(2)/25)*Calculateur!V115*Calculateur!X115*VLOOKUP('Données projet'!$B$9,Paramètres!$A$1:$I$89,3,0)*0.475*44/12</f>
        <v>2.2584208245487298</v>
      </c>
      <c r="AB115" s="21">
        <f>EXP(-LN(2)/2)*AB114+(1-EXP(-LN(2)/2))/(LN(2)/2)*V115*Y115*VLOOKUP('Données projet'!$B$9,Paramètres!$A$1:$I$89,3,0)*0.475*44/12</f>
        <v>2.7474911079226691E-12</v>
      </c>
      <c r="AC115" s="22">
        <f t="shared" si="57"/>
        <v>37.155259996186004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273.59999999999997</v>
      </c>
      <c r="AJ115" s="13">
        <f>AI115*VLOOKUP('Données projet'!$B$10,Paramètres!$A$1:$I$89,3,0)*VLOOKUP('Données projet'!$B$10,Paramètres!$A$1:$I$89,5,0)</f>
        <v>247.55327999999994</v>
      </c>
      <c r="AK115" s="13">
        <f t="shared" si="89"/>
        <v>60.061713068870255</v>
      </c>
      <c r="AL115" s="20">
        <f t="shared" si="58"/>
        <v>535.76277959494894</v>
      </c>
      <c r="AM115" s="59">
        <f t="shared" si="59"/>
        <v>829.09611292828231</v>
      </c>
      <c r="AN115" s="59">
        <f ca="1">AVERAGE(OFFSET($AM$3,0,0,'Données projet'!$E$10+1,1))-AVERAGE(OFFSET($H$3,0,0,'Données projet'!$E$10+1,1))</f>
        <v>364.3481978218424</v>
      </c>
      <c r="AO115" s="59">
        <f t="shared" si="90"/>
        <v>231.36959598460686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71.997653965429237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71.997653965429237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3.8</v>
      </c>
      <c r="BD115" s="12">
        <f>IF('Données projet'!$A$88&gt;35,BD114+BC115-BL114,IF(A115&lt;'Données projet'!$A$88,$BA$205^A115,IF(A115='Données projet'!$A$88,'Données projet'!$B$88,BD114+BC115-BL114)))</f>
        <v>273.59999999999997</v>
      </c>
      <c r="BE115" s="13">
        <f>BD115*VLOOKUP('Données projet'!$B$11,Paramètres!$A$1:$I$89,3,0)*VLOOKUP('Données projet'!$B$11,Paramètres!$A$1:$I$89,5,0)</f>
        <v>277.43039999999996</v>
      </c>
      <c r="BF115" s="13">
        <f t="shared" si="91"/>
        <v>66.423687500715673</v>
      </c>
      <c r="BG115" s="20">
        <f t="shared" si="61"/>
        <v>598.87920239707967</v>
      </c>
      <c r="BH115" s="59">
        <f t="shared" si="62"/>
        <v>892.21253573041304</v>
      </c>
      <c r="BI115" s="59">
        <f ca="1">AVERAGE(OFFSET($BH$3,0,0,'Données projet'!$E$11+1,1))-AVERAGE(OFFSET($H$3,0,0,'Données projet'!$E$11+1,1))</f>
        <v>403.50418598112844</v>
      </c>
      <c r="BJ115" s="59">
        <f t="shared" si="92"/>
        <v>254.25036207346591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80.687025995739717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80.687025995739717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636.99999999999977</v>
      </c>
      <c r="O116" s="13">
        <f>N116*VLOOKUP('Données projet'!$B$9,Paramètres!$A$1:$I$89,3,0)*VLOOKUP('Données projet'!$B$9,Paramètres!$A$1:$I$89,5,0)</f>
        <v>356.08299999999991</v>
      </c>
      <c r="P116" s="13">
        <f t="shared" si="87"/>
        <v>82.813805255716545</v>
      </c>
      <c r="Q116" s="20">
        <f t="shared" si="107"/>
        <v>764.41193582037283</v>
      </c>
      <c r="R116" s="59">
        <f t="shared" si="55"/>
        <v>1057.7452691537062</v>
      </c>
      <c r="S116" s="59">
        <f ca="1">AVERAGE(OFFSET($R$3,0,0,'Données projet'!$E$9+1,1))-AVERAGE(OFFSET($H$3,0,0,'Données projet'!$E$9+1,1))</f>
        <v>443.34220761968419</v>
      </c>
      <c r="T116" s="59">
        <f t="shared" si="88"/>
        <v>546.58234447298014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34.212533440448951</v>
      </c>
      <c r="AA116" s="21">
        <f>EXP(-LN(2)/25)*AA115+(1-EXP(-LN(2)/25))/(LN(2)/25)*Calculateur!V116*Calculateur!X116*VLOOKUP('Données projet'!$B$9,Paramètres!$A$1:$I$89,3,0)*0.475*44/12</f>
        <v>2.1966641883362552</v>
      </c>
      <c r="AB116" s="21">
        <f>EXP(-LN(2)/2)*AB115+(1-EXP(-LN(2)/2))/(LN(2)/2)*V116*Y116*VLOOKUP('Données projet'!$B$9,Paramètres!$A$1:$I$89,3,0)*0.475*44/12</f>
        <v>1.9427695936618598E-12</v>
      </c>
      <c r="AC116" s="22">
        <f t="shared" si="57"/>
        <v>36.409197628787147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277.39999999999998</v>
      </c>
      <c r="AJ116" s="13">
        <f>AI116*VLOOKUP('Données projet'!$B$10,Paramètres!$A$1:$I$89,3,0)*VLOOKUP('Données projet'!$B$10,Paramètres!$A$1:$I$89,5,0)</f>
        <v>250.99151999999995</v>
      </c>
      <c r="AK116" s="13">
        <f t="shared" si="89"/>
        <v>60.798211000769406</v>
      </c>
      <c r="AL116" s="20">
        <f t="shared" si="58"/>
        <v>543.03378149300659</v>
      </c>
      <c r="AM116" s="59">
        <f t="shared" si="59"/>
        <v>836.36711482633996</v>
      </c>
      <c r="AN116" s="59">
        <f ca="1">AVERAGE(OFFSET($AM$3,0,0,'Données projet'!$E$10+1,1))-AVERAGE(OFFSET($H$3,0,0,'Données projet'!$E$10+1,1))</f>
        <v>364.3481978218424</v>
      </c>
      <c r="AO116" s="59">
        <f t="shared" si="90"/>
        <v>231.36959598460686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70.585823885399918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70.585823885399918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3.8</v>
      </c>
      <c r="BD116" s="12">
        <f>IF('Données projet'!$A$88&gt;35,BD115+BC116-BL115,IF(A116&lt;'Données projet'!$A$88,$BA$205^A116,IF(A116='Données projet'!$A$88,'Données projet'!$B$88,BD115+BC116-BL115)))</f>
        <v>277.39999999999998</v>
      </c>
      <c r="BE116" s="13">
        <f>BD116*VLOOKUP('Données projet'!$B$11,Paramètres!$A$1:$I$89,3,0)*VLOOKUP('Données projet'!$B$11,Paramètres!$A$1:$I$89,5,0)</f>
        <v>281.28360000000004</v>
      </c>
      <c r="BF116" s="13">
        <f t="shared" si="91"/>
        <v>67.238198209347928</v>
      </c>
      <c r="BG116" s="20">
        <f t="shared" si="61"/>
        <v>607.00879854794766</v>
      </c>
      <c r="BH116" s="59">
        <f t="shared" si="62"/>
        <v>900.34213188128092</v>
      </c>
      <c r="BI116" s="59">
        <f ca="1">AVERAGE(OFFSET($BH$3,0,0,'Données projet'!$E$11+1,1))-AVERAGE(OFFSET($H$3,0,0,'Données projet'!$E$11+1,1))</f>
        <v>403.50418598112844</v>
      </c>
      <c r="BJ116" s="59">
        <f t="shared" si="92"/>
        <v>254.25036207346591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79.10480263018961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79.10480263018961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636.99999999999977</v>
      </c>
      <c r="O117" s="13">
        <f>N117*VLOOKUP('Données projet'!$B$9,Paramètres!$A$1:$I$89,3,0)*VLOOKUP('Données projet'!$B$9,Paramètres!$A$1:$I$89,5,0)</f>
        <v>356.08299999999991</v>
      </c>
      <c r="P117" s="13">
        <f t="shared" si="87"/>
        <v>82.813805255716545</v>
      </c>
      <c r="Q117" s="20">
        <f t="shared" si="107"/>
        <v>764.41193582037283</v>
      </c>
      <c r="R117" s="59">
        <f t="shared" si="55"/>
        <v>1057.7452691537062</v>
      </c>
      <c r="S117" s="59">
        <f ca="1">AVERAGE(OFFSET($R$3,0,0,'Données projet'!$E$9+1,1))-AVERAGE(OFFSET($H$3,0,0,'Données projet'!$E$9+1,1))</f>
        <v>443.34220761968419</v>
      </c>
      <c r="T117" s="59">
        <f t="shared" si="88"/>
        <v>546.58234447298014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33.541646527266643</v>
      </c>
      <c r="AA117" s="21">
        <f>EXP(-LN(2)/25)*AA116+(1-EXP(-LN(2)/25))/(LN(2)/25)*Calculateur!V117*Calculateur!X117*VLOOKUP('Données projet'!$B$9,Paramètres!$A$1:$I$89,3,0)*0.475*44/12</f>
        <v>2.1365962905886513</v>
      </c>
      <c r="AB117" s="21">
        <f>EXP(-LN(2)/2)*AB116+(1-EXP(-LN(2)/2))/(LN(2)/2)*V117*Y117*VLOOKUP('Données projet'!$B$9,Paramètres!$A$1:$I$89,3,0)*0.475*44/12</f>
        <v>1.3737455539613346E-12</v>
      </c>
      <c r="AC117" s="22">
        <f t="shared" si="57"/>
        <v>35.678242817856663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281.2</v>
      </c>
      <c r="AJ117" s="13">
        <f>AI117*VLOOKUP('Données projet'!$B$10,Paramètres!$A$1:$I$89,3,0)*VLOOKUP('Données projet'!$B$10,Paramètres!$A$1:$I$89,5,0)</f>
        <v>254.42975999999996</v>
      </c>
      <c r="AK117" s="13">
        <f t="shared" si="89"/>
        <v>61.533535468549189</v>
      </c>
      <c r="AL117" s="20">
        <f t="shared" si="58"/>
        <v>550.30273960772308</v>
      </c>
      <c r="AM117" s="59">
        <f t="shared" si="59"/>
        <v>843.63607294105645</v>
      </c>
      <c r="AN117" s="59">
        <f ca="1">AVERAGE(OFFSET($AM$3,0,0,'Données projet'!$E$10+1,1))-AVERAGE(OFFSET($H$3,0,0,'Données projet'!$E$10+1,1))</f>
        <v>364.3481978218424</v>
      </c>
      <c r="AO117" s="59">
        <f t="shared" si="90"/>
        <v>231.36959598460686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69.201678932108649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69.201678932108649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3.8</v>
      </c>
      <c r="BD117" s="12">
        <f>IF('Données projet'!$A$88&gt;35,BD116+BC117-BL116,IF(A117&lt;'Données projet'!$A$88,$BA$205^A117,IF(A117='Données projet'!$A$88,'Données projet'!$B$88,BD116+BC117-BL116)))</f>
        <v>281.2</v>
      </c>
      <c r="BE117" s="13">
        <f>BD117*VLOOKUP('Données projet'!$B$11,Paramètres!$A$1:$I$89,3,0)*VLOOKUP('Données projet'!$B$11,Paramètres!$A$1:$I$89,5,0)</f>
        <v>285.13679999999999</v>
      </c>
      <c r="BF117" s="13">
        <f t="shared" si="91"/>
        <v>68.051411155895636</v>
      </c>
      <c r="BG117" s="20">
        <f t="shared" si="61"/>
        <v>615.1361344298515</v>
      </c>
      <c r="BH117" s="59">
        <f t="shared" si="62"/>
        <v>908.46946776318487</v>
      </c>
      <c r="BI117" s="59">
        <f ca="1">AVERAGE(OFFSET($BH$3,0,0,'Données projet'!$E$11+1,1))-AVERAGE(OFFSET($H$3,0,0,'Données projet'!$E$11+1,1))</f>
        <v>403.50418598112844</v>
      </c>
      <c r="BJ117" s="59">
        <f t="shared" si="92"/>
        <v>254.25036207346591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77.55360569977698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77.55360569977698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636.99999999999977</v>
      </c>
      <c r="O118" s="13">
        <f>N118*VLOOKUP('Données projet'!$B$9,Paramètres!$A$1:$I$89,3,0)*VLOOKUP('Données projet'!$B$9,Paramètres!$A$1:$I$89,5,0)</f>
        <v>356.08299999999991</v>
      </c>
      <c r="P118" s="13">
        <f t="shared" si="87"/>
        <v>82.813805255716545</v>
      </c>
      <c r="Q118" s="20">
        <f t="shared" si="107"/>
        <v>764.41193582037283</v>
      </c>
      <c r="R118" s="59">
        <f t="shared" si="55"/>
        <v>1057.7452691537062</v>
      </c>
      <c r="S118" s="59">
        <f ca="1">AVERAGE(OFFSET($R$3,0,0,'Données projet'!$E$9+1,1))-AVERAGE(OFFSET($H$3,0,0,'Données projet'!$E$9+1,1))</f>
        <v>443.34220761968419</v>
      </c>
      <c r="T118" s="59">
        <f t="shared" si="88"/>
        <v>546.58234447298014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32.883915297251228</v>
      </c>
      <c r="AA118" s="21">
        <f>EXP(-LN(2)/25)*AA117+(1-EXP(-LN(2)/25))/(LN(2)/25)*Calculateur!V118*Calculateur!X118*VLOOKUP('Données projet'!$B$9,Paramètres!$A$1:$I$89,3,0)*0.475*44/12</f>
        <v>2.0781709526637888</v>
      </c>
      <c r="AB118" s="21">
        <f>EXP(-LN(2)/2)*AB117+(1-EXP(-LN(2)/2))/(LN(2)/2)*V118*Y118*VLOOKUP('Données projet'!$B$9,Paramètres!$A$1:$I$89,3,0)*0.475*44/12</f>
        <v>9.713847968309299E-13</v>
      </c>
      <c r="AC118" s="22">
        <f t="shared" si="57"/>
        <v>34.962086249915991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285</v>
      </c>
      <c r="AJ118" s="13">
        <f>AI118*VLOOKUP('Données projet'!$B$10,Paramètres!$A$1:$I$89,3,0)*VLOOKUP('Données projet'!$B$10,Paramètres!$A$1:$I$89,5,0)</f>
        <v>257.86799999999999</v>
      </c>
      <c r="AK118" s="13">
        <f t="shared" si="89"/>
        <v>62.267704162827528</v>
      </c>
      <c r="AL118" s="20">
        <f t="shared" si="58"/>
        <v>557.56968475025803</v>
      </c>
      <c r="AM118" s="59">
        <f t="shared" si="59"/>
        <v>850.90301808359141</v>
      </c>
      <c r="AN118" s="59">
        <f ca="1">AVERAGE(OFFSET($AM$3,0,0,'Données projet'!$E$10+1,1))-AVERAGE(OFFSET($H$3,0,0,'Données projet'!$E$10+1,1))</f>
        <v>364.3481978218424</v>
      </c>
      <c r="AO118" s="59">
        <f t="shared" si="90"/>
        <v>231.36959598460686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0.43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75.58645331647331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75.58645331647331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285</v>
      </c>
      <c r="BB118" s="12">
        <f>VLOOKUP(A118,'Données projet'!$A$87:$I$107,9,0)</f>
        <v>3.8</v>
      </c>
      <c r="BC118" s="12">
        <f t="array" ref="BC118">INDEX(BB:BB,MIN(IF(ISNUMBER(BB118:BB314),ROW(BB118:BB314),"")))</f>
        <v>3.8</v>
      </c>
      <c r="BD118" s="12">
        <f>IF('Données projet'!$A$88&gt;35,BD117+BC118-BL117,IF(A118&lt;'Données projet'!$A$88,$BA$205^A118,IF(A118='Données projet'!$A$88,'Données projet'!$B$88,BD117+BC118-BL117)))</f>
        <v>285</v>
      </c>
      <c r="BE118" s="13">
        <f>BD118*VLOOKUP('Données projet'!$B$11,Paramètres!$A$1:$I$89,3,0)*VLOOKUP('Données projet'!$B$11,Paramètres!$A$1:$I$89,5,0)</f>
        <v>288.99</v>
      </c>
      <c r="BF118" s="13">
        <f t="shared" si="91"/>
        <v>68.863345904836791</v>
      </c>
      <c r="BG118" s="20">
        <f t="shared" si="61"/>
        <v>623.26124411759076</v>
      </c>
      <c r="BH118" s="59">
        <f t="shared" si="62"/>
        <v>916.59457745092413</v>
      </c>
      <c r="BI118" s="59">
        <f ca="1">AVERAGE(OFFSET($BH$3,0,0,'Données projet'!$E$11+1,1))-AVERAGE(OFFSET($H$3,0,0,'Données projet'!$E$11+1,1))</f>
        <v>403.50418598112844</v>
      </c>
      <c r="BJ118" s="59">
        <f t="shared" si="92"/>
        <v>254.25036207346591</v>
      </c>
      <c r="BK118" s="15">
        <f>IF(ISNA(VLOOKUP(A118,'Données projet'!$A$87:$I$107,3,0)),0,VLOOKUP(A118,'Données projet'!$A$87:$I$107,3,0))</f>
        <v>19</v>
      </c>
      <c r="BL118" s="15">
        <f>IF(ISNA(VLOOKUP(A118,'Données projet'!$A$87:$I$107,4,0)),0,VLOOKUP(A118,'Données projet'!$A$87:$I$107,4,0))</f>
        <v>18</v>
      </c>
      <c r="BM118" s="16">
        <f>IF(ISNA(VLOOKUP(A118,'Données projet'!$A$87:$I$107,5,0)),0%,VLOOKUP(A118,'Données projet'!$A$87:$I$107,5,0)*VLOOKUP('Données projet'!$B$11,Paramètres!$A$1:$I$89,7,0))</f>
        <v>0.43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84.708956302944273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84.708956302944273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636.99999999999977</v>
      </c>
      <c r="O119" s="13">
        <f>N119*VLOOKUP('Données projet'!$B$9,Paramètres!$A$1:$I$89,3,0)*VLOOKUP('Données projet'!$B$9,Paramètres!$A$1:$I$89,5,0)</f>
        <v>356.08299999999991</v>
      </c>
      <c r="P119" s="13">
        <f t="shared" si="87"/>
        <v>82.813805255716545</v>
      </c>
      <c r="Q119" s="20">
        <f t="shared" si="107"/>
        <v>764.41193582037283</v>
      </c>
      <c r="R119" s="59">
        <f t="shared" si="55"/>
        <v>1057.7452691537062</v>
      </c>
      <c r="S119" s="59">
        <f ca="1">AVERAGE(OFFSET($R$3,0,0,'Données projet'!$E$9+1,1))-AVERAGE(OFFSET($H$3,0,0,'Données projet'!$E$9+1,1))</f>
        <v>443.34220761968419</v>
      </c>
      <c r="T119" s="59">
        <f t="shared" si="88"/>
        <v>546.58234447298014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32.239081775479981</v>
      </c>
      <c r="AA119" s="21">
        <f>EXP(-LN(2)/25)*AA118+(1-EXP(-LN(2)/25))/(LN(2)/25)*Calculateur!V119*Calculateur!X119*VLOOKUP('Données projet'!$B$9,Paramètres!$A$1:$I$89,3,0)*0.475*44/12</f>
        <v>2.0213432586769366</v>
      </c>
      <c r="AB119" s="21">
        <f>EXP(-LN(2)/2)*AB118+(1-EXP(-LN(2)/2))/(LN(2)/2)*V119*Y119*VLOOKUP('Données projet'!$B$9,Paramètres!$A$1:$I$89,3,0)*0.475*44/12</f>
        <v>6.8687277698066728E-13</v>
      </c>
      <c r="AC119" s="22">
        <f t="shared" si="57"/>
        <v>34.260425034157606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267</v>
      </c>
      <c r="AJ119" s="13">
        <f>AI119*VLOOKUP('Données projet'!$B$10,Paramètres!$A$1:$I$89,3,0)*VLOOKUP('Données projet'!$B$10,Paramètres!$A$1:$I$89,5,0)</f>
        <v>241.58159999999998</v>
      </c>
      <c r="AK119" s="13">
        <f t="shared" si="89"/>
        <v>58.779689232021951</v>
      </c>
      <c r="AL119" s="20">
        <f t="shared" si="58"/>
        <v>523.12924541243819</v>
      </c>
      <c r="AM119" s="59">
        <f t="shared" si="59"/>
        <v>816.46257874577145</v>
      </c>
      <c r="AN119" s="59">
        <f ca="1">AVERAGE(OFFSET($AM$3,0,0,'Données projet'!$E$10+1,1))-AVERAGE(OFFSET($H$3,0,0,'Données projet'!$E$10+1,1))</f>
        <v>364.3481978218424</v>
      </c>
      <c r="AO119" s="59">
        <f t="shared" si="90"/>
        <v>231.36959598460686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74.104249070121483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74.104249070121483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267</v>
      </c>
      <c r="BE119" s="13">
        <f>BD119*VLOOKUP('Données projet'!$B$11,Paramètres!$A$1:$I$89,3,0)*VLOOKUP('Données projet'!$B$11,Paramètres!$A$1:$I$89,5,0)</f>
        <v>270.738</v>
      </c>
      <c r="BF119" s="13">
        <f t="shared" si="91"/>
        <v>65.005866623551711</v>
      </c>
      <c r="BG119" s="20">
        <f t="shared" si="61"/>
        <v>584.7539010360191</v>
      </c>
      <c r="BH119" s="59">
        <f t="shared" si="62"/>
        <v>878.08723436935247</v>
      </c>
      <c r="BI119" s="59">
        <f ca="1">AVERAGE(OFFSET($BH$3,0,0,'Données projet'!$E$11+1,1))-AVERAGE(OFFSET($H$3,0,0,'Données projet'!$E$11+1,1))</f>
        <v>403.50418598112844</v>
      </c>
      <c r="BJ119" s="59">
        <f t="shared" si="92"/>
        <v>254.25036207346591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83.047865337205153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83.047865337205153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636.99999999999977</v>
      </c>
      <c r="O120" s="13">
        <f>N120*VLOOKUP('Données projet'!$B$9,Paramètres!$A$1:$I$89,3,0)*VLOOKUP('Données projet'!$B$9,Paramètres!$A$1:$I$89,5,0)</f>
        <v>356.08299999999991</v>
      </c>
      <c r="P120" s="13">
        <f t="shared" si="87"/>
        <v>82.813805255716545</v>
      </c>
      <c r="Q120" s="20">
        <f t="shared" si="107"/>
        <v>764.41193582037283</v>
      </c>
      <c r="R120" s="59">
        <f t="shared" si="55"/>
        <v>1057.7452691537062</v>
      </c>
      <c r="S120" s="59">
        <f ca="1">AVERAGE(OFFSET($R$3,0,0,'Données projet'!$E$9+1,1))-AVERAGE(OFFSET($H$3,0,0,'Données projet'!$E$9+1,1))</f>
        <v>443.34220761968419</v>
      </c>
      <c r="T120" s="59">
        <f t="shared" si="88"/>
        <v>546.58234447298014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31.606893045761055</v>
      </c>
      <c r="AA120" s="21">
        <f>EXP(-LN(2)/25)*AA119+(1-EXP(-LN(2)/25))/(LN(2)/25)*Calculateur!V120*Calculateur!X120*VLOOKUP('Données projet'!$B$9,Paramètres!$A$1:$I$89,3,0)*0.475*44/12</f>
        <v>1.9660695209705936</v>
      </c>
      <c r="AB120" s="21">
        <f>EXP(-LN(2)/2)*AB119+(1-EXP(-LN(2)/2))/(LN(2)/2)*V120*Y120*VLOOKUP('Données projet'!$B$9,Paramètres!$A$1:$I$89,3,0)*0.475*44/12</f>
        <v>4.8569239841546495E-13</v>
      </c>
      <c r="AC120" s="22">
        <f t="shared" si="57"/>
        <v>33.57296256673213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267</v>
      </c>
      <c r="AJ120" s="13">
        <f>AI120*VLOOKUP('Données projet'!$B$10,Paramètres!$A$1:$I$89,3,0)*VLOOKUP('Données projet'!$B$10,Paramètres!$A$1:$I$89,5,0)</f>
        <v>241.58159999999998</v>
      </c>
      <c r="AK120" s="13">
        <f t="shared" si="89"/>
        <v>58.779689232021951</v>
      </c>
      <c r="AL120" s="20">
        <f t="shared" si="58"/>
        <v>523.12924541243819</v>
      </c>
      <c r="AM120" s="59">
        <f t="shared" si="59"/>
        <v>816.46257874577145</v>
      </c>
      <c r="AN120" s="59">
        <f ca="1">AVERAGE(OFFSET($AM$3,0,0,'Données projet'!$E$10+1,1))-AVERAGE(OFFSET($H$3,0,0,'Données projet'!$E$10+1,1))</f>
        <v>364.3481978218424</v>
      </c>
      <c r="AO120" s="59">
        <f t="shared" si="90"/>
        <v>231.36959598460686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72.651109944985294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72.651109944985294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267</v>
      </c>
      <c r="BE120" s="13">
        <f>BD120*VLOOKUP('Données projet'!$B$11,Paramètres!$A$1:$I$89,3,0)*VLOOKUP('Données projet'!$B$11,Paramètres!$A$1:$I$89,5,0)</f>
        <v>270.738</v>
      </c>
      <c r="BF120" s="13">
        <f t="shared" si="91"/>
        <v>65.005866623551711</v>
      </c>
      <c r="BG120" s="20">
        <f t="shared" si="61"/>
        <v>584.7539010360191</v>
      </c>
      <c r="BH120" s="59">
        <f t="shared" si="62"/>
        <v>878.08723436935247</v>
      </c>
      <c r="BI120" s="59">
        <f ca="1">AVERAGE(OFFSET($BH$3,0,0,'Données projet'!$E$11+1,1))-AVERAGE(OFFSET($H$3,0,0,'Données projet'!$E$11+1,1))</f>
        <v>403.50418598112844</v>
      </c>
      <c r="BJ120" s="59">
        <f t="shared" si="92"/>
        <v>254.25036207346591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81.419347352138729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81.419347352138729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636.99999999999977</v>
      </c>
      <c r="O121" s="13">
        <f>N121*VLOOKUP('Données projet'!$B$9,Paramètres!$A$1:$I$89,3,0)*VLOOKUP('Données projet'!$B$9,Paramètres!$A$1:$I$89,5,0)</f>
        <v>356.08299999999991</v>
      </c>
      <c r="P121" s="13">
        <f t="shared" si="87"/>
        <v>82.813805255716545</v>
      </c>
      <c r="Q121" s="20">
        <f t="shared" si="107"/>
        <v>764.41193582037283</v>
      </c>
      <c r="R121" s="59">
        <f t="shared" si="55"/>
        <v>1057.7452691537062</v>
      </c>
      <c r="S121" s="59">
        <f ca="1">AVERAGE(OFFSET($R$3,0,0,'Données projet'!$E$9+1,1))-AVERAGE(OFFSET($H$3,0,0,'Données projet'!$E$9+1,1))</f>
        <v>443.34220761968419</v>
      </c>
      <c r="T121" s="59">
        <f t="shared" si="88"/>
        <v>546.58234447298014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30.987101151434864</v>
      </c>
      <c r="AA121" s="21">
        <f>EXP(-LN(2)/25)*AA120+(1-EXP(-LN(2)/25))/(LN(2)/25)*Calculateur!V121*Calculateur!X121*VLOOKUP('Données projet'!$B$9,Paramètres!$A$1:$I$89,3,0)*0.475*44/12</f>
        <v>1.9123072465285502</v>
      </c>
      <c r="AB121" s="21">
        <f>EXP(-LN(2)/2)*AB120+(1-EXP(-LN(2)/2))/(LN(2)/2)*V121*Y121*VLOOKUP('Données projet'!$B$9,Paramètres!$A$1:$I$89,3,0)*0.475*44/12</f>
        <v>3.4343638849033364E-13</v>
      </c>
      <c r="AC121" s="22">
        <f t="shared" si="57"/>
        <v>32.899408397963754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267</v>
      </c>
      <c r="AJ121" s="13">
        <f>AI121*VLOOKUP('Données projet'!$B$10,Paramètres!$A$1:$I$89,3,0)*VLOOKUP('Données projet'!$B$10,Paramètres!$A$1:$I$89,5,0)</f>
        <v>241.58159999999998</v>
      </c>
      <c r="AK121" s="13">
        <f t="shared" si="89"/>
        <v>58.779689232021951</v>
      </c>
      <c r="AL121" s="20">
        <f t="shared" si="58"/>
        <v>523.12924541243819</v>
      </c>
      <c r="AM121" s="59">
        <f t="shared" si="59"/>
        <v>816.46257874577145</v>
      </c>
      <c r="AN121" s="59">
        <f ca="1">AVERAGE(OFFSET($AM$3,0,0,'Données projet'!$E$10+1,1))-AVERAGE(OFFSET($H$3,0,0,'Données projet'!$E$10+1,1))</f>
        <v>364.3481978218424</v>
      </c>
      <c r="AO121" s="59">
        <f t="shared" si="90"/>
        <v>231.36959598460686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71.226465991765679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71.226465991765679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267</v>
      </c>
      <c r="BE121" s="13">
        <f>BD121*VLOOKUP('Données projet'!$B$11,Paramètres!$A$1:$I$89,3,0)*VLOOKUP('Données projet'!$B$11,Paramètres!$A$1:$I$89,5,0)</f>
        <v>270.738</v>
      </c>
      <c r="BF121" s="13">
        <f t="shared" si="91"/>
        <v>65.005866623551711</v>
      </c>
      <c r="BG121" s="20">
        <f t="shared" si="61"/>
        <v>584.7539010360191</v>
      </c>
      <c r="BH121" s="59">
        <f t="shared" si="62"/>
        <v>878.08723436935247</v>
      </c>
      <c r="BI121" s="59">
        <f ca="1">AVERAGE(OFFSET($BH$3,0,0,'Données projet'!$E$11+1,1))-AVERAGE(OFFSET($H$3,0,0,'Données projet'!$E$11+1,1))</f>
        <v>403.50418598112844</v>
      </c>
      <c r="BJ121" s="59">
        <f t="shared" si="92"/>
        <v>254.25036207346591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79.822763611461568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79.822763611461568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636.99999999999977</v>
      </c>
      <c r="O122" s="13">
        <f>N122*VLOOKUP('Données projet'!$B$9,Paramètres!$A$1:$I$89,3,0)*VLOOKUP('Données projet'!$B$9,Paramètres!$A$1:$I$89,5,0)</f>
        <v>356.08299999999991</v>
      </c>
      <c r="P122" s="13">
        <f t="shared" si="87"/>
        <v>82.813805255716545</v>
      </c>
      <c r="Q122" s="20">
        <f t="shared" si="107"/>
        <v>764.41193582037283</v>
      </c>
      <c r="R122" s="59">
        <f t="shared" si="55"/>
        <v>1057.7452691537062</v>
      </c>
      <c r="S122" s="59">
        <f ca="1">AVERAGE(OFFSET($R$3,0,0,'Données projet'!$E$9+1,1))-AVERAGE(OFFSET($H$3,0,0,'Données projet'!$E$9+1,1))</f>
        <v>443.34220761968419</v>
      </c>
      <c r="T122" s="59">
        <f t="shared" si="88"/>
        <v>546.58234447298014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30.379462998120683</v>
      </c>
      <c r="AA122" s="21">
        <f>EXP(-LN(2)/25)*AA121+(1-EXP(-LN(2)/25))/(LN(2)/25)*Calculateur!V122*Calculateur!X122*VLOOKUP('Données projet'!$B$9,Paramètres!$A$1:$I$89,3,0)*0.475*44/12</f>
        <v>1.8600151043083595</v>
      </c>
      <c r="AB122" s="21">
        <f>EXP(-LN(2)/2)*AB121+(1-EXP(-LN(2)/2))/(LN(2)/2)*V122*Y122*VLOOKUP('Données projet'!$B$9,Paramètres!$A$1:$I$89,3,0)*0.475*44/12</f>
        <v>2.4284619920773248E-13</v>
      </c>
      <c r="AC122" s="22">
        <f t="shared" si="57"/>
        <v>32.239478102429281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267</v>
      </c>
      <c r="AJ122" s="13">
        <f>AI122*VLOOKUP('Données projet'!$B$10,Paramètres!$A$1:$I$89,3,0)*VLOOKUP('Données projet'!$B$10,Paramètres!$A$1:$I$89,5,0)</f>
        <v>241.58159999999998</v>
      </c>
      <c r="AK122" s="13">
        <f t="shared" si="89"/>
        <v>58.779689232021951</v>
      </c>
      <c r="AL122" s="20">
        <f t="shared" si="58"/>
        <v>523.12924541243819</v>
      </c>
      <c r="AM122" s="59">
        <f t="shared" si="59"/>
        <v>816.46257874577145</v>
      </c>
      <c r="AN122" s="59">
        <f ca="1">AVERAGE(OFFSET($AM$3,0,0,'Données projet'!$E$10+1,1))-AVERAGE(OFFSET($H$3,0,0,'Données projet'!$E$10+1,1))</f>
        <v>364.3481978218424</v>
      </c>
      <c r="AO122" s="59">
        <f t="shared" si="90"/>
        <v>231.36959598460686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69.82975843752169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69.82975843752169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267</v>
      </c>
      <c r="BE122" s="13">
        <f>BD122*VLOOKUP('Données projet'!$B$11,Paramètres!$A$1:$I$89,3,0)*VLOOKUP('Données projet'!$B$11,Paramètres!$A$1:$I$89,5,0)</f>
        <v>270.738</v>
      </c>
      <c r="BF122" s="13">
        <f t="shared" si="91"/>
        <v>65.005866623551711</v>
      </c>
      <c r="BG122" s="20">
        <f t="shared" si="61"/>
        <v>584.7539010360191</v>
      </c>
      <c r="BH122" s="59">
        <f t="shared" si="62"/>
        <v>878.08723436935247</v>
      </c>
      <c r="BI122" s="59">
        <f ca="1">AVERAGE(OFFSET($BH$3,0,0,'Données projet'!$E$11+1,1))-AVERAGE(OFFSET($H$3,0,0,'Données projet'!$E$11+1,1))</f>
        <v>403.50418598112844</v>
      </c>
      <c r="BJ122" s="59">
        <f t="shared" si="92"/>
        <v>254.25036207346591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78.257487904119159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78.257487904119159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636.99999999999977</v>
      </c>
      <c r="O123" s="13">
        <f>N123*VLOOKUP('Données projet'!$B$9,Paramètres!$A$1:$I$89,3,0)*VLOOKUP('Données projet'!$B$9,Paramètres!$A$1:$I$89,5,0)</f>
        <v>356.08299999999991</v>
      </c>
      <c r="P123" s="13">
        <f t="shared" si="87"/>
        <v>82.813805255716545</v>
      </c>
      <c r="Q123" s="20">
        <f t="shared" si="107"/>
        <v>764.41193582037283</v>
      </c>
      <c r="R123" s="59">
        <f t="shared" si="55"/>
        <v>1057.7452691537062</v>
      </c>
      <c r="S123" s="59">
        <f ca="1">AVERAGE(OFFSET($R$3,0,0,'Données projet'!$E$9+1,1))-AVERAGE(OFFSET($H$3,0,0,'Données projet'!$E$9+1,1))</f>
        <v>443.34220761968419</v>
      </c>
      <c r="T123" s="59">
        <f t="shared" si="88"/>
        <v>546.58234447298014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29.783740258370315</v>
      </c>
      <c r="AA123" s="21">
        <f>EXP(-LN(2)/25)*AA122+(1-EXP(-LN(2)/25))/(LN(2)/25)*Calculateur!V123*Calculateur!X123*VLOOKUP('Données projet'!$B$9,Paramètres!$A$1:$I$89,3,0)*0.475*44/12</f>
        <v>1.8091528934671042</v>
      </c>
      <c r="AB123" s="21">
        <f>EXP(-LN(2)/2)*AB122+(1-EXP(-LN(2)/2))/(LN(2)/2)*V123*Y123*VLOOKUP('Données projet'!$B$9,Paramètres!$A$1:$I$89,3,0)*0.475*44/12</f>
        <v>1.7171819424516682E-13</v>
      </c>
      <c r="AC123" s="22">
        <f t="shared" si="57"/>
        <v>31.59289315183759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267</v>
      </c>
      <c r="AJ123" s="13">
        <f>AI123*VLOOKUP('Données projet'!$B$10,Paramètres!$A$1:$I$89,3,0)*VLOOKUP('Données projet'!$B$10,Paramètres!$A$1:$I$89,5,0)</f>
        <v>241.58159999999998</v>
      </c>
      <c r="AK123" s="13">
        <f t="shared" si="89"/>
        <v>58.779689232021951</v>
      </c>
      <c r="AL123" s="20">
        <f t="shared" si="58"/>
        <v>523.12924541243819</v>
      </c>
      <c r="AM123" s="59">
        <f t="shared" si="59"/>
        <v>816.46257874577145</v>
      </c>
      <c r="AN123" s="59">
        <f ca="1">AVERAGE(OFFSET($AM$3,0,0,'Données projet'!$E$10+1,1))-AVERAGE(OFFSET($H$3,0,0,'Données projet'!$E$10+1,1))</f>
        <v>364.3481978218424</v>
      </c>
      <c r="AO123" s="59">
        <f t="shared" si="90"/>
        <v>231.36959598460686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68.46043946650893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68.46043946650893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267</v>
      </c>
      <c r="BE123" s="13">
        <f>BD123*VLOOKUP('Données projet'!$B$11,Paramètres!$A$1:$I$89,3,0)*VLOOKUP('Données projet'!$B$11,Paramètres!$A$1:$I$89,5,0)</f>
        <v>270.738</v>
      </c>
      <c r="BF123" s="13">
        <f t="shared" si="91"/>
        <v>65.005866623551711</v>
      </c>
      <c r="BG123" s="20">
        <f t="shared" si="61"/>
        <v>584.7539010360191</v>
      </c>
      <c r="BH123" s="59">
        <f t="shared" si="62"/>
        <v>878.08723436935247</v>
      </c>
      <c r="BI123" s="59">
        <f ca="1">AVERAGE(OFFSET($BH$3,0,0,'Données projet'!$E$11+1,1))-AVERAGE(OFFSET($H$3,0,0,'Données projet'!$E$11+1,1))</f>
        <v>403.50418598112844</v>
      </c>
      <c r="BJ123" s="59">
        <f t="shared" si="92"/>
        <v>254.25036207346591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76.72290629867382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76.72290629867382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636.99999999999977</v>
      </c>
      <c r="O124" s="13">
        <f>N124*VLOOKUP('Données projet'!$B$9,Paramètres!$A$1:$I$89,3,0)*VLOOKUP('Données projet'!$B$9,Paramètres!$A$1:$I$89,5,0)</f>
        <v>356.08299999999991</v>
      </c>
      <c r="P124" s="13">
        <f t="shared" si="87"/>
        <v>82.813805255716545</v>
      </c>
      <c r="Q124" s="20">
        <f t="shared" si="107"/>
        <v>764.41193582037283</v>
      </c>
      <c r="R124" s="59">
        <f t="shared" si="55"/>
        <v>1057.7452691537062</v>
      </c>
      <c r="S124" s="59">
        <f ca="1">AVERAGE(OFFSET($R$3,0,0,'Données projet'!$E$9+1,1))-AVERAGE(OFFSET($H$3,0,0,'Données projet'!$E$9+1,1))</f>
        <v>443.34220761968419</v>
      </c>
      <c r="T124" s="59">
        <f t="shared" si="88"/>
        <v>546.58234447298014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29.19969927819146</v>
      </c>
      <c r="AA124" s="21">
        <f>EXP(-LN(2)/25)*AA123+(1-EXP(-LN(2)/25))/(LN(2)/25)*Calculateur!V124*Calculateur!X124*VLOOKUP('Données projet'!$B$9,Paramètres!$A$1:$I$89,3,0)*0.475*44/12</f>
        <v>1.7596815124560303</v>
      </c>
      <c r="AB124" s="21">
        <f>EXP(-LN(2)/2)*AB123+(1-EXP(-LN(2)/2))/(LN(2)/2)*V124*Y124*VLOOKUP('Données projet'!$B$9,Paramètres!$A$1:$I$89,3,0)*0.475*44/12</f>
        <v>1.2142309960386624E-13</v>
      </c>
      <c r="AC124" s="22">
        <f t="shared" si="57"/>
        <v>30.959380790647611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267</v>
      </c>
      <c r="AJ124" s="13">
        <f>AI124*VLOOKUP('Données projet'!$B$10,Paramètres!$A$1:$I$89,3,0)*VLOOKUP('Données projet'!$B$10,Paramètres!$A$1:$I$89,5,0)</f>
        <v>241.58159999999998</v>
      </c>
      <c r="AK124" s="13">
        <f t="shared" si="89"/>
        <v>58.779689232021951</v>
      </c>
      <c r="AL124" s="20">
        <f t="shared" si="58"/>
        <v>523.12924541243819</v>
      </c>
      <c r="AM124" s="59">
        <f t="shared" si="59"/>
        <v>816.46257874577145</v>
      </c>
      <c r="AN124" s="59">
        <f ca="1">AVERAGE(OFFSET($AM$3,0,0,'Données projet'!$E$10+1,1))-AVERAGE(OFFSET($H$3,0,0,'Données projet'!$E$10+1,1))</f>
        <v>364.3481978218424</v>
      </c>
      <c r="AO124" s="59">
        <f t="shared" si="90"/>
        <v>231.36959598460686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67.117972005315622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67.117972005315622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267</v>
      </c>
      <c r="BE124" s="13">
        <f>BD124*VLOOKUP('Données projet'!$B$11,Paramètres!$A$1:$I$89,3,0)*VLOOKUP('Données projet'!$B$11,Paramètres!$A$1:$I$89,5,0)</f>
        <v>270.738</v>
      </c>
      <c r="BF124" s="13">
        <f t="shared" si="91"/>
        <v>65.005866623551711</v>
      </c>
      <c r="BG124" s="20">
        <f t="shared" si="61"/>
        <v>584.7539010360191</v>
      </c>
      <c r="BH124" s="59">
        <f t="shared" si="62"/>
        <v>878.08723436935247</v>
      </c>
      <c r="BI124" s="59">
        <f ca="1">AVERAGE(OFFSET($BH$3,0,0,'Données projet'!$E$11+1,1))-AVERAGE(OFFSET($H$3,0,0,'Données projet'!$E$11+1,1))</f>
        <v>403.50418598112844</v>
      </c>
      <c r="BJ124" s="59">
        <f t="shared" si="92"/>
        <v>254.25036207346591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75.218416902508906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75.218416902508906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636.99999999999977</v>
      </c>
      <c r="O125" s="13">
        <f>N125*VLOOKUP('Données projet'!$B$9,Paramètres!$A$1:$I$89,3,0)*VLOOKUP('Données projet'!$B$9,Paramètres!$A$1:$I$89,5,0)</f>
        <v>356.08299999999991</v>
      </c>
      <c r="P125" s="13">
        <f t="shared" si="87"/>
        <v>82.813805255716545</v>
      </c>
      <c r="Q125" s="20">
        <f t="shared" si="107"/>
        <v>764.41193582037283</v>
      </c>
      <c r="R125" s="59">
        <f t="shared" si="55"/>
        <v>1057.7452691537062</v>
      </c>
      <c r="S125" s="59">
        <f ca="1">AVERAGE(OFFSET($R$3,0,0,'Données projet'!$E$9+1,1))-AVERAGE(OFFSET($H$3,0,0,'Données projet'!$E$9+1,1))</f>
        <v>443.34220761968419</v>
      </c>
      <c r="T125" s="59">
        <f t="shared" si="88"/>
        <v>546.58234447298014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28.627110985404087</v>
      </c>
      <c r="AA125" s="21">
        <f>EXP(-LN(2)/25)*AA124+(1-EXP(-LN(2)/25))/(LN(2)/25)*Calculateur!V125*Calculateur!X125*VLOOKUP('Données projet'!$B$9,Paramètres!$A$1:$I$89,3,0)*0.475*44/12</f>
        <v>1.7115629289602912</v>
      </c>
      <c r="AB125" s="21">
        <f>EXP(-LN(2)/2)*AB124+(1-EXP(-LN(2)/2))/(LN(2)/2)*V125*Y125*VLOOKUP('Données projet'!$B$9,Paramètres!$A$1:$I$89,3,0)*0.475*44/12</f>
        <v>8.585909712258341E-14</v>
      </c>
      <c r="AC125" s="22">
        <f t="shared" si="57"/>
        <v>30.338673914364463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267</v>
      </c>
      <c r="AJ125" s="13">
        <f>AI125*VLOOKUP('Données projet'!$B$10,Paramètres!$A$1:$I$89,3,0)*VLOOKUP('Données projet'!$B$10,Paramètres!$A$1:$I$89,5,0)</f>
        <v>241.58159999999998</v>
      </c>
      <c r="AK125" s="13">
        <f t="shared" si="89"/>
        <v>58.779689232021951</v>
      </c>
      <c r="AL125" s="20">
        <f t="shared" si="58"/>
        <v>523.12924541243819</v>
      </c>
      <c r="AM125" s="59">
        <f t="shared" si="59"/>
        <v>816.46257874577145</v>
      </c>
      <c r="AN125" s="59">
        <f ca="1">AVERAGE(OFFSET($AM$3,0,0,'Données projet'!$E$10+1,1))-AVERAGE(OFFSET($H$3,0,0,'Données projet'!$E$10+1,1))</f>
        <v>364.3481978218424</v>
      </c>
      <c r="AO125" s="59">
        <f t="shared" si="90"/>
        <v>231.36959598460686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65.801829512212024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65.801829512212024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267</v>
      </c>
      <c r="BE125" s="13">
        <f>BD125*VLOOKUP('Données projet'!$B$11,Paramètres!$A$1:$I$89,3,0)*VLOOKUP('Données projet'!$B$11,Paramètres!$A$1:$I$89,5,0)</f>
        <v>270.738</v>
      </c>
      <c r="BF125" s="13">
        <f t="shared" si="91"/>
        <v>65.005866623551711</v>
      </c>
      <c r="BG125" s="20">
        <f t="shared" si="61"/>
        <v>584.7539010360191</v>
      </c>
      <c r="BH125" s="59">
        <f t="shared" si="62"/>
        <v>878.08723436935247</v>
      </c>
      <c r="BI125" s="59">
        <f ca="1">AVERAGE(OFFSET($BH$3,0,0,'Données projet'!$E$11+1,1))-AVERAGE(OFFSET($H$3,0,0,'Données projet'!$E$11+1,1))</f>
        <v>403.50418598112844</v>
      </c>
      <c r="BJ125" s="59">
        <f t="shared" si="92"/>
        <v>254.25036207346591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73.743429625754871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73.743429625754871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636.99999999999977</v>
      </c>
      <c r="O126" s="13">
        <f>N126*VLOOKUP('Données projet'!$B$9,Paramètres!$A$1:$I$89,3,0)*VLOOKUP('Données projet'!$B$9,Paramètres!$A$1:$I$89,5,0)</f>
        <v>356.08299999999991</v>
      </c>
      <c r="P126" s="13">
        <f t="shared" si="87"/>
        <v>82.813805255716545</v>
      </c>
      <c r="Q126" s="20">
        <f t="shared" si="107"/>
        <v>764.41193582037283</v>
      </c>
      <c r="R126" s="59">
        <f t="shared" si="55"/>
        <v>1057.7452691537062</v>
      </c>
      <c r="S126" s="59">
        <f ca="1">AVERAGE(OFFSET($R$3,0,0,'Données projet'!$E$9+1,1))-AVERAGE(OFFSET($H$3,0,0,'Données projet'!$E$9+1,1))</f>
        <v>443.34220761968419</v>
      </c>
      <c r="T126" s="59">
        <f t="shared" si="88"/>
        <v>546.58234447298014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28.065750799793904</v>
      </c>
      <c r="AA126" s="21">
        <f>EXP(-LN(2)/25)*AA125+(1-EXP(-LN(2)/25))/(LN(2)/25)*Calculateur!V126*Calculateur!X126*VLOOKUP('Données projet'!$B$9,Paramètres!$A$1:$I$89,3,0)*0.475*44/12</f>
        <v>1.6647601506606895</v>
      </c>
      <c r="AB126" s="21">
        <f>EXP(-LN(2)/2)*AB125+(1-EXP(-LN(2)/2))/(LN(2)/2)*V126*Y126*VLOOKUP('Données projet'!$B$9,Paramètres!$A$1:$I$89,3,0)*0.475*44/12</f>
        <v>6.0711549801933119E-14</v>
      </c>
      <c r="AC126" s="22">
        <f t="shared" si="57"/>
        <v>29.730510950454654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267</v>
      </c>
      <c r="AJ126" s="13">
        <f>AI126*VLOOKUP('Données projet'!$B$10,Paramètres!$A$1:$I$89,3,0)*VLOOKUP('Données projet'!$B$10,Paramètres!$A$1:$I$89,5,0)</f>
        <v>241.58159999999998</v>
      </c>
      <c r="AK126" s="13">
        <f t="shared" si="89"/>
        <v>58.779689232021951</v>
      </c>
      <c r="AL126" s="20">
        <f t="shared" si="58"/>
        <v>523.12924541243819</v>
      </c>
      <c r="AM126" s="59">
        <f t="shared" si="59"/>
        <v>816.46257874577145</v>
      </c>
      <c r="AN126" s="59">
        <f ca="1">AVERAGE(OFFSET($AM$3,0,0,'Données projet'!$E$10+1,1))-AVERAGE(OFFSET($H$3,0,0,'Données projet'!$E$10+1,1))</f>
        <v>364.3481978218424</v>
      </c>
      <c r="AO126" s="59">
        <f t="shared" si="90"/>
        <v>231.36959598460686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64.511495770630532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64.511495770630532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267</v>
      </c>
      <c r="BE126" s="13">
        <f>BD126*VLOOKUP('Données projet'!$B$11,Paramètres!$A$1:$I$89,3,0)*VLOOKUP('Données projet'!$B$11,Paramètres!$A$1:$I$89,5,0)</f>
        <v>270.738</v>
      </c>
      <c r="BF126" s="13">
        <f t="shared" si="91"/>
        <v>65.005866623551711</v>
      </c>
      <c r="BG126" s="20">
        <f t="shared" si="61"/>
        <v>584.7539010360191</v>
      </c>
      <c r="BH126" s="59">
        <f t="shared" si="62"/>
        <v>878.08723436935247</v>
      </c>
      <c r="BI126" s="59">
        <f ca="1">AVERAGE(OFFSET($BH$3,0,0,'Données projet'!$E$11+1,1))-AVERAGE(OFFSET($H$3,0,0,'Données projet'!$E$11+1,1))</f>
        <v>403.50418598112844</v>
      </c>
      <c r="BJ126" s="59">
        <f t="shared" si="92"/>
        <v>254.25036207346591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72.297365949844576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72.297365949844576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636.99999999999977</v>
      </c>
      <c r="O127" s="13">
        <f>N127*VLOOKUP('Données projet'!$B$9,Paramètres!$A$1:$I$89,3,0)*VLOOKUP('Données projet'!$B$9,Paramètres!$A$1:$I$89,5,0)</f>
        <v>356.08299999999991</v>
      </c>
      <c r="P127" s="13">
        <f t="shared" si="87"/>
        <v>82.813805255716545</v>
      </c>
      <c r="Q127" s="20">
        <f t="shared" si="107"/>
        <v>764.41193582037283</v>
      </c>
      <c r="R127" s="59">
        <f t="shared" si="55"/>
        <v>1057.7452691537062</v>
      </c>
      <c r="S127" s="59">
        <f ca="1">AVERAGE(OFFSET($R$3,0,0,'Données projet'!$E$9+1,1))-AVERAGE(OFFSET($H$3,0,0,'Données projet'!$E$9+1,1))</f>
        <v>443.34220761968419</v>
      </c>
      <c r="T127" s="59">
        <f t="shared" si="88"/>
        <v>546.58234447298014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27.515398545027629</v>
      </c>
      <c r="AA127" s="21">
        <f>EXP(-LN(2)/25)*AA126+(1-EXP(-LN(2)/25))/(LN(2)/25)*Calculateur!V127*Calculateur!X127*VLOOKUP('Données projet'!$B$9,Paramètres!$A$1:$I$89,3,0)*0.475*44/12</f>
        <v>1.6192371967949415</v>
      </c>
      <c r="AB127" s="21">
        <f>EXP(-LN(2)/2)*AB126+(1-EXP(-LN(2)/2))/(LN(2)/2)*V127*Y127*VLOOKUP('Données projet'!$B$9,Paramètres!$A$1:$I$89,3,0)*0.475*44/12</f>
        <v>4.2929548561291705E-14</v>
      </c>
      <c r="AC127" s="22">
        <f t="shared" si="57"/>
        <v>29.134635741822613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267</v>
      </c>
      <c r="AJ127" s="13">
        <f>AI127*VLOOKUP('Données projet'!$B$10,Paramètres!$A$1:$I$89,3,0)*VLOOKUP('Données projet'!$B$10,Paramètres!$A$1:$I$89,5,0)</f>
        <v>241.58159999999998</v>
      </c>
      <c r="AK127" s="13">
        <f t="shared" si="89"/>
        <v>58.779689232021951</v>
      </c>
      <c r="AL127" s="20">
        <f t="shared" si="58"/>
        <v>523.12924541243819</v>
      </c>
      <c r="AM127" s="59">
        <f t="shared" si="59"/>
        <v>816.46257874577145</v>
      </c>
      <c r="AN127" s="59">
        <f ca="1">AVERAGE(OFFSET($AM$3,0,0,'Données projet'!$E$10+1,1))-AVERAGE(OFFSET($H$3,0,0,'Données projet'!$E$10+1,1))</f>
        <v>364.3481978218424</v>
      </c>
      <c r="AO127" s="59">
        <f t="shared" si="90"/>
        <v>231.36959598460686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63.246464686695582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63.246464686695582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267</v>
      </c>
      <c r="BE127" s="13">
        <f>BD127*VLOOKUP('Données projet'!$B$11,Paramètres!$A$1:$I$89,3,0)*VLOOKUP('Données projet'!$B$11,Paramètres!$A$1:$I$89,5,0)</f>
        <v>270.738</v>
      </c>
      <c r="BF127" s="13">
        <f t="shared" si="91"/>
        <v>65.005866623551711</v>
      </c>
      <c r="BG127" s="20">
        <f t="shared" si="61"/>
        <v>584.7539010360191</v>
      </c>
      <c r="BH127" s="59">
        <f t="shared" si="62"/>
        <v>878.08723436935247</v>
      </c>
      <c r="BI127" s="59">
        <f ca="1">AVERAGE(OFFSET($BH$3,0,0,'Données projet'!$E$11+1,1))-AVERAGE(OFFSET($H$3,0,0,'Données projet'!$E$11+1,1))</f>
        <v>403.50418598112844</v>
      </c>
      <c r="BJ127" s="59">
        <f t="shared" si="92"/>
        <v>254.25036207346591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70.879658700607138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70.879658700607138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636.99999999999977</v>
      </c>
      <c r="O128" s="13">
        <f>N128*VLOOKUP('Données projet'!$B$9,Paramètres!$A$1:$I$89,3,0)*VLOOKUP('Données projet'!$B$9,Paramètres!$A$1:$I$89,5,0)</f>
        <v>356.08299999999991</v>
      </c>
      <c r="P128" s="13">
        <f t="shared" si="87"/>
        <v>82.813805255716545</v>
      </c>
      <c r="Q128" s="20">
        <f t="shared" si="107"/>
        <v>764.41193582037283</v>
      </c>
      <c r="R128" s="59">
        <f t="shared" si="55"/>
        <v>1057.7452691537062</v>
      </c>
      <c r="S128" s="59">
        <f ca="1">AVERAGE(OFFSET($R$3,0,0,'Données projet'!$E$9+1,1))-AVERAGE(OFFSET($H$3,0,0,'Données projet'!$E$9+1,1))</f>
        <v>443.34220761968419</v>
      </c>
      <c r="T128" s="59">
        <f t="shared" si="88"/>
        <v>546.58234447298014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26.975838362295594</v>
      </c>
      <c r="AA128" s="21">
        <f>EXP(-LN(2)/25)*AA127+(1-EXP(-LN(2)/25))/(LN(2)/25)*Calculateur!V128*Calculateur!X128*VLOOKUP('Données projet'!$B$9,Paramètres!$A$1:$I$89,3,0)*0.475*44/12</f>
        <v>1.5749590704966006</v>
      </c>
      <c r="AB128" s="21">
        <f>EXP(-LN(2)/2)*AB127+(1-EXP(-LN(2)/2))/(LN(2)/2)*V128*Y128*VLOOKUP('Données projet'!$B$9,Paramètres!$A$1:$I$89,3,0)*0.475*44/12</f>
        <v>3.0355774900966559E-14</v>
      </c>
      <c r="AC128" s="22">
        <f t="shared" si="57"/>
        <v>28.550797432792226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267</v>
      </c>
      <c r="AJ128" s="13">
        <f>AI128*VLOOKUP('Données projet'!$B$10,Paramètres!$A$1:$I$89,3,0)*VLOOKUP('Données projet'!$B$10,Paramètres!$A$1:$I$89,5,0)</f>
        <v>241.58159999999998</v>
      </c>
      <c r="AK128" s="13">
        <f t="shared" si="89"/>
        <v>58.779689232021951</v>
      </c>
      <c r="AL128" s="20">
        <f t="shared" si="58"/>
        <v>523.12924541243819</v>
      </c>
      <c r="AM128" s="59">
        <f t="shared" si="59"/>
        <v>816.46257874577145</v>
      </c>
      <c r="AN128" s="59">
        <f ca="1">AVERAGE(OFFSET($AM$3,0,0,'Données projet'!$E$10+1,1))-AVERAGE(OFFSET($H$3,0,0,'Données projet'!$E$10+1,1))</f>
        <v>364.3481978218424</v>
      </c>
      <c r="AO128" s="59">
        <f t="shared" si="90"/>
        <v>231.36959598460686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62.006240090723821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62.006240090723821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267</v>
      </c>
      <c r="BE128" s="13">
        <f>BD128*VLOOKUP('Données projet'!$B$11,Paramètres!$A$1:$I$89,3,0)*VLOOKUP('Données projet'!$B$11,Paramètres!$A$1:$I$89,5,0)</f>
        <v>270.738</v>
      </c>
      <c r="BF128" s="13">
        <f t="shared" si="91"/>
        <v>65.005866623551711</v>
      </c>
      <c r="BG128" s="20">
        <f t="shared" si="61"/>
        <v>584.7539010360191</v>
      </c>
      <c r="BH128" s="59">
        <f t="shared" si="62"/>
        <v>878.08723436935247</v>
      </c>
      <c r="BI128" s="59">
        <f ca="1">AVERAGE(OFFSET($BH$3,0,0,'Données projet'!$E$11+1,1))-AVERAGE(OFFSET($H$3,0,0,'Données projet'!$E$11+1,1))</f>
        <v>403.50418598112844</v>
      </c>
      <c r="BJ128" s="59">
        <f t="shared" si="92"/>
        <v>254.25036207346591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69.489751825811197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69.489751825811197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636.99999999999977</v>
      </c>
      <c r="O129" s="13">
        <f>N129*VLOOKUP('Données projet'!$B$9,Paramètres!$A$1:$I$89,3,0)*VLOOKUP('Données projet'!$B$9,Paramètres!$A$1:$I$89,5,0)</f>
        <v>356.08299999999991</v>
      </c>
      <c r="P129" s="13">
        <f t="shared" si="87"/>
        <v>82.813805255716545</v>
      </c>
      <c r="Q129" s="20">
        <f t="shared" si="107"/>
        <v>764.41193582037283</v>
      </c>
      <c r="R129" s="59">
        <f t="shared" si="55"/>
        <v>1057.7452691537062</v>
      </c>
      <c r="S129" s="59">
        <f ca="1">AVERAGE(OFFSET($R$3,0,0,'Données projet'!$E$9+1,1))-AVERAGE(OFFSET($H$3,0,0,'Données projet'!$E$9+1,1))</f>
        <v>443.34220761968419</v>
      </c>
      <c r="T129" s="59">
        <f t="shared" si="88"/>
        <v>546.58234447298014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26.446858625647717</v>
      </c>
      <c r="AA129" s="21">
        <f>EXP(-LN(2)/25)*AA128+(1-EXP(-LN(2)/25))/(LN(2)/25)*Calculateur!V129*Calculateur!X129*VLOOKUP('Données projet'!$B$9,Paramètres!$A$1:$I$89,3,0)*0.475*44/12</f>
        <v>1.5318917318903731</v>
      </c>
      <c r="AB129" s="21">
        <f>EXP(-LN(2)/2)*AB128+(1-EXP(-LN(2)/2))/(LN(2)/2)*V129*Y129*VLOOKUP('Données projet'!$B$9,Paramètres!$A$1:$I$89,3,0)*0.475*44/12</f>
        <v>2.1464774280645853E-14</v>
      </c>
      <c r="AC129" s="22">
        <f t="shared" si="57"/>
        <v>27.978750357538111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267</v>
      </c>
      <c r="AJ129" s="13">
        <f>AI129*VLOOKUP('Données projet'!$B$10,Paramètres!$A$1:$I$89,3,0)*VLOOKUP('Données projet'!$B$10,Paramètres!$A$1:$I$89,5,0)</f>
        <v>241.58159999999998</v>
      </c>
      <c r="AK129" s="13">
        <f t="shared" si="89"/>
        <v>58.779689232021951</v>
      </c>
      <c r="AL129" s="20">
        <f t="shared" si="58"/>
        <v>523.12924541243819</v>
      </c>
      <c r="AM129" s="59">
        <f t="shared" si="59"/>
        <v>816.46257874577145</v>
      </c>
      <c r="AN129" s="59">
        <f ca="1">AVERAGE(OFFSET($AM$3,0,0,'Données projet'!$E$10+1,1))-AVERAGE(OFFSET($H$3,0,0,'Données projet'!$E$10+1,1))</f>
        <v>364.3481978218424</v>
      </c>
      <c r="AO129" s="59">
        <f t="shared" si="90"/>
        <v>231.36959598460686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60.790335542616759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60.790335542616759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267</v>
      </c>
      <c r="BE129" s="13">
        <f>BD129*VLOOKUP('Données projet'!$B$11,Paramètres!$A$1:$I$89,3,0)*VLOOKUP('Données projet'!$B$11,Paramètres!$A$1:$I$89,5,0)</f>
        <v>270.738</v>
      </c>
      <c r="BF129" s="13">
        <f t="shared" si="91"/>
        <v>65.005866623551711</v>
      </c>
      <c r="BG129" s="20">
        <f t="shared" si="61"/>
        <v>584.7539010360191</v>
      </c>
      <c r="BH129" s="59">
        <f t="shared" si="62"/>
        <v>878.08723436935247</v>
      </c>
      <c r="BI129" s="59">
        <f ca="1">AVERAGE(OFFSET($BH$3,0,0,'Données projet'!$E$11+1,1))-AVERAGE(OFFSET($H$3,0,0,'Données projet'!$E$11+1,1))</f>
        <v>403.50418598112844</v>
      </c>
      <c r="BJ129" s="59">
        <f t="shared" si="92"/>
        <v>254.25036207346591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68.127100177070531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68.127100177070531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636.99999999999977</v>
      </c>
      <c r="O130" s="13">
        <f>N130*VLOOKUP('Données projet'!$B$9,Paramètres!$A$1:$I$89,3,0)*VLOOKUP('Données projet'!$B$9,Paramètres!$A$1:$I$89,5,0)</f>
        <v>356.08299999999991</v>
      </c>
      <c r="P130" s="13">
        <f t="shared" si="87"/>
        <v>82.813805255716545</v>
      </c>
      <c r="Q130" s="20">
        <f t="shared" si="107"/>
        <v>764.41193582037283</v>
      </c>
      <c r="R130" s="59">
        <f t="shared" si="55"/>
        <v>1057.7452691537062</v>
      </c>
      <c r="S130" s="59">
        <f ca="1">AVERAGE(OFFSET($R$3,0,0,'Données projet'!$E$9+1,1))-AVERAGE(OFFSET($H$3,0,0,'Données projet'!$E$9+1,1))</f>
        <v>443.34220761968419</v>
      </c>
      <c r="T130" s="59">
        <f t="shared" si="88"/>
        <v>546.58234447298014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25.928251858989725</v>
      </c>
      <c r="AA130" s="21">
        <f>EXP(-LN(2)/25)*AA129+(1-EXP(-LN(2)/25))/(LN(2)/25)*Calculateur!V130*Calculateur!X130*VLOOKUP('Données projet'!$B$9,Paramètres!$A$1:$I$89,3,0)*0.475*44/12</f>
        <v>1.4900020719231459</v>
      </c>
      <c r="AB130" s="21">
        <f>EXP(-LN(2)/2)*AB129+(1-EXP(-LN(2)/2))/(LN(2)/2)*V130*Y130*VLOOKUP('Données projet'!$B$9,Paramètres!$A$1:$I$89,3,0)*0.475*44/12</f>
        <v>1.517788745048328E-14</v>
      </c>
      <c r="AC130" s="22">
        <f t="shared" si="57"/>
        <v>27.418253930912886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267</v>
      </c>
      <c r="AJ130" s="13">
        <f>AI130*VLOOKUP('Données projet'!$B$10,Paramètres!$A$1:$I$89,3,0)*VLOOKUP('Données projet'!$B$10,Paramètres!$A$1:$I$89,5,0)</f>
        <v>241.58159999999998</v>
      </c>
      <c r="AK130" s="13">
        <f t="shared" si="89"/>
        <v>58.779689232021951</v>
      </c>
      <c r="AL130" s="20">
        <f t="shared" si="58"/>
        <v>523.12924541243819</v>
      </c>
      <c r="AM130" s="59">
        <f t="shared" si="59"/>
        <v>816.46257874577145</v>
      </c>
      <c r="AN130" s="59">
        <f ca="1">AVERAGE(OFFSET($AM$3,0,0,'Données projet'!$E$10+1,1))-AVERAGE(OFFSET($H$3,0,0,'Données projet'!$E$10+1,1))</f>
        <v>364.3481978218424</v>
      </c>
      <c r="AO130" s="59">
        <f t="shared" si="90"/>
        <v>231.36959598460686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59.598274141069531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59.598274141069531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267</v>
      </c>
      <c r="BE130" s="13">
        <f>BD130*VLOOKUP('Données projet'!$B$11,Paramètres!$A$1:$I$89,3,0)*VLOOKUP('Données projet'!$B$11,Paramètres!$A$1:$I$89,5,0)</f>
        <v>270.738</v>
      </c>
      <c r="BF130" s="13">
        <f t="shared" si="91"/>
        <v>65.005866623551711</v>
      </c>
      <c r="BG130" s="20">
        <f t="shared" si="61"/>
        <v>584.7539010360191</v>
      </c>
      <c r="BH130" s="59">
        <f t="shared" si="62"/>
        <v>878.08723436935247</v>
      </c>
      <c r="BI130" s="59">
        <f ca="1">AVERAGE(OFFSET($BH$3,0,0,'Données projet'!$E$11+1,1))-AVERAGE(OFFSET($H$3,0,0,'Données projet'!$E$11+1,1))</f>
        <v>403.50418598112844</v>
      </c>
      <c r="BJ130" s="59">
        <f t="shared" si="92"/>
        <v>254.25036207346591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66.791169296026226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66.791169296026226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636.99999999999977</v>
      </c>
      <c r="O131" s="13">
        <f>N131*VLOOKUP('Données projet'!$B$9,Paramètres!$A$1:$I$89,3,0)*VLOOKUP('Données projet'!$B$9,Paramètres!$A$1:$I$89,5,0)</f>
        <v>356.08299999999991</v>
      </c>
      <c r="P131" s="13">
        <f t="shared" si="87"/>
        <v>82.813805255716545</v>
      </c>
      <c r="Q131" s="20">
        <f t="shared" ref="Q131:Q153" si="108">(O131+P131)*0.475*44/12</f>
        <v>764.41193582037283</v>
      </c>
      <c r="R131" s="59">
        <f t="shared" ref="R131:R194" si="109">Q131+(I131+J131)*44/12</f>
        <v>1057.7452691537062</v>
      </c>
      <c r="S131" s="59">
        <f ca="1">AVERAGE(OFFSET($R$3,0,0,'Données projet'!$E$9+1,1))-AVERAGE(OFFSET($H$3,0,0,'Données projet'!$E$9+1,1))</f>
        <v>443.34220761968419</v>
      </c>
      <c r="T131" s="59">
        <f t="shared" si="88"/>
        <v>546.58234447298014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25.419814654707</v>
      </c>
      <c r="AA131" s="21">
        <f>EXP(-LN(2)/25)*AA130+(1-EXP(-LN(2)/25))/(LN(2)/25)*Calculateur!V131*Calculateur!X131*VLOOKUP('Données projet'!$B$9,Paramètres!$A$1:$I$89,3,0)*0.475*44/12</f>
        <v>1.4492578869106041</v>
      </c>
      <c r="AB131" s="21">
        <f>EXP(-LN(2)/2)*AB130+(1-EXP(-LN(2)/2))/(LN(2)/2)*V131*Y131*VLOOKUP('Données projet'!$B$9,Paramètres!$A$1:$I$89,3,0)*0.475*44/12</f>
        <v>1.0732387140322926E-14</v>
      </c>
      <c r="AC131" s="22">
        <f t="shared" si="57"/>
        <v>26.869072541617616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267</v>
      </c>
      <c r="AJ131" s="13">
        <f>AI131*VLOOKUP('Données projet'!$B$10,Paramètres!$A$1:$I$89,3,0)*VLOOKUP('Données projet'!$B$10,Paramètres!$A$1:$I$89,5,0)</f>
        <v>241.58159999999998</v>
      </c>
      <c r="AK131" s="13">
        <f t="shared" si="89"/>
        <v>58.779689232021951</v>
      </c>
      <c r="AL131" s="20">
        <f t="shared" si="58"/>
        <v>523.12924541243819</v>
      </c>
      <c r="AM131" s="59">
        <f t="shared" si="59"/>
        <v>816.46257874577145</v>
      </c>
      <c r="AN131" s="59">
        <f ca="1">AVERAGE(OFFSET($AM$3,0,0,'Données projet'!$E$10+1,1))-AVERAGE(OFFSET($H$3,0,0,'Données projet'!$E$10+1,1))</f>
        <v>364.3481978218424</v>
      </c>
      <c r="AO131" s="59">
        <f t="shared" si="90"/>
        <v>231.36959598460686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58.429588336520986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58.429588336520986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267</v>
      </c>
      <c r="BE131" s="13">
        <f>BD131*VLOOKUP('Données projet'!$B$11,Paramètres!$A$1:$I$89,3,0)*VLOOKUP('Données projet'!$B$11,Paramètres!$A$1:$I$89,5,0)</f>
        <v>270.738</v>
      </c>
      <c r="BF131" s="13">
        <f t="shared" si="91"/>
        <v>65.005866623551711</v>
      </c>
      <c r="BG131" s="20">
        <f t="shared" si="61"/>
        <v>584.7539010360191</v>
      </c>
      <c r="BH131" s="59">
        <f t="shared" si="62"/>
        <v>878.08723436935247</v>
      </c>
      <c r="BI131" s="59">
        <f ca="1">AVERAGE(OFFSET($BH$3,0,0,'Données projet'!$E$11+1,1))-AVERAGE(OFFSET($H$3,0,0,'Données projet'!$E$11+1,1))</f>
        <v>403.50418598112844</v>
      </c>
      <c r="BJ131" s="59">
        <f t="shared" si="92"/>
        <v>254.25036207346591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65.481435204721819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65.481435204721819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636.99999999999977</v>
      </c>
      <c r="O132" s="13">
        <f>N132*VLOOKUP('Données projet'!$B$9,Paramètres!$A$1:$I$89,3,0)*VLOOKUP('Données projet'!$B$9,Paramètres!$A$1:$I$89,5,0)</f>
        <v>356.08299999999991</v>
      </c>
      <c r="P132" s="13">
        <f t="shared" si="87"/>
        <v>82.813805255716545</v>
      </c>
      <c r="Q132" s="20">
        <f t="shared" si="108"/>
        <v>764.41193582037283</v>
      </c>
      <c r="R132" s="59">
        <f t="shared" si="109"/>
        <v>1057.7452691537062</v>
      </c>
      <c r="S132" s="59">
        <f ca="1">AVERAGE(OFFSET($R$3,0,0,'Données projet'!$E$9+1,1))-AVERAGE(OFFSET($H$3,0,0,'Données projet'!$E$9+1,1))</f>
        <v>443.34220761968419</v>
      </c>
      <c r="T132" s="59">
        <f t="shared" si="88"/>
        <v>546.58234447298014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24.921347593884189</v>
      </c>
      <c r="AA132" s="21">
        <f>EXP(-LN(2)/25)*AA131+(1-EXP(-LN(2)/25))/(LN(2)/25)*Calculateur!V132*Calculateur!X132*VLOOKUP('Données projet'!$B$9,Paramètres!$A$1:$I$89,3,0)*0.475*44/12</f>
        <v>1.4096278537798737</v>
      </c>
      <c r="AB132" s="21">
        <f>EXP(-LN(2)/2)*AB131+(1-EXP(-LN(2)/2))/(LN(2)/2)*V132*Y132*VLOOKUP('Données projet'!$B$9,Paramètres!$A$1:$I$89,3,0)*0.475*44/12</f>
        <v>7.5889437252416399E-15</v>
      </c>
      <c r="AC132" s="22">
        <f t="shared" ref="AC132:AC153" si="111">SUM(Z132:AB132)</f>
        <v>26.33097544766407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267</v>
      </c>
      <c r="AJ132" s="13">
        <f>AI132*VLOOKUP('Données projet'!$B$10,Paramètres!$A$1:$I$89,3,0)*VLOOKUP('Données projet'!$B$10,Paramètres!$A$1:$I$89,5,0)</f>
        <v>241.58159999999998</v>
      </c>
      <c r="AK132" s="13">
        <f t="shared" si="89"/>
        <v>58.779689232021951</v>
      </c>
      <c r="AL132" s="20">
        <f t="shared" ref="AL132:AL153" si="112">(AJ132+AK132)*0.475*44/12</f>
        <v>523.12924541243819</v>
      </c>
      <c r="AM132" s="59">
        <f t="shared" ref="AM132:AM195" si="113">AL132+(AD132+AE132)*44/12</f>
        <v>816.46257874577145</v>
      </c>
      <c r="AN132" s="59">
        <f ca="1">AVERAGE(OFFSET($AM$3,0,0,'Données projet'!$E$10+1,1))-AVERAGE(OFFSET($H$3,0,0,'Données projet'!$E$10+1,1))</f>
        <v>364.3481978218424</v>
      </c>
      <c r="AO132" s="59">
        <f t="shared" si="90"/>
        <v>231.36959598460686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57.28381974777168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57.28381974777168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267</v>
      </c>
      <c r="BE132" s="13">
        <f>BD132*VLOOKUP('Données projet'!$B$11,Paramètres!$A$1:$I$89,3,0)*VLOOKUP('Données projet'!$B$11,Paramètres!$A$1:$I$89,5,0)</f>
        <v>270.738</v>
      </c>
      <c r="BF132" s="13">
        <f t="shared" si="91"/>
        <v>65.005866623551711</v>
      </c>
      <c r="BG132" s="20">
        <f t="shared" ref="BG132:BG153" si="115">(BE132+BF132)*0.475*44/12</f>
        <v>584.7539010360191</v>
      </c>
      <c r="BH132" s="59">
        <f t="shared" ref="BH132:BH195" si="116">BG132+(AY132+AZ132)*44/12</f>
        <v>878.08723436935247</v>
      </c>
      <c r="BI132" s="59">
        <f ca="1">AVERAGE(OFFSET($BH$3,0,0,'Données projet'!$E$11+1,1))-AVERAGE(OFFSET($H$3,0,0,'Données projet'!$E$11+1,1))</f>
        <v>403.50418598112844</v>
      </c>
      <c r="BJ132" s="59">
        <f t="shared" si="92"/>
        <v>254.25036207346591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64.197384200088976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64.197384200088976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636.99999999999977</v>
      </c>
      <c r="O133" s="13">
        <f>N133*VLOOKUP('Données projet'!$B$9,Paramètres!$A$1:$I$89,3,0)*VLOOKUP('Données projet'!$B$9,Paramètres!$A$1:$I$89,5,0)</f>
        <v>356.08299999999991</v>
      </c>
      <c r="P133" s="13">
        <f t="shared" ref="P133:P196" si="141">EXP(-1.0587+0.8836*LN(O133)+0.284)</f>
        <v>82.813805255716545</v>
      </c>
      <c r="Q133" s="20">
        <f t="shared" si="108"/>
        <v>764.41193582037283</v>
      </c>
      <c r="R133" s="59">
        <f t="shared" si="109"/>
        <v>1057.7452691537062</v>
      </c>
      <c r="S133" s="59">
        <f ca="1">AVERAGE(OFFSET($R$3,0,0,'Données projet'!$E$9+1,1))-AVERAGE(OFFSET($H$3,0,0,'Données projet'!$E$9+1,1))</f>
        <v>443.34220761968419</v>
      </c>
      <c r="T133" s="59">
        <f t="shared" ref="T133:T196" si="142">$T$3</f>
        <v>546.58234447298014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24.432655168089227</v>
      </c>
      <c r="AA133" s="21">
        <f>EXP(-LN(2)/25)*AA132+(1-EXP(-LN(2)/25))/(LN(2)/25)*Calculateur!V133*Calculateur!X133*VLOOKUP('Données projet'!$B$9,Paramètres!$A$1:$I$89,3,0)*0.475*44/12</f>
        <v>1.3710815059891559</v>
      </c>
      <c r="AB133" s="21">
        <f>EXP(-LN(2)/2)*AB132+(1-EXP(-LN(2)/2))/(LN(2)/2)*V133*Y133*VLOOKUP('Données projet'!$B$9,Paramètres!$A$1:$I$89,3,0)*0.475*44/12</f>
        <v>5.3661935701614631E-15</v>
      </c>
      <c r="AC133" s="22">
        <f t="shared" si="111"/>
        <v>25.80373667407839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267</v>
      </c>
      <c r="AJ133" s="13">
        <f>AI133*VLOOKUP('Données projet'!$B$10,Paramètres!$A$1:$I$89,3,0)*VLOOKUP('Données projet'!$B$10,Paramètres!$A$1:$I$89,5,0)</f>
        <v>241.58159999999998</v>
      </c>
      <c r="AK133" s="13">
        <f t="shared" ref="AK133:AK153" si="143">EXP(-1.0587+0.8836*LN(AJ133)+0.284)</f>
        <v>58.779689232021951</v>
      </c>
      <c r="AL133" s="20">
        <f t="shared" si="112"/>
        <v>523.12924541243819</v>
      </c>
      <c r="AM133" s="59">
        <f t="shared" si="113"/>
        <v>816.46257874577145</v>
      </c>
      <c r="AN133" s="59">
        <f ca="1">AVERAGE(OFFSET($AM$3,0,0,'Données projet'!$E$10+1,1))-AVERAGE(OFFSET($H$3,0,0,'Données projet'!$E$10+1,1))</f>
        <v>364.3481978218424</v>
      </c>
      <c r="AO133" s="59">
        <f t="shared" ref="AO133:AO196" si="144">$AO$3</f>
        <v>231.36959598460686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56.160518982197914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56.160518982197914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267</v>
      </c>
      <c r="BE133" s="13">
        <f>BD133*VLOOKUP('Données projet'!$B$11,Paramètres!$A$1:$I$89,3,0)*VLOOKUP('Données projet'!$B$11,Paramètres!$A$1:$I$89,5,0)</f>
        <v>270.738</v>
      </c>
      <c r="BF133" s="13">
        <f t="shared" ref="BF133:BF153" si="145">EXP(-1.0587+0.8836*LN(BE133)+0.284)</f>
        <v>65.005866623551711</v>
      </c>
      <c r="BG133" s="20">
        <f t="shared" si="115"/>
        <v>584.7539010360191</v>
      </c>
      <c r="BH133" s="59">
        <f t="shared" si="116"/>
        <v>878.08723436935247</v>
      </c>
      <c r="BI133" s="59">
        <f ca="1">AVERAGE(OFFSET($BH$3,0,0,'Données projet'!$E$11+1,1))-AVERAGE(OFFSET($H$3,0,0,'Données projet'!$E$11+1,1))</f>
        <v>403.50418598112844</v>
      </c>
      <c r="BJ133" s="59">
        <f t="shared" ref="BJ133:BJ196" si="146">$BJ$3</f>
        <v>254.25036207346591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62.938512652463203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62.938512652463203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636.99999999999977</v>
      </c>
      <c r="O134" s="13">
        <f>N134*VLOOKUP('Données projet'!$B$9,Paramètres!$A$1:$I$89,3,0)*VLOOKUP('Données projet'!$B$9,Paramètres!$A$1:$I$89,5,0)</f>
        <v>356.08299999999991</v>
      </c>
      <c r="P134" s="13">
        <f t="shared" si="141"/>
        <v>82.813805255716545</v>
      </c>
      <c r="Q134" s="20">
        <f t="shared" si="108"/>
        <v>764.41193582037283</v>
      </c>
      <c r="R134" s="59">
        <f t="shared" si="109"/>
        <v>1057.7452691537062</v>
      </c>
      <c r="S134" s="59">
        <f ca="1">AVERAGE(OFFSET($R$3,0,0,'Données projet'!$E$9+1,1))-AVERAGE(OFFSET($H$3,0,0,'Données projet'!$E$9+1,1))</f>
        <v>443.34220761968419</v>
      </c>
      <c r="T134" s="59">
        <f t="shared" si="142"/>
        <v>546.58234447298014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23.953545702691155</v>
      </c>
      <c r="AA134" s="21">
        <f>EXP(-LN(2)/25)*AA133+(1-EXP(-LN(2)/25))/(LN(2)/25)*Calculateur!V134*Calculateur!X134*VLOOKUP('Données projet'!$B$9,Paramètres!$A$1:$I$89,3,0)*0.475*44/12</f>
        <v>1.3335892101058398</v>
      </c>
      <c r="AB134" s="21">
        <f>EXP(-LN(2)/2)*AB133+(1-EXP(-LN(2)/2))/(LN(2)/2)*V134*Y134*VLOOKUP('Données projet'!$B$9,Paramètres!$A$1:$I$89,3,0)*0.475*44/12</f>
        <v>3.7944718626208199E-15</v>
      </c>
      <c r="AC134" s="22">
        <f t="shared" si="111"/>
        <v>25.287134912796997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267</v>
      </c>
      <c r="AJ134" s="13">
        <f>AI134*VLOOKUP('Données projet'!$B$10,Paramètres!$A$1:$I$89,3,0)*VLOOKUP('Données projet'!$B$10,Paramètres!$A$1:$I$89,5,0)</f>
        <v>241.58159999999998</v>
      </c>
      <c r="AK134" s="13">
        <f t="shared" si="143"/>
        <v>58.779689232021951</v>
      </c>
      <c r="AL134" s="20">
        <f t="shared" si="112"/>
        <v>523.12924541243819</v>
      </c>
      <c r="AM134" s="59">
        <f t="shared" si="113"/>
        <v>816.46257874577145</v>
      </c>
      <c r="AN134" s="59">
        <f ca="1">AVERAGE(OFFSET($AM$3,0,0,'Données projet'!$E$10+1,1))-AVERAGE(OFFSET($H$3,0,0,'Données projet'!$E$10+1,1))</f>
        <v>364.3481978218424</v>
      </c>
      <c r="AO134" s="59">
        <f t="shared" si="144"/>
        <v>231.36959598460686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55.059245459491237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55.059245459491237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267</v>
      </c>
      <c r="BE134" s="13">
        <f>BD134*VLOOKUP('Données projet'!$B$11,Paramètres!$A$1:$I$89,3,0)*VLOOKUP('Données projet'!$B$11,Paramètres!$A$1:$I$89,5,0)</f>
        <v>270.738</v>
      </c>
      <c r="BF134" s="13">
        <f t="shared" si="145"/>
        <v>65.005866623551711</v>
      </c>
      <c r="BG134" s="20">
        <f t="shared" si="115"/>
        <v>584.7539010360191</v>
      </c>
      <c r="BH134" s="59">
        <f t="shared" si="116"/>
        <v>878.08723436935247</v>
      </c>
      <c r="BI134" s="59">
        <f ca="1">AVERAGE(OFFSET($BH$3,0,0,'Données projet'!$E$11+1,1))-AVERAGE(OFFSET($H$3,0,0,'Données projet'!$E$11+1,1))</f>
        <v>403.50418598112844</v>
      </c>
      <c r="BJ134" s="59">
        <f t="shared" si="146"/>
        <v>254.25036207346591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61.704326808050546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61.704326808050546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636.99999999999977</v>
      </c>
      <c r="O135" s="13">
        <f>N135*VLOOKUP('Données projet'!$B$9,Paramètres!$A$1:$I$89,3,0)*VLOOKUP('Données projet'!$B$9,Paramètres!$A$1:$I$89,5,0)</f>
        <v>356.08299999999991</v>
      </c>
      <c r="P135" s="13">
        <f t="shared" si="141"/>
        <v>82.813805255716545</v>
      </c>
      <c r="Q135" s="20">
        <f t="shared" si="108"/>
        <v>764.41193582037283</v>
      </c>
      <c r="R135" s="59">
        <f t="shared" si="109"/>
        <v>1057.7452691537062</v>
      </c>
      <c r="S135" s="59">
        <f ca="1">AVERAGE(OFFSET($R$3,0,0,'Données projet'!$E$9+1,1))-AVERAGE(OFFSET($H$3,0,0,'Données projet'!$E$9+1,1))</f>
        <v>443.34220761968419</v>
      </c>
      <c r="T135" s="59">
        <f t="shared" si="142"/>
        <v>546.58234447298014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23.483831281681621</v>
      </c>
      <c r="AA135" s="21">
        <f>EXP(-LN(2)/25)*AA134+(1-EXP(-LN(2)/25))/(LN(2)/25)*Calculateur!V135*Calculateur!X135*VLOOKUP('Données projet'!$B$9,Paramètres!$A$1:$I$89,3,0)*0.475*44/12</f>
        <v>1.297122143025087</v>
      </c>
      <c r="AB135" s="21">
        <f>EXP(-LN(2)/2)*AB134+(1-EXP(-LN(2)/2))/(LN(2)/2)*V135*Y135*VLOOKUP('Données projet'!$B$9,Paramètres!$A$1:$I$89,3,0)*0.475*44/12</f>
        <v>2.6830967850807316E-15</v>
      </c>
      <c r="AC135" s="22">
        <f t="shared" si="111"/>
        <v>24.780953424706713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267</v>
      </c>
      <c r="AJ135" s="13">
        <f>AI135*VLOOKUP('Données projet'!$B$10,Paramètres!$A$1:$I$89,3,0)*VLOOKUP('Données projet'!$B$10,Paramètres!$A$1:$I$89,5,0)</f>
        <v>241.58159999999998</v>
      </c>
      <c r="AK135" s="13">
        <f t="shared" si="143"/>
        <v>58.779689232021951</v>
      </c>
      <c r="AL135" s="20">
        <f t="shared" si="112"/>
        <v>523.12924541243819</v>
      </c>
      <c r="AM135" s="59">
        <f t="shared" si="113"/>
        <v>816.46257874577145</v>
      </c>
      <c r="AN135" s="59">
        <f ca="1">AVERAGE(OFFSET($AM$3,0,0,'Données projet'!$E$10+1,1))-AVERAGE(OFFSET($H$3,0,0,'Données projet'!$E$10+1,1))</f>
        <v>364.3481978218424</v>
      </c>
      <c r="AO135" s="59">
        <f t="shared" si="144"/>
        <v>231.36959598460686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53.979567238854315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53.979567238854315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267</v>
      </c>
      <c r="BE135" s="13">
        <f>BD135*VLOOKUP('Données projet'!$B$11,Paramètres!$A$1:$I$89,3,0)*VLOOKUP('Données projet'!$B$11,Paramètres!$A$1:$I$89,5,0)</f>
        <v>270.738</v>
      </c>
      <c r="BF135" s="13">
        <f t="shared" si="145"/>
        <v>65.005866623551711</v>
      </c>
      <c r="BG135" s="20">
        <f t="shared" si="115"/>
        <v>584.7539010360191</v>
      </c>
      <c r="BH135" s="59">
        <f t="shared" si="116"/>
        <v>878.08723436935247</v>
      </c>
      <c r="BI135" s="59">
        <f ca="1">AVERAGE(OFFSET($BH$3,0,0,'Données projet'!$E$11+1,1))-AVERAGE(OFFSET($H$3,0,0,'Données projet'!$E$11+1,1))</f>
        <v>403.50418598112844</v>
      </c>
      <c r="BJ135" s="59">
        <f t="shared" si="146"/>
        <v>254.25036207346591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60.494342595267788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60.494342595267788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636.99999999999977</v>
      </c>
      <c r="O136" s="13">
        <f>N136*VLOOKUP('Données projet'!$B$9,Paramètres!$A$1:$I$89,3,0)*VLOOKUP('Données projet'!$B$9,Paramètres!$A$1:$I$89,5,0)</f>
        <v>356.08299999999991</v>
      </c>
      <c r="P136" s="13">
        <f t="shared" si="141"/>
        <v>82.813805255716545</v>
      </c>
      <c r="Q136" s="20">
        <f t="shared" si="108"/>
        <v>764.41193582037283</v>
      </c>
      <c r="R136" s="59">
        <f t="shared" si="109"/>
        <v>1057.7452691537062</v>
      </c>
      <c r="S136" s="59">
        <f ca="1">AVERAGE(OFFSET($R$3,0,0,'Données projet'!$E$9+1,1))-AVERAGE(OFFSET($H$3,0,0,'Données projet'!$E$9+1,1))</f>
        <v>443.34220761968419</v>
      </c>
      <c r="T136" s="59">
        <f t="shared" si="142"/>
        <v>546.58234447298014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23.023327673970577</v>
      </c>
      <c r="AA136" s="21">
        <f>EXP(-LN(2)/25)*AA135+(1-EXP(-LN(2)/25))/(LN(2)/25)*Calculateur!V136*Calculateur!X136*VLOOKUP('Données projet'!$B$9,Paramètres!$A$1:$I$89,3,0)*0.475*44/12</f>
        <v>1.261652269811377</v>
      </c>
      <c r="AB136" s="21">
        <f>EXP(-LN(2)/2)*AB135+(1-EXP(-LN(2)/2))/(LN(2)/2)*V136*Y136*VLOOKUP('Données projet'!$B$9,Paramètres!$A$1:$I$89,3,0)*0.475*44/12</f>
        <v>1.89723593131041E-15</v>
      </c>
      <c r="AC136" s="22">
        <f t="shared" si="111"/>
        <v>24.284979943781959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267</v>
      </c>
      <c r="AJ136" s="13">
        <f>AI136*VLOOKUP('Données projet'!$B$10,Paramètres!$A$1:$I$89,3,0)*VLOOKUP('Données projet'!$B$10,Paramètres!$A$1:$I$89,5,0)</f>
        <v>241.58159999999998</v>
      </c>
      <c r="AK136" s="13">
        <f t="shared" si="143"/>
        <v>58.779689232021951</v>
      </c>
      <c r="AL136" s="20">
        <f t="shared" si="112"/>
        <v>523.12924541243819</v>
      </c>
      <c r="AM136" s="59">
        <f t="shared" si="113"/>
        <v>816.46257874577145</v>
      </c>
      <c r="AN136" s="59">
        <f ca="1">AVERAGE(OFFSET($AM$3,0,0,'Données projet'!$E$10+1,1))-AVERAGE(OFFSET($H$3,0,0,'Données projet'!$E$10+1,1))</f>
        <v>364.3481978218424</v>
      </c>
      <c r="AO136" s="59">
        <f t="shared" si="144"/>
        <v>231.36959598460686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52.921060849585395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52.921060849585395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267</v>
      </c>
      <c r="BE136" s="13">
        <f>BD136*VLOOKUP('Données projet'!$B$11,Paramètres!$A$1:$I$89,3,0)*VLOOKUP('Données projet'!$B$11,Paramètres!$A$1:$I$89,5,0)</f>
        <v>270.738</v>
      </c>
      <c r="BF136" s="13">
        <f t="shared" si="145"/>
        <v>65.005866623551711</v>
      </c>
      <c r="BG136" s="20">
        <f t="shared" si="115"/>
        <v>584.7539010360191</v>
      </c>
      <c r="BH136" s="59">
        <f t="shared" si="116"/>
        <v>878.08723436935247</v>
      </c>
      <c r="BI136" s="59">
        <f ca="1">AVERAGE(OFFSET($BH$3,0,0,'Données projet'!$E$11+1,1))-AVERAGE(OFFSET($H$3,0,0,'Données projet'!$E$11+1,1))</f>
        <v>403.50418598112844</v>
      </c>
      <c r="BJ136" s="59">
        <f t="shared" si="146"/>
        <v>254.25036207346591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59.308085434880205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59.308085434880205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636.99999999999977</v>
      </c>
      <c r="O137" s="13">
        <f>N137*VLOOKUP('Données projet'!$B$9,Paramètres!$A$1:$I$89,3,0)*VLOOKUP('Données projet'!$B$9,Paramètres!$A$1:$I$89,5,0)</f>
        <v>356.08299999999991</v>
      </c>
      <c r="P137" s="13">
        <f t="shared" si="141"/>
        <v>82.813805255716545</v>
      </c>
      <c r="Q137" s="20">
        <f t="shared" si="108"/>
        <v>764.41193582037283</v>
      </c>
      <c r="R137" s="59">
        <f t="shared" si="109"/>
        <v>1057.7452691537062</v>
      </c>
      <c r="S137" s="59">
        <f ca="1">AVERAGE(OFFSET($R$3,0,0,'Données projet'!$E$9+1,1))-AVERAGE(OFFSET($H$3,0,0,'Données projet'!$E$9+1,1))</f>
        <v>443.34220761968419</v>
      </c>
      <c r="T137" s="59">
        <f t="shared" si="142"/>
        <v>546.58234447298014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22.571854261127278</v>
      </c>
      <c r="AA137" s="21">
        <f>EXP(-LN(2)/25)*AA136+(1-EXP(-LN(2)/25))/(LN(2)/25)*Calculateur!V137*Calculateur!X137*VLOOKUP('Données projet'!$B$9,Paramètres!$A$1:$I$89,3,0)*0.475*44/12</f>
        <v>1.2271523221459757</v>
      </c>
      <c r="AB137" s="21">
        <f>EXP(-LN(2)/2)*AB136+(1-EXP(-LN(2)/2))/(LN(2)/2)*V137*Y137*VLOOKUP('Données projet'!$B$9,Paramètres!$A$1:$I$89,3,0)*0.475*44/12</f>
        <v>1.3415483925403658E-15</v>
      </c>
      <c r="AC137" s="22">
        <f t="shared" si="111"/>
        <v>23.799006583273254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267</v>
      </c>
      <c r="AJ137" s="13">
        <f>AI137*VLOOKUP('Données projet'!$B$10,Paramètres!$A$1:$I$89,3,0)*VLOOKUP('Données projet'!$B$10,Paramètres!$A$1:$I$89,5,0)</f>
        <v>241.58159999999998</v>
      </c>
      <c r="AK137" s="13">
        <f t="shared" si="143"/>
        <v>58.779689232021951</v>
      </c>
      <c r="AL137" s="20">
        <f t="shared" si="112"/>
        <v>523.12924541243819</v>
      </c>
      <c r="AM137" s="59">
        <f t="shared" si="113"/>
        <v>816.46257874577145</v>
      </c>
      <c r="AN137" s="59">
        <f ca="1">AVERAGE(OFFSET($AM$3,0,0,'Données projet'!$E$10+1,1))-AVERAGE(OFFSET($H$3,0,0,'Données projet'!$E$10+1,1))</f>
        <v>364.3481978218424</v>
      </c>
      <c r="AO137" s="59">
        <f t="shared" si="144"/>
        <v>231.36959598460686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51.883311124984893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51.883311124984893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267</v>
      </c>
      <c r="BE137" s="13">
        <f>BD137*VLOOKUP('Données projet'!$B$11,Paramètres!$A$1:$I$89,3,0)*VLOOKUP('Données projet'!$B$11,Paramètres!$A$1:$I$89,5,0)</f>
        <v>270.738</v>
      </c>
      <c r="BF137" s="13">
        <f t="shared" si="145"/>
        <v>65.005866623551711</v>
      </c>
      <c r="BG137" s="20">
        <f t="shared" si="115"/>
        <v>584.7539010360191</v>
      </c>
      <c r="BH137" s="59">
        <f t="shared" si="116"/>
        <v>878.08723436935247</v>
      </c>
      <c r="BI137" s="59">
        <f ca="1">AVERAGE(OFFSET($BH$3,0,0,'Données projet'!$E$11+1,1))-AVERAGE(OFFSET($H$3,0,0,'Données projet'!$E$11+1,1))</f>
        <v>403.50418598112844</v>
      </c>
      <c r="BJ137" s="59">
        <f t="shared" si="146"/>
        <v>254.25036207346591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58.145090053862397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58.145090053862397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636.99999999999977</v>
      </c>
      <c r="O138" s="13">
        <f>N138*VLOOKUP('Données projet'!$B$9,Paramètres!$A$1:$I$89,3,0)*VLOOKUP('Données projet'!$B$9,Paramètres!$A$1:$I$89,5,0)</f>
        <v>356.08299999999991</v>
      </c>
      <c r="P138" s="13">
        <f t="shared" si="141"/>
        <v>82.813805255716545</v>
      </c>
      <c r="Q138" s="20">
        <f t="shared" si="108"/>
        <v>764.41193582037283</v>
      </c>
      <c r="R138" s="59">
        <f t="shared" si="109"/>
        <v>1057.7452691537062</v>
      </c>
      <c r="S138" s="59">
        <f ca="1">AVERAGE(OFFSET($R$3,0,0,'Données projet'!$E$9+1,1))-AVERAGE(OFFSET($H$3,0,0,'Données projet'!$E$9+1,1))</f>
        <v>443.34220761968419</v>
      </c>
      <c r="T138" s="59">
        <f t="shared" si="142"/>
        <v>546.58234447298014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22.129233966538248</v>
      </c>
      <c r="AA138" s="21">
        <f>EXP(-LN(2)/25)*AA137+(1-EXP(-LN(2)/25))/(LN(2)/25)*Calculateur!V138*Calculateur!X138*VLOOKUP('Données projet'!$B$9,Paramètres!$A$1:$I$89,3,0)*0.475*44/12</f>
        <v>1.193595777363758</v>
      </c>
      <c r="AB138" s="21">
        <f>EXP(-LN(2)/2)*AB137+(1-EXP(-LN(2)/2))/(LN(2)/2)*V138*Y138*VLOOKUP('Données projet'!$B$9,Paramètres!$A$1:$I$89,3,0)*0.475*44/12</f>
        <v>9.4861796565520498E-16</v>
      </c>
      <c r="AC138" s="22">
        <f t="shared" si="111"/>
        <v>23.322829743902005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267</v>
      </c>
      <c r="AJ138" s="13">
        <f>AI138*VLOOKUP('Données projet'!$B$10,Paramètres!$A$1:$I$89,3,0)*VLOOKUP('Données projet'!$B$10,Paramètres!$A$1:$I$89,5,0)</f>
        <v>241.58159999999998</v>
      </c>
      <c r="AK138" s="13">
        <f t="shared" si="143"/>
        <v>58.779689232021951</v>
      </c>
      <c r="AL138" s="20">
        <f t="shared" si="112"/>
        <v>523.12924541243819</v>
      </c>
      <c r="AM138" s="59">
        <f t="shared" si="113"/>
        <v>816.46257874577145</v>
      </c>
      <c r="AN138" s="59">
        <f ca="1">AVERAGE(OFFSET($AM$3,0,0,'Données projet'!$E$10+1,1))-AVERAGE(OFFSET($H$3,0,0,'Données projet'!$E$10+1,1))</f>
        <v>364.3481978218424</v>
      </c>
      <c r="AO138" s="59">
        <f t="shared" si="144"/>
        <v>231.36959598460686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50.86591103951897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50.86591103951897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267</v>
      </c>
      <c r="BE138" s="13">
        <f>BD138*VLOOKUP('Données projet'!$B$11,Paramètres!$A$1:$I$89,3,0)*VLOOKUP('Données projet'!$B$11,Paramètres!$A$1:$I$89,5,0)</f>
        <v>270.738</v>
      </c>
      <c r="BF138" s="13">
        <f t="shared" si="145"/>
        <v>65.005866623551711</v>
      </c>
      <c r="BG138" s="20">
        <f t="shared" si="115"/>
        <v>584.7539010360191</v>
      </c>
      <c r="BH138" s="59">
        <f t="shared" si="116"/>
        <v>878.08723436935247</v>
      </c>
      <c r="BI138" s="59">
        <f ca="1">AVERAGE(OFFSET($BH$3,0,0,'Données projet'!$E$11+1,1))-AVERAGE(OFFSET($H$3,0,0,'Données projet'!$E$11+1,1))</f>
        <v>403.50418598112844</v>
      </c>
      <c r="BJ138" s="59">
        <f t="shared" si="146"/>
        <v>254.25036207346591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57.004900302909213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57.004900302909213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636.99999999999977</v>
      </c>
      <c r="O139" s="13">
        <f>N139*VLOOKUP('Données projet'!$B$9,Paramètres!$A$1:$I$89,3,0)*VLOOKUP('Données projet'!$B$9,Paramètres!$A$1:$I$89,5,0)</f>
        <v>356.08299999999991</v>
      </c>
      <c r="P139" s="13">
        <f t="shared" si="141"/>
        <v>82.813805255716545</v>
      </c>
      <c r="Q139" s="20">
        <f t="shared" si="108"/>
        <v>764.41193582037283</v>
      </c>
      <c r="R139" s="59">
        <f t="shared" si="109"/>
        <v>1057.7452691537062</v>
      </c>
      <c r="S139" s="59">
        <f ca="1">AVERAGE(OFFSET($R$3,0,0,'Données projet'!$E$9+1,1))-AVERAGE(OFFSET($H$3,0,0,'Données projet'!$E$9+1,1))</f>
        <v>443.34220761968419</v>
      </c>
      <c r="T139" s="59">
        <f t="shared" si="142"/>
        <v>546.58234447298014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21.695293185954384</v>
      </c>
      <c r="AA139" s="21">
        <f>EXP(-LN(2)/25)*AA138+(1-EXP(-LN(2)/25))/(LN(2)/25)*Calculateur!V139*Calculateur!X139*VLOOKUP('Données projet'!$B$9,Paramètres!$A$1:$I$89,3,0)*0.475*44/12</f>
        <v>1.160956838063272</v>
      </c>
      <c r="AB139" s="21">
        <f>EXP(-LN(2)/2)*AB138+(1-EXP(-LN(2)/2))/(LN(2)/2)*V139*Y139*VLOOKUP('Données projet'!$B$9,Paramètres!$A$1:$I$89,3,0)*0.475*44/12</f>
        <v>6.7077419627018289E-16</v>
      </c>
      <c r="AC139" s="22">
        <f t="shared" si="111"/>
        <v>22.856250024017655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267</v>
      </c>
      <c r="AJ139" s="13">
        <f>AI139*VLOOKUP('Données projet'!$B$10,Paramètres!$A$1:$I$89,3,0)*VLOOKUP('Données projet'!$B$10,Paramètres!$A$1:$I$89,5,0)</f>
        <v>241.58159999999998</v>
      </c>
      <c r="AK139" s="13">
        <f t="shared" si="143"/>
        <v>58.779689232021951</v>
      </c>
      <c r="AL139" s="20">
        <f t="shared" si="112"/>
        <v>523.12924541243819</v>
      </c>
      <c r="AM139" s="59">
        <f t="shared" si="113"/>
        <v>816.46257874577145</v>
      </c>
      <c r="AN139" s="59">
        <f ca="1">AVERAGE(OFFSET($AM$3,0,0,'Données projet'!$E$10+1,1))-AVERAGE(OFFSET($H$3,0,0,'Données projet'!$E$10+1,1))</f>
        <v>364.3481978218424</v>
      </c>
      <c r="AO139" s="59">
        <f t="shared" si="144"/>
        <v>231.36959598460686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49.86846154917626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49.86846154917626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267</v>
      </c>
      <c r="BE139" s="13">
        <f>BD139*VLOOKUP('Données projet'!$B$11,Paramètres!$A$1:$I$89,3,0)*VLOOKUP('Données projet'!$B$11,Paramètres!$A$1:$I$89,5,0)</f>
        <v>270.738</v>
      </c>
      <c r="BF139" s="13">
        <f t="shared" si="145"/>
        <v>65.005866623551711</v>
      </c>
      <c r="BG139" s="20">
        <f t="shared" si="115"/>
        <v>584.7539010360191</v>
      </c>
      <c r="BH139" s="59">
        <f t="shared" si="116"/>
        <v>878.08723436935247</v>
      </c>
      <c r="BI139" s="59">
        <f ca="1">AVERAGE(OFFSET($BH$3,0,0,'Données projet'!$E$11+1,1))-AVERAGE(OFFSET($H$3,0,0,'Données projet'!$E$11+1,1))</f>
        <v>403.50418598112844</v>
      </c>
      <c r="BJ139" s="59">
        <f t="shared" si="146"/>
        <v>254.25036207346591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55.887068977525139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55.887068977525139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636.99999999999977</v>
      </c>
      <c r="O140" s="13">
        <f>N140*VLOOKUP('Données projet'!$B$9,Paramètres!$A$1:$I$89,3,0)*VLOOKUP('Données projet'!$B$9,Paramètres!$A$1:$I$89,5,0)</f>
        <v>356.08299999999991</v>
      </c>
      <c r="P140" s="13">
        <f t="shared" si="141"/>
        <v>82.813805255716545</v>
      </c>
      <c r="Q140" s="20">
        <f t="shared" si="108"/>
        <v>764.41193582037283</v>
      </c>
      <c r="R140" s="59">
        <f t="shared" si="109"/>
        <v>1057.7452691537062</v>
      </c>
      <c r="S140" s="59">
        <f ca="1">AVERAGE(OFFSET($R$3,0,0,'Données projet'!$E$9+1,1))-AVERAGE(OFFSET($H$3,0,0,'Données projet'!$E$9+1,1))</f>
        <v>443.34220761968419</v>
      </c>
      <c r="T140" s="59">
        <f t="shared" si="142"/>
        <v>546.58234447298014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21.26986171940003</v>
      </c>
      <c r="AA140" s="21">
        <f>EXP(-LN(2)/25)*AA139+(1-EXP(-LN(2)/25))/(LN(2)/25)*Calculateur!V140*Calculateur!X140*VLOOKUP('Données projet'!$B$9,Paramètres!$A$1:$I$89,3,0)*0.475*44/12</f>
        <v>1.1292104122743651</v>
      </c>
      <c r="AB140" s="21">
        <f>EXP(-LN(2)/2)*AB139+(1-EXP(-LN(2)/2))/(LN(2)/2)*V140*Y140*VLOOKUP('Données projet'!$B$9,Paramètres!$A$1:$I$89,3,0)*0.475*44/12</f>
        <v>4.7430898282760249E-16</v>
      </c>
      <c r="AC140" s="22">
        <f t="shared" si="111"/>
        <v>22.399072131674394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267</v>
      </c>
      <c r="AJ140" s="13">
        <f>AI140*VLOOKUP('Données projet'!$B$10,Paramètres!$A$1:$I$89,3,0)*VLOOKUP('Données projet'!$B$10,Paramètres!$A$1:$I$89,5,0)</f>
        <v>241.58159999999998</v>
      </c>
      <c r="AK140" s="13">
        <f t="shared" si="143"/>
        <v>58.779689232021951</v>
      </c>
      <c r="AL140" s="20">
        <f t="shared" si="112"/>
        <v>523.12924541243819</v>
      </c>
      <c r="AM140" s="59">
        <f t="shared" si="113"/>
        <v>816.46257874577145</v>
      </c>
      <c r="AN140" s="59">
        <f ca="1">AVERAGE(OFFSET($AM$3,0,0,'Données projet'!$E$10+1,1))-AVERAGE(OFFSET($H$3,0,0,'Données projet'!$E$10+1,1))</f>
        <v>364.3481978218424</v>
      </c>
      <c r="AO140" s="59">
        <f t="shared" si="144"/>
        <v>231.36959598460686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48.890571434955056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48.890571434955056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267</v>
      </c>
      <c r="BE140" s="13">
        <f>BD140*VLOOKUP('Données projet'!$B$11,Paramètres!$A$1:$I$89,3,0)*VLOOKUP('Données projet'!$B$11,Paramètres!$A$1:$I$89,5,0)</f>
        <v>270.738</v>
      </c>
      <c r="BF140" s="13">
        <f t="shared" si="145"/>
        <v>65.005866623551711</v>
      </c>
      <c r="BG140" s="20">
        <f t="shared" si="115"/>
        <v>584.7539010360191</v>
      </c>
      <c r="BH140" s="59">
        <f t="shared" si="116"/>
        <v>878.08723436935247</v>
      </c>
      <c r="BI140" s="59">
        <f ca="1">AVERAGE(OFFSET($BH$3,0,0,'Données projet'!$E$11+1,1))-AVERAGE(OFFSET($H$3,0,0,'Données projet'!$E$11+1,1))</f>
        <v>403.50418598112844</v>
      </c>
      <c r="BJ140" s="59">
        <f t="shared" si="146"/>
        <v>254.25036207346591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54.791157642622061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54.791157642622061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636.99999999999977</v>
      </c>
      <c r="O141" s="13">
        <f>N141*VLOOKUP('Données projet'!$B$9,Paramètres!$A$1:$I$89,3,0)*VLOOKUP('Données projet'!$B$9,Paramètres!$A$1:$I$89,5,0)</f>
        <v>356.08299999999991</v>
      </c>
      <c r="P141" s="13">
        <f t="shared" si="141"/>
        <v>82.813805255716545</v>
      </c>
      <c r="Q141" s="20">
        <f t="shared" si="108"/>
        <v>764.41193582037283</v>
      </c>
      <c r="R141" s="59">
        <f t="shared" si="109"/>
        <v>1057.7452691537062</v>
      </c>
      <c r="S141" s="59">
        <f ca="1">AVERAGE(OFFSET($R$3,0,0,'Données projet'!$E$9+1,1))-AVERAGE(OFFSET($H$3,0,0,'Données projet'!$E$9+1,1))</f>
        <v>443.34220761968419</v>
      </c>
      <c r="T141" s="59">
        <f t="shared" si="142"/>
        <v>546.58234447298014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20.852772704417234</v>
      </c>
      <c r="AA141" s="21">
        <f>EXP(-LN(2)/25)*AA140+(1-EXP(-LN(2)/25))/(LN(2)/25)*Calculateur!V141*Calculateur!X141*VLOOKUP('Données projet'!$B$9,Paramètres!$A$1:$I$89,3,0)*0.475*44/12</f>
        <v>1.0983320941681278</v>
      </c>
      <c r="AB141" s="21">
        <f>EXP(-LN(2)/2)*AB140+(1-EXP(-LN(2)/2))/(LN(2)/2)*V141*Y141*VLOOKUP('Données projet'!$B$9,Paramètres!$A$1:$I$89,3,0)*0.475*44/12</f>
        <v>3.3538709813509145E-16</v>
      </c>
      <c r="AC141" s="22">
        <f t="shared" si="111"/>
        <v>21.951104798585362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267</v>
      </c>
      <c r="AJ141" s="13">
        <f>AI141*VLOOKUP('Données projet'!$B$10,Paramètres!$A$1:$I$89,3,0)*VLOOKUP('Données projet'!$B$10,Paramètres!$A$1:$I$89,5,0)</f>
        <v>241.58159999999998</v>
      </c>
      <c r="AK141" s="13">
        <f t="shared" si="143"/>
        <v>58.779689232021951</v>
      </c>
      <c r="AL141" s="20">
        <f t="shared" si="112"/>
        <v>523.12924541243819</v>
      </c>
      <c r="AM141" s="59">
        <f t="shared" si="113"/>
        <v>816.46257874577145</v>
      </c>
      <c r="AN141" s="59">
        <f ca="1">AVERAGE(OFFSET($AM$3,0,0,'Données projet'!$E$10+1,1))-AVERAGE(OFFSET($H$3,0,0,'Données projet'!$E$10+1,1))</f>
        <v>364.3481978218424</v>
      </c>
      <c r="AO141" s="59">
        <f t="shared" si="144"/>
        <v>231.36959598460686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47.931857149419656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47.931857149419656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267</v>
      </c>
      <c r="BE141" s="13">
        <f>BD141*VLOOKUP('Données projet'!$B$11,Paramètres!$A$1:$I$89,3,0)*VLOOKUP('Données projet'!$B$11,Paramètres!$A$1:$I$89,5,0)</f>
        <v>270.738</v>
      </c>
      <c r="BF141" s="13">
        <f t="shared" si="145"/>
        <v>65.005866623551711</v>
      </c>
      <c r="BG141" s="20">
        <f t="shared" si="115"/>
        <v>584.7539010360191</v>
      </c>
      <c r="BH141" s="59">
        <f t="shared" si="116"/>
        <v>878.08723436935247</v>
      </c>
      <c r="BI141" s="59">
        <f ca="1">AVERAGE(OFFSET($BH$3,0,0,'Données projet'!$E$11+1,1))-AVERAGE(OFFSET($H$3,0,0,'Données projet'!$E$11+1,1))</f>
        <v>403.50418598112844</v>
      </c>
      <c r="BJ141" s="59">
        <f t="shared" si="146"/>
        <v>254.25036207346591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53.716736460556518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53.716736460556518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636.99999999999977</v>
      </c>
      <c r="O142" s="13">
        <f>N142*VLOOKUP('Données projet'!$B$9,Paramètres!$A$1:$I$89,3,0)*VLOOKUP('Données projet'!$B$9,Paramètres!$A$1:$I$89,5,0)</f>
        <v>356.08299999999991</v>
      </c>
      <c r="P142" s="13">
        <f t="shared" si="141"/>
        <v>82.813805255716545</v>
      </c>
      <c r="Q142" s="20">
        <f t="shared" si="108"/>
        <v>764.41193582037283</v>
      </c>
      <c r="R142" s="59">
        <f t="shared" si="109"/>
        <v>1057.7452691537062</v>
      </c>
      <c r="S142" s="59">
        <f ca="1">AVERAGE(OFFSET($R$3,0,0,'Données projet'!$E$9+1,1))-AVERAGE(OFFSET($H$3,0,0,'Données projet'!$E$9+1,1))</f>
        <v>443.34220761968419</v>
      </c>
      <c r="T142" s="59">
        <f t="shared" si="142"/>
        <v>546.58234447298014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20.44386255061907</v>
      </c>
      <c r="AA142" s="21">
        <f>EXP(-LN(2)/25)*AA141+(1-EXP(-LN(2)/25))/(LN(2)/25)*Calculateur!V142*Calculateur!X142*VLOOKUP('Données projet'!$B$9,Paramètres!$A$1:$I$89,3,0)*0.475*44/12</f>
        <v>1.0682981452943259</v>
      </c>
      <c r="AB142" s="21">
        <f>EXP(-LN(2)/2)*AB141+(1-EXP(-LN(2)/2))/(LN(2)/2)*V142*Y142*VLOOKUP('Données projet'!$B$9,Paramètres!$A$1:$I$89,3,0)*0.475*44/12</f>
        <v>2.3715449141380125E-16</v>
      </c>
      <c r="AC142" s="22">
        <f t="shared" si="111"/>
        <v>21.512160695913394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267</v>
      </c>
      <c r="AJ142" s="13">
        <f>AI142*VLOOKUP('Données projet'!$B$10,Paramètres!$A$1:$I$89,3,0)*VLOOKUP('Données projet'!$B$10,Paramètres!$A$1:$I$89,5,0)</f>
        <v>241.58159999999998</v>
      </c>
      <c r="AK142" s="13">
        <f t="shared" si="143"/>
        <v>58.779689232021951</v>
      </c>
      <c r="AL142" s="20">
        <f t="shared" si="112"/>
        <v>523.12924541243819</v>
      </c>
      <c r="AM142" s="59">
        <f t="shared" si="113"/>
        <v>816.46257874577145</v>
      </c>
      <c r="AN142" s="59">
        <f ca="1">AVERAGE(OFFSET($AM$3,0,0,'Données projet'!$E$10+1,1))-AVERAGE(OFFSET($H$3,0,0,'Données projet'!$E$10+1,1))</f>
        <v>364.3481978218424</v>
      </c>
      <c r="AO142" s="59">
        <f t="shared" si="144"/>
        <v>231.36959598460686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46.991942666265629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46.991942666265629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267</v>
      </c>
      <c r="BE142" s="13">
        <f>BD142*VLOOKUP('Données projet'!$B$11,Paramètres!$A$1:$I$89,3,0)*VLOOKUP('Données projet'!$B$11,Paramètres!$A$1:$I$89,5,0)</f>
        <v>270.738</v>
      </c>
      <c r="BF142" s="13">
        <f t="shared" si="145"/>
        <v>65.005866623551711</v>
      </c>
      <c r="BG142" s="20">
        <f t="shared" si="115"/>
        <v>584.7539010360191</v>
      </c>
      <c r="BH142" s="59">
        <f t="shared" si="116"/>
        <v>878.08723436935247</v>
      </c>
      <c r="BI142" s="59">
        <f ca="1">AVERAGE(OFFSET($BH$3,0,0,'Données projet'!$E$11+1,1))-AVERAGE(OFFSET($H$3,0,0,'Données projet'!$E$11+1,1))</f>
        <v>403.50418598112844</v>
      </c>
      <c r="BJ142" s="59">
        <f t="shared" si="146"/>
        <v>254.25036207346591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52.66338402253907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52.66338402253907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636.99999999999977</v>
      </c>
      <c r="O143" s="13">
        <f>N143*VLOOKUP('Données projet'!$B$9,Paramètres!$A$1:$I$89,3,0)*VLOOKUP('Données projet'!$B$9,Paramètres!$A$1:$I$89,5,0)</f>
        <v>356.08299999999991</v>
      </c>
      <c r="P143" s="13">
        <f t="shared" si="141"/>
        <v>82.813805255716545</v>
      </c>
      <c r="Q143" s="20">
        <f t="shared" si="108"/>
        <v>764.41193582037283</v>
      </c>
      <c r="R143" s="59">
        <f t="shared" si="109"/>
        <v>1057.7452691537062</v>
      </c>
      <c r="S143" s="59">
        <f ca="1">AVERAGE(OFFSET($R$3,0,0,'Données projet'!$E$9+1,1))-AVERAGE(OFFSET($H$3,0,0,'Données projet'!$E$9+1,1))</f>
        <v>443.34220761968419</v>
      </c>
      <c r="T143" s="59">
        <f t="shared" si="142"/>
        <v>546.58234447298014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20.042970875526322</v>
      </c>
      <c r="AA143" s="21">
        <f>EXP(-LN(2)/25)*AA142+(1-EXP(-LN(2)/25))/(LN(2)/25)*Calculateur!V143*Calculateur!X143*VLOOKUP('Données projet'!$B$9,Paramètres!$A$1:$I$89,3,0)*0.475*44/12</f>
        <v>1.0390854763318946</v>
      </c>
      <c r="AB143" s="21">
        <f>EXP(-LN(2)/2)*AB142+(1-EXP(-LN(2)/2))/(LN(2)/2)*V143*Y143*VLOOKUP('Données projet'!$B$9,Paramètres!$A$1:$I$89,3,0)*0.475*44/12</f>
        <v>1.6769354906754572E-16</v>
      </c>
      <c r="AC143" s="22">
        <f t="shared" si="111"/>
        <v>21.082056351858217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267</v>
      </c>
      <c r="AJ143" s="13">
        <f>AI143*VLOOKUP('Données projet'!$B$10,Paramètres!$A$1:$I$89,3,0)*VLOOKUP('Données projet'!$B$10,Paramètres!$A$1:$I$89,5,0)</f>
        <v>241.58159999999998</v>
      </c>
      <c r="AK143" s="13">
        <f t="shared" si="143"/>
        <v>58.779689232021951</v>
      </c>
      <c r="AL143" s="20">
        <f t="shared" si="112"/>
        <v>523.12924541243819</v>
      </c>
      <c r="AM143" s="59">
        <f t="shared" si="113"/>
        <v>816.46257874577145</v>
      </c>
      <c r="AN143" s="59">
        <f ca="1">AVERAGE(OFFSET($AM$3,0,0,'Données projet'!$E$10+1,1))-AVERAGE(OFFSET($H$3,0,0,'Données projet'!$E$10+1,1))</f>
        <v>364.3481978218424</v>
      </c>
      <c r="AO143" s="59">
        <f t="shared" si="144"/>
        <v>231.36959598460686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46.070459332835021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46.070459332835021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267</v>
      </c>
      <c r="BE143" s="13">
        <f>BD143*VLOOKUP('Données projet'!$B$11,Paramètres!$A$1:$I$89,3,0)*VLOOKUP('Données projet'!$B$11,Paramètres!$A$1:$I$89,5,0)</f>
        <v>270.738</v>
      </c>
      <c r="BF143" s="13">
        <f t="shared" si="145"/>
        <v>65.005866623551711</v>
      </c>
      <c r="BG143" s="20">
        <f t="shared" si="115"/>
        <v>584.7539010360191</v>
      </c>
      <c r="BH143" s="59">
        <f t="shared" si="116"/>
        <v>878.08723436935247</v>
      </c>
      <c r="BI143" s="59">
        <f ca="1">AVERAGE(OFFSET($BH$3,0,0,'Données projet'!$E$11+1,1))-AVERAGE(OFFSET($H$3,0,0,'Données projet'!$E$11+1,1))</f>
        <v>403.50418598112844</v>
      </c>
      <c r="BJ143" s="59">
        <f t="shared" si="146"/>
        <v>254.25036207346591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51.6306871833496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51.6306871833496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636.99999999999977</v>
      </c>
      <c r="O144" s="13">
        <f>N144*VLOOKUP('Données projet'!$B$9,Paramètres!$A$1:$I$89,3,0)*VLOOKUP('Données projet'!$B$9,Paramètres!$A$1:$I$89,5,0)</f>
        <v>356.08299999999991</v>
      </c>
      <c r="P144" s="13">
        <f t="shared" si="141"/>
        <v>82.813805255716545</v>
      </c>
      <c r="Q144" s="20">
        <f t="shared" si="108"/>
        <v>764.41193582037283</v>
      </c>
      <c r="R144" s="59">
        <f t="shared" si="109"/>
        <v>1057.7452691537062</v>
      </c>
      <c r="S144" s="59">
        <f ca="1">AVERAGE(OFFSET($R$3,0,0,'Données projet'!$E$9+1,1))-AVERAGE(OFFSET($H$3,0,0,'Données projet'!$E$9+1,1))</f>
        <v>443.34220761968419</v>
      </c>
      <c r="T144" s="59">
        <f t="shared" si="142"/>
        <v>546.58234447298014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19.649940441662366</v>
      </c>
      <c r="AA144" s="21">
        <f>EXP(-LN(2)/25)*AA143+(1-EXP(-LN(2)/25))/(LN(2)/25)*Calculateur!V144*Calculateur!X144*VLOOKUP('Données projet'!$B$9,Paramètres!$A$1:$I$89,3,0)*0.475*44/12</f>
        <v>1.0106716293384685</v>
      </c>
      <c r="AB144" s="21">
        <f>EXP(-LN(2)/2)*AB143+(1-EXP(-LN(2)/2))/(LN(2)/2)*V144*Y144*VLOOKUP('Données projet'!$B$9,Paramètres!$A$1:$I$89,3,0)*0.475*44/12</f>
        <v>1.1857724570690062E-16</v>
      </c>
      <c r="AC144" s="22">
        <f t="shared" si="111"/>
        <v>20.660612071000834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267</v>
      </c>
      <c r="AJ144" s="13">
        <f>AI144*VLOOKUP('Données projet'!$B$10,Paramètres!$A$1:$I$89,3,0)*VLOOKUP('Données projet'!$B$10,Paramètres!$A$1:$I$89,5,0)</f>
        <v>241.58159999999998</v>
      </c>
      <c r="AK144" s="13">
        <f t="shared" si="143"/>
        <v>58.779689232021951</v>
      </c>
      <c r="AL144" s="20">
        <f t="shared" si="112"/>
        <v>523.12924541243819</v>
      </c>
      <c r="AM144" s="59">
        <f t="shared" si="113"/>
        <v>816.46257874577145</v>
      </c>
      <c r="AN144" s="59">
        <f ca="1">AVERAGE(OFFSET($AM$3,0,0,'Données projet'!$E$10+1,1))-AVERAGE(OFFSET($H$3,0,0,'Données projet'!$E$10+1,1))</f>
        <v>364.3481978218424</v>
      </c>
      <c r="AO144" s="59">
        <f t="shared" si="144"/>
        <v>231.36959598460686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45.167045725523657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45.167045725523657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267</v>
      </c>
      <c r="BE144" s="13">
        <f>BD144*VLOOKUP('Données projet'!$B$11,Paramètres!$A$1:$I$89,3,0)*VLOOKUP('Données projet'!$B$11,Paramètres!$A$1:$I$89,5,0)</f>
        <v>270.738</v>
      </c>
      <c r="BF144" s="13">
        <f t="shared" si="145"/>
        <v>65.005866623551711</v>
      </c>
      <c r="BG144" s="20">
        <f t="shared" si="115"/>
        <v>584.7539010360191</v>
      </c>
      <c r="BH144" s="59">
        <f t="shared" si="116"/>
        <v>878.08723436935247</v>
      </c>
      <c r="BI144" s="59">
        <f ca="1">AVERAGE(OFFSET($BH$3,0,0,'Données projet'!$E$11+1,1))-AVERAGE(OFFSET($H$3,0,0,'Données projet'!$E$11+1,1))</f>
        <v>403.50418598112844</v>
      </c>
      <c r="BJ144" s="59">
        <f t="shared" si="146"/>
        <v>254.25036207346591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50.61824089929376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50.61824089929376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636.99999999999977</v>
      </c>
      <c r="O145" s="13">
        <f>N145*VLOOKUP('Données projet'!$B$9,Paramètres!$A$1:$I$89,3,0)*VLOOKUP('Données projet'!$B$9,Paramètres!$A$1:$I$89,5,0)</f>
        <v>356.08299999999991</v>
      </c>
      <c r="P145" s="13">
        <f t="shared" si="141"/>
        <v>82.813805255716545</v>
      </c>
      <c r="Q145" s="20">
        <f t="shared" si="108"/>
        <v>764.41193582037283</v>
      </c>
      <c r="R145" s="59">
        <f t="shared" si="109"/>
        <v>1057.7452691537062</v>
      </c>
      <c r="S145" s="59">
        <f ca="1">AVERAGE(OFFSET($R$3,0,0,'Données projet'!$E$9+1,1))-AVERAGE(OFFSET($H$3,0,0,'Données projet'!$E$9+1,1))</f>
        <v>443.34220761968419</v>
      </c>
      <c r="T145" s="59">
        <f t="shared" si="142"/>
        <v>546.58234447298014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19.26461709488159</v>
      </c>
      <c r="AA145" s="21">
        <f>EXP(-LN(2)/25)*AA144+(1-EXP(-LN(2)/25))/(LN(2)/25)*Calculateur!V145*Calculateur!X145*VLOOKUP('Données projet'!$B$9,Paramètres!$A$1:$I$89,3,0)*0.475*44/12</f>
        <v>0.98303476048529703</v>
      </c>
      <c r="AB145" s="21">
        <f>EXP(-LN(2)/2)*AB144+(1-EXP(-LN(2)/2))/(LN(2)/2)*V145*Y145*VLOOKUP('Données projet'!$B$9,Paramètres!$A$1:$I$89,3,0)*0.475*44/12</f>
        <v>8.3846774533772862E-17</v>
      </c>
      <c r="AC145" s="22">
        <f t="shared" si="111"/>
        <v>20.247651855366886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267</v>
      </c>
      <c r="AJ145" s="13">
        <f>AI145*VLOOKUP('Données projet'!$B$10,Paramètres!$A$1:$I$89,3,0)*VLOOKUP('Données projet'!$B$10,Paramètres!$A$1:$I$89,5,0)</f>
        <v>241.58159999999998</v>
      </c>
      <c r="AK145" s="13">
        <f t="shared" si="143"/>
        <v>58.779689232021951</v>
      </c>
      <c r="AL145" s="20">
        <f t="shared" si="112"/>
        <v>523.12924541243819</v>
      </c>
      <c r="AM145" s="59">
        <f t="shared" si="113"/>
        <v>816.46257874577145</v>
      </c>
      <c r="AN145" s="59">
        <f ca="1">AVERAGE(OFFSET($AM$3,0,0,'Données projet'!$E$10+1,1))-AVERAGE(OFFSET($H$3,0,0,'Données projet'!$E$10+1,1))</f>
        <v>364.3481978218424</v>
      </c>
      <c r="AO145" s="59">
        <f t="shared" si="144"/>
        <v>231.36959598460686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44.281347508023778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44.281347508023778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267</v>
      </c>
      <c r="BE145" s="13">
        <f>BD145*VLOOKUP('Données projet'!$B$11,Paramètres!$A$1:$I$89,3,0)*VLOOKUP('Données projet'!$B$11,Paramètres!$A$1:$I$89,5,0)</f>
        <v>270.738</v>
      </c>
      <c r="BF145" s="13">
        <f t="shared" si="145"/>
        <v>65.005866623551711</v>
      </c>
      <c r="BG145" s="20">
        <f t="shared" si="115"/>
        <v>584.7539010360191</v>
      </c>
      <c r="BH145" s="59">
        <f t="shared" si="116"/>
        <v>878.08723436935247</v>
      </c>
      <c r="BI145" s="59">
        <f ca="1">AVERAGE(OFFSET($BH$3,0,0,'Données projet'!$E$11+1,1))-AVERAGE(OFFSET($H$3,0,0,'Données projet'!$E$11+1,1))</f>
        <v>403.50418598112844</v>
      </c>
      <c r="BJ145" s="59">
        <f t="shared" si="146"/>
        <v>254.25036207346591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49.625648069336997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49.625648069336997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636.99999999999977</v>
      </c>
      <c r="O146" s="13">
        <f>N146*VLOOKUP('Données projet'!$B$9,Paramètres!$A$1:$I$89,3,0)*VLOOKUP('Données projet'!$B$9,Paramètres!$A$1:$I$89,5,0)</f>
        <v>356.08299999999991</v>
      </c>
      <c r="P146" s="13">
        <f t="shared" si="141"/>
        <v>82.813805255716545</v>
      </c>
      <c r="Q146" s="20">
        <f t="shared" si="108"/>
        <v>764.41193582037283</v>
      </c>
      <c r="R146" s="59">
        <f t="shared" si="109"/>
        <v>1057.7452691537062</v>
      </c>
      <c r="S146" s="59">
        <f ca="1">AVERAGE(OFFSET($R$3,0,0,'Données projet'!$E$9+1,1))-AVERAGE(OFFSET($H$3,0,0,'Données projet'!$E$9+1,1))</f>
        <v>443.34220761968419</v>
      </c>
      <c r="T146" s="59">
        <f t="shared" si="142"/>
        <v>546.58234447298014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18.886849703907149</v>
      </c>
      <c r="AA146" s="21">
        <f>EXP(-LN(2)/25)*AA145+(1-EXP(-LN(2)/25))/(LN(2)/25)*Calculateur!V146*Calculateur!X146*VLOOKUP('Données projet'!$B$9,Paramètres!$A$1:$I$89,3,0)*0.475*44/12</f>
        <v>0.95615362326427533</v>
      </c>
      <c r="AB146" s="21">
        <f>EXP(-LN(2)/2)*AB145+(1-EXP(-LN(2)/2))/(LN(2)/2)*V146*Y146*VLOOKUP('Données projet'!$B$9,Paramètres!$A$1:$I$89,3,0)*0.475*44/12</f>
        <v>5.9288622853450311E-17</v>
      </c>
      <c r="AC146" s="22">
        <f t="shared" si="111"/>
        <v>19.843003327171424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267</v>
      </c>
      <c r="AJ146" s="13">
        <f>AI146*VLOOKUP('Données projet'!$B$10,Paramètres!$A$1:$I$89,3,0)*VLOOKUP('Données projet'!$B$10,Paramètres!$A$1:$I$89,5,0)</f>
        <v>241.58159999999998</v>
      </c>
      <c r="AK146" s="13">
        <f t="shared" si="143"/>
        <v>58.779689232021951</v>
      </c>
      <c r="AL146" s="20">
        <f t="shared" si="112"/>
        <v>523.12924541243819</v>
      </c>
      <c r="AM146" s="59">
        <f t="shared" si="113"/>
        <v>816.46257874577145</v>
      </c>
      <c r="AN146" s="59">
        <f ca="1">AVERAGE(OFFSET($AM$3,0,0,'Données projet'!$E$10+1,1))-AVERAGE(OFFSET($H$3,0,0,'Données projet'!$E$10+1,1))</f>
        <v>364.3481978218424</v>
      </c>
      <c r="AO146" s="59">
        <f t="shared" si="144"/>
        <v>231.36959598460686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43.413017292346495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43.413017292346495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267</v>
      </c>
      <c r="BE146" s="13">
        <f>BD146*VLOOKUP('Données projet'!$B$11,Paramètres!$A$1:$I$89,3,0)*VLOOKUP('Données projet'!$B$11,Paramètres!$A$1:$I$89,5,0)</f>
        <v>270.738</v>
      </c>
      <c r="BF146" s="13">
        <f t="shared" si="145"/>
        <v>65.005866623551711</v>
      </c>
      <c r="BG146" s="20">
        <f t="shared" si="115"/>
        <v>584.7539010360191</v>
      </c>
      <c r="BH146" s="59">
        <f t="shared" si="116"/>
        <v>878.08723436935247</v>
      </c>
      <c r="BI146" s="59">
        <f ca="1">AVERAGE(OFFSET($BH$3,0,0,'Données projet'!$E$11+1,1))-AVERAGE(OFFSET($H$3,0,0,'Données projet'!$E$11+1,1))</f>
        <v>403.50418598112844</v>
      </c>
      <c r="BJ146" s="59">
        <f t="shared" si="146"/>
        <v>254.25036207346591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48.652519379353841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48.652519379353841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636.99999999999977</v>
      </c>
      <c r="O147" s="13">
        <f>N147*VLOOKUP('Données projet'!$B$9,Paramètres!$A$1:$I$89,3,0)*VLOOKUP('Données projet'!$B$9,Paramètres!$A$1:$I$89,5,0)</f>
        <v>356.08299999999991</v>
      </c>
      <c r="P147" s="13">
        <f t="shared" si="141"/>
        <v>82.813805255716545</v>
      </c>
      <c r="Q147" s="20">
        <f t="shared" si="108"/>
        <v>764.41193582037283</v>
      </c>
      <c r="R147" s="59">
        <f t="shared" si="109"/>
        <v>1057.7452691537062</v>
      </c>
      <c r="S147" s="59">
        <f ca="1">AVERAGE(OFFSET($R$3,0,0,'Données projet'!$E$9+1,1))-AVERAGE(OFFSET($H$3,0,0,'Données projet'!$E$9+1,1))</f>
        <v>443.34220761968419</v>
      </c>
      <c r="T147" s="59">
        <f t="shared" si="142"/>
        <v>546.58234447298014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18.516490101054359</v>
      </c>
      <c r="AA147" s="21">
        <f>EXP(-LN(2)/25)*AA146+(1-EXP(-LN(2)/25))/(LN(2)/25)*Calculateur!V147*Calculateur!X147*VLOOKUP('Données projet'!$B$9,Paramètres!$A$1:$I$89,3,0)*0.475*44/12</f>
        <v>0.93000755215417996</v>
      </c>
      <c r="AB147" s="21">
        <f>EXP(-LN(2)/2)*AB146+(1-EXP(-LN(2)/2))/(LN(2)/2)*V147*Y147*VLOOKUP('Données projet'!$B$9,Paramètres!$A$1:$I$89,3,0)*0.475*44/12</f>
        <v>4.1923387266886431E-17</v>
      </c>
      <c r="AC147" s="22">
        <f t="shared" si="111"/>
        <v>19.446497653208539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267</v>
      </c>
      <c r="AJ147" s="13">
        <f>AI147*VLOOKUP('Données projet'!$B$10,Paramètres!$A$1:$I$89,3,0)*VLOOKUP('Données projet'!$B$10,Paramètres!$A$1:$I$89,5,0)</f>
        <v>241.58159999999998</v>
      </c>
      <c r="AK147" s="13">
        <f t="shared" si="143"/>
        <v>58.779689232021951</v>
      </c>
      <c r="AL147" s="20">
        <f t="shared" si="112"/>
        <v>523.12924541243819</v>
      </c>
      <c r="AM147" s="59">
        <f t="shared" si="113"/>
        <v>816.46257874577145</v>
      </c>
      <c r="AN147" s="59">
        <f ca="1">AVERAGE(OFFSET($AM$3,0,0,'Données projet'!$E$10+1,1))-AVERAGE(OFFSET($H$3,0,0,'Données projet'!$E$10+1,1))</f>
        <v>364.3481978218424</v>
      </c>
      <c r="AO147" s="59">
        <f t="shared" si="144"/>
        <v>231.36959598460686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42.561714502569515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42.561714502569515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267</v>
      </c>
      <c r="BE147" s="13">
        <f>BD147*VLOOKUP('Données projet'!$B$11,Paramètres!$A$1:$I$89,3,0)*VLOOKUP('Données projet'!$B$11,Paramètres!$A$1:$I$89,5,0)</f>
        <v>270.738</v>
      </c>
      <c r="BF147" s="13">
        <f t="shared" si="145"/>
        <v>65.005866623551711</v>
      </c>
      <c r="BG147" s="20">
        <f t="shared" si="115"/>
        <v>584.7539010360191</v>
      </c>
      <c r="BH147" s="59">
        <f t="shared" si="116"/>
        <v>878.08723436935247</v>
      </c>
      <c r="BI147" s="59">
        <f ca="1">AVERAGE(OFFSET($BH$3,0,0,'Données projet'!$E$11+1,1))-AVERAGE(OFFSET($H$3,0,0,'Données projet'!$E$11+1,1))</f>
        <v>403.50418598112844</v>
      </c>
      <c r="BJ147" s="59">
        <f t="shared" si="146"/>
        <v>254.25036207346591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47.698473149431358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47.698473149431358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636.99999999999977</v>
      </c>
      <c r="O148" s="13">
        <f>N148*VLOOKUP('Données projet'!$B$9,Paramètres!$A$1:$I$89,3,0)*VLOOKUP('Données projet'!$B$9,Paramètres!$A$1:$I$89,5,0)</f>
        <v>356.08299999999991</v>
      </c>
      <c r="P148" s="13">
        <f t="shared" si="141"/>
        <v>82.813805255716545</v>
      </c>
      <c r="Q148" s="20">
        <f t="shared" si="108"/>
        <v>764.41193582037283</v>
      </c>
      <c r="R148" s="59">
        <f t="shared" si="109"/>
        <v>1057.7452691537062</v>
      </c>
      <c r="S148" s="59">
        <f ca="1">AVERAGE(OFFSET($R$3,0,0,'Données projet'!$E$9+1,1))-AVERAGE(OFFSET($H$3,0,0,'Données projet'!$E$9+1,1))</f>
        <v>443.34220761968419</v>
      </c>
      <c r="T148" s="59">
        <f t="shared" si="142"/>
        <v>546.58234447298014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18.153393024116461</v>
      </c>
      <c r="AA148" s="21">
        <f>EXP(-LN(2)/25)*AA147+(1-EXP(-LN(2)/25))/(LN(2)/25)*Calculateur!V148*Calculateur!X148*VLOOKUP('Données projet'!$B$9,Paramètres!$A$1:$I$89,3,0)*0.475*44/12</f>
        <v>0.90457644673355231</v>
      </c>
      <c r="AB148" s="21">
        <f>EXP(-LN(2)/2)*AB147+(1-EXP(-LN(2)/2))/(LN(2)/2)*V148*Y148*VLOOKUP('Données projet'!$B$9,Paramètres!$A$1:$I$89,3,0)*0.475*44/12</f>
        <v>2.9644311426725156E-17</v>
      </c>
      <c r="AC148" s="22">
        <f t="shared" si="111"/>
        <v>19.057969470850015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267</v>
      </c>
      <c r="AJ148" s="13">
        <f>AI148*VLOOKUP('Données projet'!$B$10,Paramètres!$A$1:$I$89,3,0)*VLOOKUP('Données projet'!$B$10,Paramètres!$A$1:$I$89,5,0)</f>
        <v>241.58159999999998</v>
      </c>
      <c r="AK148" s="13">
        <f t="shared" si="143"/>
        <v>58.779689232021951</v>
      </c>
      <c r="AL148" s="20">
        <f t="shared" si="112"/>
        <v>523.12924541243819</v>
      </c>
      <c r="AM148" s="59">
        <f t="shared" si="113"/>
        <v>816.46257874577145</v>
      </c>
      <c r="AN148" s="59">
        <f ca="1">AVERAGE(OFFSET($AM$3,0,0,'Données projet'!$E$10+1,1))-AVERAGE(OFFSET($H$3,0,0,'Données projet'!$E$10+1,1))</f>
        <v>364.3481978218424</v>
      </c>
      <c r="AO148" s="59">
        <f t="shared" si="144"/>
        <v>231.36959598460686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41.727105241256631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41.727105241256631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267</v>
      </c>
      <c r="BE148" s="13">
        <f>BD148*VLOOKUP('Données projet'!$B$11,Paramètres!$A$1:$I$89,3,0)*VLOOKUP('Données projet'!$B$11,Paramètres!$A$1:$I$89,5,0)</f>
        <v>270.738</v>
      </c>
      <c r="BF148" s="13">
        <f t="shared" si="145"/>
        <v>65.005866623551711</v>
      </c>
      <c r="BG148" s="20">
        <f t="shared" si="115"/>
        <v>584.7539010360191</v>
      </c>
      <c r="BH148" s="59">
        <f t="shared" si="116"/>
        <v>878.08723436935247</v>
      </c>
      <c r="BI148" s="59">
        <f ca="1">AVERAGE(OFFSET($BH$3,0,0,'Données projet'!$E$11+1,1))-AVERAGE(OFFSET($H$3,0,0,'Données projet'!$E$11+1,1))</f>
        <v>403.50418598112844</v>
      </c>
      <c r="BJ148" s="59">
        <f t="shared" si="146"/>
        <v>254.25036207346591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46.763135184166913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46.763135184166913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636.99999999999977</v>
      </c>
      <c r="O149" s="13">
        <f>N149*VLOOKUP('Données projet'!$B$9,Paramètres!$A$1:$I$89,3,0)*VLOOKUP('Données projet'!$B$9,Paramètres!$A$1:$I$89,5,0)</f>
        <v>356.08299999999991</v>
      </c>
      <c r="P149" s="13">
        <f t="shared" si="141"/>
        <v>82.813805255716545</v>
      </c>
      <c r="Q149" s="20">
        <f t="shared" si="108"/>
        <v>764.41193582037283</v>
      </c>
      <c r="R149" s="59">
        <f t="shared" si="109"/>
        <v>1057.7452691537062</v>
      </c>
      <c r="S149" s="59">
        <f ca="1">AVERAGE(OFFSET($R$3,0,0,'Données projet'!$E$9+1,1))-AVERAGE(OFFSET($H$3,0,0,'Données projet'!$E$9+1,1))</f>
        <v>443.34220761968419</v>
      </c>
      <c r="T149" s="59">
        <f t="shared" si="142"/>
        <v>546.58234447298014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17.797416059389967</v>
      </c>
      <c r="AA149" s="21">
        <f>EXP(-LN(2)/25)*AA148+(1-EXP(-LN(2)/25))/(LN(2)/25)*Calculateur!V149*Calculateur!X149*VLOOKUP('Données projet'!$B$9,Paramètres!$A$1:$I$89,3,0)*0.475*44/12</f>
        <v>0.87984075622801539</v>
      </c>
      <c r="AB149" s="21">
        <f>EXP(-LN(2)/2)*AB148+(1-EXP(-LN(2)/2))/(LN(2)/2)*V149*Y149*VLOOKUP('Données projet'!$B$9,Paramètres!$A$1:$I$89,3,0)*0.475*44/12</f>
        <v>2.0961693633443215E-17</v>
      </c>
      <c r="AC149" s="22">
        <f t="shared" si="111"/>
        <v>18.677256815617984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267</v>
      </c>
      <c r="AJ149" s="13">
        <f>AI149*VLOOKUP('Données projet'!$B$10,Paramètres!$A$1:$I$89,3,0)*VLOOKUP('Données projet'!$B$10,Paramètres!$A$1:$I$89,5,0)</f>
        <v>241.58159999999998</v>
      </c>
      <c r="AK149" s="13">
        <f t="shared" si="143"/>
        <v>58.779689232021951</v>
      </c>
      <c r="AL149" s="20">
        <f t="shared" si="112"/>
        <v>523.12924541243819</v>
      </c>
      <c r="AM149" s="59">
        <f t="shared" si="113"/>
        <v>816.46257874577145</v>
      </c>
      <c r="AN149" s="59">
        <f ca="1">AVERAGE(OFFSET($AM$3,0,0,'Données projet'!$E$10+1,1))-AVERAGE(OFFSET($H$3,0,0,'Données projet'!$E$10+1,1))</f>
        <v>364.3481978218424</v>
      </c>
      <c r="AO149" s="59">
        <f t="shared" si="144"/>
        <v>231.36959598460686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40.908862158496703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40.908862158496703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267</v>
      </c>
      <c r="BE149" s="13">
        <f>BD149*VLOOKUP('Données projet'!$B$11,Paramètres!$A$1:$I$89,3,0)*VLOOKUP('Données projet'!$B$11,Paramètres!$A$1:$I$89,5,0)</f>
        <v>270.738</v>
      </c>
      <c r="BF149" s="13">
        <f t="shared" si="145"/>
        <v>65.005866623551711</v>
      </c>
      <c r="BG149" s="20">
        <f t="shared" si="115"/>
        <v>584.7539010360191</v>
      </c>
      <c r="BH149" s="59">
        <f t="shared" si="116"/>
        <v>878.08723436935247</v>
      </c>
      <c r="BI149" s="59">
        <f ca="1">AVERAGE(OFFSET($BH$3,0,0,'Données projet'!$E$11+1,1))-AVERAGE(OFFSET($H$3,0,0,'Données projet'!$E$11+1,1))</f>
        <v>403.50418598112844</v>
      </c>
      <c r="BJ149" s="59">
        <f t="shared" si="146"/>
        <v>254.25036207346591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45.846138625901482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45.846138625901482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636.99999999999977</v>
      </c>
      <c r="O150" s="13">
        <f>N150*VLOOKUP('Données projet'!$B$9,Paramètres!$A$1:$I$89,3,0)*VLOOKUP('Données projet'!$B$9,Paramètres!$A$1:$I$89,5,0)</f>
        <v>356.08299999999991</v>
      </c>
      <c r="P150" s="13">
        <f t="shared" si="141"/>
        <v>82.813805255716545</v>
      </c>
      <c r="Q150" s="20">
        <f t="shared" si="108"/>
        <v>764.41193582037283</v>
      </c>
      <c r="R150" s="59">
        <f t="shared" si="109"/>
        <v>1057.7452691537062</v>
      </c>
      <c r="S150" s="59">
        <f ca="1">AVERAGE(OFFSET($R$3,0,0,'Données projet'!$E$9+1,1))-AVERAGE(OFFSET($H$3,0,0,'Données projet'!$E$9+1,1))</f>
        <v>443.34220761968419</v>
      </c>
      <c r="T150" s="59">
        <f t="shared" si="142"/>
        <v>546.58234447298014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17.448419585817248</v>
      </c>
      <c r="AA150" s="21">
        <f>EXP(-LN(2)/25)*AA149+(1-EXP(-LN(2)/25))/(LN(2)/25)*Calculateur!V150*Calculateur!X150*VLOOKUP('Données projet'!$B$9,Paramètres!$A$1:$I$89,3,0)*0.475*44/12</f>
        <v>0.8557814644801458</v>
      </c>
      <c r="AB150" s="21">
        <f>EXP(-LN(2)/2)*AB149+(1-EXP(-LN(2)/2))/(LN(2)/2)*V150*Y150*VLOOKUP('Données projet'!$B$9,Paramètres!$A$1:$I$89,3,0)*0.475*44/12</f>
        <v>1.4822155713362578E-17</v>
      </c>
      <c r="AC150" s="22">
        <f t="shared" si="111"/>
        <v>18.304201050297394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267</v>
      </c>
      <c r="AJ150" s="13">
        <f>AI150*VLOOKUP('Données projet'!$B$10,Paramètres!$A$1:$I$89,3,0)*VLOOKUP('Données projet'!$B$10,Paramètres!$A$1:$I$89,5,0)</f>
        <v>241.58159999999998</v>
      </c>
      <c r="AK150" s="13">
        <f t="shared" si="143"/>
        <v>58.779689232021951</v>
      </c>
      <c r="AL150" s="20">
        <f t="shared" si="112"/>
        <v>523.12924541243819</v>
      </c>
      <c r="AM150" s="59">
        <f t="shared" si="113"/>
        <v>816.46257874577145</v>
      </c>
      <c r="AN150" s="59">
        <f ca="1">AVERAGE(OFFSET($AM$3,0,0,'Données projet'!$E$10+1,1))-AVERAGE(OFFSET($H$3,0,0,'Données projet'!$E$10+1,1))</f>
        <v>364.3481978218424</v>
      </c>
      <c r="AO150" s="59">
        <f t="shared" si="144"/>
        <v>231.36959598460686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40.106664323510699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40.106664323510699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267</v>
      </c>
      <c r="BE150" s="13">
        <f>BD150*VLOOKUP('Données projet'!$B$11,Paramètres!$A$1:$I$89,3,0)*VLOOKUP('Données projet'!$B$11,Paramètres!$A$1:$I$89,5,0)</f>
        <v>270.738</v>
      </c>
      <c r="BF150" s="13">
        <f t="shared" si="145"/>
        <v>65.005866623551711</v>
      </c>
      <c r="BG150" s="20">
        <f t="shared" si="115"/>
        <v>584.7539010360191</v>
      </c>
      <c r="BH150" s="59">
        <f t="shared" si="116"/>
        <v>878.08723436935247</v>
      </c>
      <c r="BI150" s="59">
        <f ca="1">AVERAGE(OFFSET($BH$3,0,0,'Données projet'!$E$11+1,1))-AVERAGE(OFFSET($H$3,0,0,'Données projet'!$E$11+1,1))</f>
        <v>403.50418598112844</v>
      </c>
      <c r="BJ150" s="59">
        <f t="shared" si="146"/>
        <v>254.25036207346591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44.947123810830959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44.947123810830959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636.99999999999977</v>
      </c>
      <c r="O151" s="13">
        <f>N151*VLOOKUP('Données projet'!$B$9,Paramètres!$A$1:$I$89,3,0)*VLOOKUP('Données projet'!$B$9,Paramètres!$A$1:$I$89,5,0)</f>
        <v>356.08299999999991</v>
      </c>
      <c r="P151" s="13">
        <f t="shared" si="141"/>
        <v>82.813805255716545</v>
      </c>
      <c r="Q151" s="20">
        <f t="shared" si="108"/>
        <v>764.41193582037283</v>
      </c>
      <c r="R151" s="59">
        <f t="shared" si="109"/>
        <v>1057.7452691537062</v>
      </c>
      <c r="S151" s="59">
        <f ca="1">AVERAGE(OFFSET($R$3,0,0,'Données projet'!$E$9+1,1))-AVERAGE(OFFSET($H$3,0,0,'Données projet'!$E$9+1,1))</f>
        <v>443.34220761968419</v>
      </c>
      <c r="T151" s="59">
        <f t="shared" si="142"/>
        <v>546.58234447298014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17.106266720224461</v>
      </c>
      <c r="AA151" s="21">
        <f>EXP(-LN(2)/25)*AA150+(1-EXP(-LN(2)/25))/(LN(2)/25)*Calculateur!V151*Calculateur!X151*VLOOKUP('Données projet'!$B$9,Paramètres!$A$1:$I$89,3,0)*0.475*44/12</f>
        <v>0.83238007533034486</v>
      </c>
      <c r="AB151" s="21">
        <f>EXP(-LN(2)/2)*AB150+(1-EXP(-LN(2)/2))/(LN(2)/2)*V151*Y151*VLOOKUP('Données projet'!$B$9,Paramètres!$A$1:$I$89,3,0)*0.475*44/12</f>
        <v>1.0480846816721608E-17</v>
      </c>
      <c r="AC151" s="22">
        <f t="shared" si="111"/>
        <v>17.938646795554806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267</v>
      </c>
      <c r="AJ151" s="13">
        <f>AI151*VLOOKUP('Données projet'!$B$10,Paramètres!$A$1:$I$89,3,0)*VLOOKUP('Données projet'!$B$10,Paramètres!$A$1:$I$89,5,0)</f>
        <v>241.58159999999998</v>
      </c>
      <c r="AK151" s="13">
        <f t="shared" si="143"/>
        <v>58.779689232021951</v>
      </c>
      <c r="AL151" s="20">
        <f t="shared" si="112"/>
        <v>523.12924541243819</v>
      </c>
      <c r="AM151" s="59">
        <f t="shared" si="113"/>
        <v>816.46257874577145</v>
      </c>
      <c r="AN151" s="59">
        <f ca="1">AVERAGE(OFFSET($AM$3,0,0,'Données projet'!$E$10+1,1))-AVERAGE(OFFSET($H$3,0,0,'Données projet'!$E$10+1,1))</f>
        <v>364.3481978218424</v>
      </c>
      <c r="AO151" s="59">
        <f t="shared" si="144"/>
        <v>231.36959598460686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39.320197098776404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39.320197098776404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267</v>
      </c>
      <c r="BE151" s="13">
        <f>BD151*VLOOKUP('Données projet'!$B$11,Paramètres!$A$1:$I$89,3,0)*VLOOKUP('Données projet'!$B$11,Paramètres!$A$1:$I$89,5,0)</f>
        <v>270.738</v>
      </c>
      <c r="BF151" s="13">
        <f t="shared" si="145"/>
        <v>65.005866623551711</v>
      </c>
      <c r="BG151" s="20">
        <f t="shared" si="115"/>
        <v>584.7539010360191</v>
      </c>
      <c r="BH151" s="59">
        <f t="shared" si="116"/>
        <v>878.08723436935247</v>
      </c>
      <c r="BI151" s="59">
        <f ca="1">AVERAGE(OFFSET($BH$3,0,0,'Données projet'!$E$11+1,1))-AVERAGE(OFFSET($H$3,0,0,'Données projet'!$E$11+1,1))</f>
        <v>403.50418598112844</v>
      </c>
      <c r="BJ151" s="59">
        <f t="shared" si="146"/>
        <v>254.25036207346591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44.065738127939078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44.065738127939078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636.99999999999977</v>
      </c>
      <c r="O152" s="13">
        <f>N152*VLOOKUP('Données projet'!$B$9,Paramètres!$A$1:$I$89,3,0)*VLOOKUP('Données projet'!$B$9,Paramètres!$A$1:$I$89,5,0)</f>
        <v>356.08299999999991</v>
      </c>
      <c r="P152" s="13">
        <f t="shared" si="141"/>
        <v>82.813805255716545</v>
      </c>
      <c r="Q152" s="20">
        <f t="shared" si="108"/>
        <v>764.41193582037283</v>
      </c>
      <c r="R152" s="59">
        <f t="shared" si="109"/>
        <v>1057.7452691537062</v>
      </c>
      <c r="S152" s="59">
        <f ca="1">AVERAGE(OFFSET($R$3,0,0,'Données projet'!$E$9+1,1))-AVERAGE(OFFSET($H$3,0,0,'Données projet'!$E$9+1,1))</f>
        <v>443.34220761968419</v>
      </c>
      <c r="T152" s="59">
        <f t="shared" si="142"/>
        <v>546.58234447298014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16.770823263633307</v>
      </c>
      <c r="AA152" s="21">
        <f>EXP(-LN(2)/25)*AA151+(1-EXP(-LN(2)/25))/(LN(2)/25)*Calculateur!V152*Calculateur!X152*VLOOKUP('Données projet'!$B$9,Paramètres!$A$1:$I$89,3,0)*0.475*44/12</f>
        <v>0.80961859839747086</v>
      </c>
      <c r="AB152" s="21">
        <f>EXP(-LN(2)/2)*AB151+(1-EXP(-LN(2)/2))/(LN(2)/2)*V152*Y152*VLOOKUP('Données projet'!$B$9,Paramètres!$A$1:$I$89,3,0)*0.475*44/12</f>
        <v>7.4110778566812889E-18</v>
      </c>
      <c r="AC152" s="22">
        <f t="shared" si="111"/>
        <v>17.580441862030778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267</v>
      </c>
      <c r="AJ152" s="13">
        <f>AI152*VLOOKUP('Données projet'!$B$10,Paramètres!$A$1:$I$89,3,0)*VLOOKUP('Données projet'!$B$10,Paramètres!$A$1:$I$89,5,0)</f>
        <v>241.58159999999998</v>
      </c>
      <c r="AK152" s="13">
        <f t="shared" si="143"/>
        <v>58.779689232021951</v>
      </c>
      <c r="AL152" s="20">
        <f t="shared" si="112"/>
        <v>523.12924541243819</v>
      </c>
      <c r="AM152" s="59">
        <f t="shared" si="113"/>
        <v>816.46257874577145</v>
      </c>
      <c r="AN152" s="59">
        <f ca="1">AVERAGE(OFFSET($AM$3,0,0,'Données projet'!$E$10+1,1))-AVERAGE(OFFSET($H$3,0,0,'Données projet'!$E$10+1,1))</f>
        <v>364.3481978218424</v>
      </c>
      <c r="AO152" s="59">
        <f t="shared" si="144"/>
        <v>231.36959598460686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38.549152016621512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38.549152016621512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267</v>
      </c>
      <c r="BE152" s="13">
        <f>BD152*VLOOKUP('Données projet'!$B$11,Paramètres!$A$1:$I$89,3,0)*VLOOKUP('Données projet'!$B$11,Paramètres!$A$1:$I$89,5,0)</f>
        <v>270.738</v>
      </c>
      <c r="BF152" s="13">
        <f t="shared" si="145"/>
        <v>65.005866623551711</v>
      </c>
      <c r="BG152" s="20">
        <f t="shared" si="115"/>
        <v>584.7539010360191</v>
      </c>
      <c r="BH152" s="59">
        <f t="shared" si="116"/>
        <v>878.08723436935247</v>
      </c>
      <c r="BI152" s="59">
        <f ca="1">AVERAGE(OFFSET($BH$3,0,0,'Données projet'!$E$11+1,1))-AVERAGE(OFFSET($H$3,0,0,'Données projet'!$E$11+1,1))</f>
        <v>403.50418598112844</v>
      </c>
      <c r="BJ152" s="59">
        <f t="shared" si="146"/>
        <v>254.25036207346591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43.201635880696521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43.201635880696521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636.99999999999977</v>
      </c>
      <c r="O153" s="13">
        <f>N153*VLOOKUP('Données projet'!$B$9,Paramètres!$A$1:$I$89,3,0)*VLOOKUP('Données projet'!$B$9,Paramètres!$A$1:$I$89,5,0)</f>
        <v>356.08299999999991</v>
      </c>
      <c r="P153" s="13">
        <f t="shared" si="141"/>
        <v>82.813805255716545</v>
      </c>
      <c r="Q153" s="20">
        <f t="shared" si="108"/>
        <v>764.41193582037283</v>
      </c>
      <c r="R153" s="59">
        <f t="shared" si="109"/>
        <v>1057.7452691537062</v>
      </c>
      <c r="S153" s="59">
        <f ca="1">AVERAGE(OFFSET($R$3,0,0,'Données projet'!$E$9+1,1))-AVERAGE(OFFSET($H$3,0,0,'Données projet'!$E$9+1,1))</f>
        <v>443.34220761968419</v>
      </c>
      <c r="T153" s="59">
        <f t="shared" si="142"/>
        <v>546.58234447298014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16.4419576486256</v>
      </c>
      <c r="AA153" s="21">
        <f>EXP(-LN(2)/25)*AA152+(1-EXP(-LN(2)/25))/(LN(2)/25)*Calculateur!V153*Calculateur!X153*VLOOKUP('Données projet'!$B$9,Paramètres!$A$1:$I$89,3,0)*0.475*44/12</f>
        <v>0.78747953524830039</v>
      </c>
      <c r="AB153" s="21">
        <f>EXP(-LN(2)/2)*AB152+(1-EXP(-LN(2)/2))/(LN(2)/2)*V153*Y153*VLOOKUP('Données projet'!$B$9,Paramètres!$A$1:$I$89,3,0)*0.475*44/12</f>
        <v>5.2404234083608039E-18</v>
      </c>
      <c r="AC153" s="22">
        <f t="shared" si="111"/>
        <v>17.229437183873902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267</v>
      </c>
      <c r="AJ153" s="13">
        <f>AI153*VLOOKUP('Données projet'!$B$10,Paramètres!$A$1:$I$89,3,0)*VLOOKUP('Données projet'!$B$10,Paramètres!$A$1:$I$89,5,0)</f>
        <v>241.58159999999998</v>
      </c>
      <c r="AK153" s="13">
        <f t="shared" si="143"/>
        <v>58.779689232021951</v>
      </c>
      <c r="AL153" s="20">
        <f t="shared" si="112"/>
        <v>523.12924541243819</v>
      </c>
      <c r="AM153" s="59">
        <f t="shared" si="113"/>
        <v>816.46257874577145</v>
      </c>
      <c r="AN153" s="59">
        <f ca="1">AVERAGE(OFFSET($AM$3,0,0,'Données projet'!$E$10+1,1))-AVERAGE(OFFSET($H$3,0,0,'Données projet'!$E$10+1,1))</f>
        <v>364.3481978218424</v>
      </c>
      <c r="AO153" s="59">
        <f t="shared" si="144"/>
        <v>231.36959598460686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37.793226658236613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37.793226658236613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267</v>
      </c>
      <c r="BE153" s="13">
        <f>BD153*VLOOKUP('Données projet'!$B$11,Paramètres!$A$1:$I$89,3,0)*VLOOKUP('Données projet'!$B$11,Paramètres!$A$1:$I$89,5,0)</f>
        <v>270.738</v>
      </c>
      <c r="BF153" s="13">
        <f t="shared" si="145"/>
        <v>65.005866623551711</v>
      </c>
      <c r="BG153" s="20">
        <f t="shared" si="115"/>
        <v>584.7539010360191</v>
      </c>
      <c r="BH153" s="59">
        <f t="shared" si="116"/>
        <v>878.08723436935247</v>
      </c>
      <c r="BI153" s="59">
        <f ca="1">AVERAGE(OFFSET($BH$3,0,0,'Données projet'!$E$11+1,1))-AVERAGE(OFFSET($H$3,0,0,'Données projet'!$E$11+1,1))</f>
        <v>403.50418598112844</v>
      </c>
      <c r="BJ153" s="59">
        <f t="shared" si="146"/>
        <v>254.25036207346591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42.354478151472065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42.354478151472065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636.99999999999977</v>
      </c>
      <c r="O154" s="13">
        <f>N154*VLOOKUP('Données projet'!$B$9,Paramètres!$A$1:$I$89,3,0)*VLOOKUP('Données projet'!$B$9,Paramètres!$A$1:$I$89,5,0)</f>
        <v>356.08299999999991</v>
      </c>
      <c r="P154" s="13">
        <f t="shared" si="141"/>
        <v>82.813805255716545</v>
      </c>
      <c r="Q154" s="20">
        <f t="shared" ref="Q154:Q203" si="162">(O154+P154)*0.475*44/12</f>
        <v>764.41193582037283</v>
      </c>
      <c r="R154" s="59">
        <f t="shared" si="109"/>
        <v>1057.7452691537062</v>
      </c>
      <c r="S154" s="59">
        <f ca="1">AVERAGE(OFFSET($R$3,0,0,'Données projet'!$E$9+1,1))-AVERAGE(OFFSET($H$3,0,0,'Données projet'!$E$9+1,1))</f>
        <v>443.34220761968419</v>
      </c>
      <c r="T154" s="59">
        <f t="shared" si="142"/>
        <v>546.58234447298014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16.119540887739976</v>
      </c>
      <c r="AA154" s="21">
        <f>EXP(-LN(2)/25)*AA153+(1-EXP(-LN(2)/25))/(LN(2)/25)*Calculateur!V154*Calculateur!X154*VLOOKUP('Données projet'!$B$9,Paramètres!$A$1:$I$89,3,0)*0.475*44/12</f>
        <v>0.76594586594518665</v>
      </c>
      <c r="AB154" s="21">
        <f>EXP(-LN(2)/2)*AB153+(1-EXP(-LN(2)/2))/(LN(2)/2)*V154*Y154*VLOOKUP('Données projet'!$B$9,Paramètres!$A$1:$I$89,3,0)*0.475*44/12</f>
        <v>3.7055389283406445E-18</v>
      </c>
      <c r="AC154" s="22">
        <f t="shared" ref="AC154:AC203" si="163">SUM(Z154:AB154)</f>
        <v>16.885486753685164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267</v>
      </c>
      <c r="AJ154" s="13">
        <f>AI154*VLOOKUP('Données projet'!$B$10,Paramètres!$A$1:$I$89,3,0)*VLOOKUP('Données projet'!$B$10,Paramètres!$A$1:$I$89,5,0)</f>
        <v>241.58159999999998</v>
      </c>
      <c r="AK154" s="13">
        <f t="shared" ref="AK154:AK203" si="164">EXP(-1.0587+0.8836*LN(AJ154)+0.284)</f>
        <v>58.779689232021951</v>
      </c>
      <c r="AL154" s="20">
        <f t="shared" ref="AL154:AL203" si="165">(AJ154+AK154)*0.475*44/12</f>
        <v>523.12924541243819</v>
      </c>
      <c r="AM154" s="59">
        <f t="shared" si="113"/>
        <v>816.46257874577145</v>
      </c>
      <c r="AN154" s="59">
        <f ca="1">AVERAGE(OFFSET($AM$3,0,0,'Données projet'!$E$10+1,1))-AVERAGE(OFFSET($H$3,0,0,'Données projet'!$E$10+1,1))</f>
        <v>364.3481978218424</v>
      </c>
      <c r="AO154" s="59">
        <f t="shared" si="144"/>
        <v>231.36959598460686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37.052124535060699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37.052124535060699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267</v>
      </c>
      <c r="BE154" s="13">
        <f>BD154*VLOOKUP('Données projet'!$B$11,Paramètres!$A$1:$I$89,3,0)*VLOOKUP('Données projet'!$B$11,Paramètres!$A$1:$I$89,5,0)</f>
        <v>270.738</v>
      </c>
      <c r="BF154" s="13">
        <f t="shared" ref="BF154:BF203" si="167">EXP(-1.0587+0.8836*LN(BE154)+0.284)</f>
        <v>65.005866623551711</v>
      </c>
      <c r="BG154" s="20">
        <f t="shared" ref="BG154:BG203" si="168">(BE154+BF154)*0.475*44/12</f>
        <v>584.7539010360191</v>
      </c>
      <c r="BH154" s="59">
        <f t="shared" si="116"/>
        <v>878.08723436935247</v>
      </c>
      <c r="BI154" s="59">
        <f ca="1">AVERAGE(OFFSET($BH$3,0,0,'Données projet'!$E$11+1,1))-AVERAGE(OFFSET($H$3,0,0,'Données projet'!$E$11+1,1))</f>
        <v>403.50418598112844</v>
      </c>
      <c r="BJ154" s="59">
        <f t="shared" si="146"/>
        <v>254.25036207346591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41.523932668602505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41.523932668602505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636.99999999999977</v>
      </c>
      <c r="O155" s="13">
        <f>N155*VLOOKUP('Données projet'!$B$9,Paramètres!$A$1:$I$89,3,0)*VLOOKUP('Données projet'!$B$9,Paramètres!$A$1:$I$89,5,0)</f>
        <v>356.08299999999991</v>
      </c>
      <c r="P155" s="13">
        <f t="shared" si="141"/>
        <v>82.813805255716545</v>
      </c>
      <c r="Q155" s="20">
        <f t="shared" si="162"/>
        <v>764.41193582037283</v>
      </c>
      <c r="R155" s="59">
        <f t="shared" si="109"/>
        <v>1057.7452691537062</v>
      </c>
      <c r="S155" s="59">
        <f ca="1">AVERAGE(OFFSET($R$3,0,0,'Données projet'!$E$9+1,1))-AVERAGE(OFFSET($H$3,0,0,'Données projet'!$E$9+1,1))</f>
        <v>443.34220761968419</v>
      </c>
      <c r="T155" s="59">
        <f t="shared" si="142"/>
        <v>546.58234447298014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15.803446522880513</v>
      </c>
      <c r="AA155" s="21">
        <f>EXP(-LN(2)/25)*AA154+(1-EXP(-LN(2)/25))/(LN(2)/25)*Calculateur!V155*Calculateur!X155*VLOOKUP('Données projet'!$B$9,Paramètres!$A$1:$I$89,3,0)*0.475*44/12</f>
        <v>0.74500103596157308</v>
      </c>
      <c r="AB155" s="21">
        <f>EXP(-LN(2)/2)*AB154+(1-EXP(-LN(2)/2))/(LN(2)/2)*V155*Y155*VLOOKUP('Données projet'!$B$9,Paramètres!$A$1:$I$89,3,0)*0.475*44/12</f>
        <v>2.6202117041804019E-18</v>
      </c>
      <c r="AC155" s="22">
        <f t="shared" si="163"/>
        <v>16.548447558842085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267</v>
      </c>
      <c r="AJ155" s="13">
        <f>AI155*VLOOKUP('Données projet'!$B$10,Paramètres!$A$1:$I$89,3,0)*VLOOKUP('Données projet'!$B$10,Paramètres!$A$1:$I$89,5,0)</f>
        <v>241.58159999999998</v>
      </c>
      <c r="AK155" s="13">
        <f t="shared" si="164"/>
        <v>58.779689232021951</v>
      </c>
      <c r="AL155" s="20">
        <f t="shared" si="165"/>
        <v>523.12924541243819</v>
      </c>
      <c r="AM155" s="59">
        <f t="shared" si="113"/>
        <v>816.46257874577145</v>
      </c>
      <c r="AN155" s="59">
        <f ca="1">AVERAGE(OFFSET($AM$3,0,0,'Données projet'!$E$10+1,1))-AVERAGE(OFFSET($H$3,0,0,'Données projet'!$E$10+1,1))</f>
        <v>364.3481978218424</v>
      </c>
      <c r="AO155" s="59">
        <f t="shared" si="144"/>
        <v>231.36959598460686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36.325554972492604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36.325554972492604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267</v>
      </c>
      <c r="BE155" s="13">
        <f>BD155*VLOOKUP('Données projet'!$B$11,Paramètres!$A$1:$I$89,3,0)*VLOOKUP('Données projet'!$B$11,Paramètres!$A$1:$I$89,5,0)</f>
        <v>270.738</v>
      </c>
      <c r="BF155" s="13">
        <f t="shared" si="167"/>
        <v>65.005866623551711</v>
      </c>
      <c r="BG155" s="20">
        <f t="shared" si="168"/>
        <v>584.7539010360191</v>
      </c>
      <c r="BH155" s="59">
        <f t="shared" si="116"/>
        <v>878.08723436935247</v>
      </c>
      <c r="BI155" s="59">
        <f ca="1">AVERAGE(OFFSET($BH$3,0,0,'Données projet'!$E$11+1,1))-AVERAGE(OFFSET($H$3,0,0,'Données projet'!$E$11+1,1))</f>
        <v>403.50418598112844</v>
      </c>
      <c r="BJ155" s="59">
        <f t="shared" si="146"/>
        <v>254.25036207346591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40.709673676069293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40.709673676069293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636.99999999999977</v>
      </c>
      <c r="O156" s="13">
        <f>N156*VLOOKUP('Données projet'!$B$9,Paramètres!$A$1:$I$89,3,0)*VLOOKUP('Données projet'!$B$9,Paramètres!$A$1:$I$89,5,0)</f>
        <v>356.08299999999991</v>
      </c>
      <c r="P156" s="13">
        <f t="shared" si="141"/>
        <v>82.813805255716545</v>
      </c>
      <c r="Q156" s="20">
        <f t="shared" si="162"/>
        <v>764.41193582037283</v>
      </c>
      <c r="R156" s="59">
        <f t="shared" si="109"/>
        <v>1057.7452691537062</v>
      </c>
      <c r="S156" s="59">
        <f ca="1">AVERAGE(OFFSET($R$3,0,0,'Données projet'!$E$9+1,1))-AVERAGE(OFFSET($H$3,0,0,'Données projet'!$E$9+1,1))</f>
        <v>443.34220761968419</v>
      </c>
      <c r="T156" s="59">
        <f t="shared" si="142"/>
        <v>546.58234447298014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15.493550575717418</v>
      </c>
      <c r="AA156" s="21">
        <f>EXP(-LN(2)/25)*AA155+(1-EXP(-LN(2)/25))/(LN(2)/25)*Calculateur!V156*Calculateur!X156*VLOOKUP('Données projet'!$B$9,Paramètres!$A$1:$I$89,3,0)*0.475*44/12</f>
        <v>0.72462894345530215</v>
      </c>
      <c r="AB156" s="21">
        <f>EXP(-LN(2)/2)*AB155+(1-EXP(-LN(2)/2))/(LN(2)/2)*V156*Y156*VLOOKUP('Données projet'!$B$9,Paramètres!$A$1:$I$89,3,0)*0.475*44/12</f>
        <v>1.8527694641703222E-18</v>
      </c>
      <c r="AC156" s="22">
        <f t="shared" si="163"/>
        <v>16.218179519172718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267</v>
      </c>
      <c r="AJ156" s="13">
        <f>AI156*VLOOKUP('Données projet'!$B$10,Paramètres!$A$1:$I$89,3,0)*VLOOKUP('Données projet'!$B$10,Paramètres!$A$1:$I$89,5,0)</f>
        <v>241.58159999999998</v>
      </c>
      <c r="AK156" s="13">
        <f t="shared" si="164"/>
        <v>58.779689232021951</v>
      </c>
      <c r="AL156" s="20">
        <f t="shared" si="165"/>
        <v>523.12924541243819</v>
      </c>
      <c r="AM156" s="59">
        <f t="shared" si="113"/>
        <v>816.46257874577145</v>
      </c>
      <c r="AN156" s="59">
        <f ca="1">AVERAGE(OFFSET($AM$3,0,0,'Données projet'!$E$10+1,1))-AVERAGE(OFFSET($H$3,0,0,'Données projet'!$E$10+1,1))</f>
        <v>364.3481978218424</v>
      </c>
      <c r="AO156" s="59">
        <f t="shared" si="144"/>
        <v>231.36959598460686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35.613232995882797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35.613232995882797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267</v>
      </c>
      <c r="BE156" s="13">
        <f>BD156*VLOOKUP('Données projet'!$B$11,Paramètres!$A$1:$I$89,3,0)*VLOOKUP('Données projet'!$B$11,Paramètres!$A$1:$I$89,5,0)</f>
        <v>270.738</v>
      </c>
      <c r="BF156" s="13">
        <f t="shared" si="167"/>
        <v>65.005866623551711</v>
      </c>
      <c r="BG156" s="20">
        <f t="shared" si="168"/>
        <v>584.7539010360191</v>
      </c>
      <c r="BH156" s="59">
        <f t="shared" si="116"/>
        <v>878.08723436935247</v>
      </c>
      <c r="BI156" s="59">
        <f ca="1">AVERAGE(OFFSET($BH$3,0,0,'Données projet'!$E$11+1,1))-AVERAGE(OFFSET($H$3,0,0,'Données projet'!$E$11+1,1))</f>
        <v>403.50418598112844</v>
      </c>
      <c r="BJ156" s="59">
        <f t="shared" si="146"/>
        <v>254.25036207346591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39.911381805730713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39.911381805730713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636.99999999999977</v>
      </c>
      <c r="O157" s="13">
        <f>N157*VLOOKUP('Données projet'!$B$9,Paramètres!$A$1:$I$89,3,0)*VLOOKUP('Données projet'!$B$9,Paramètres!$A$1:$I$89,5,0)</f>
        <v>356.08299999999991</v>
      </c>
      <c r="P157" s="13">
        <f t="shared" si="141"/>
        <v>82.813805255716545</v>
      </c>
      <c r="Q157" s="20">
        <f t="shared" si="162"/>
        <v>764.41193582037283</v>
      </c>
      <c r="R157" s="59">
        <f t="shared" si="109"/>
        <v>1057.7452691537062</v>
      </c>
      <c r="S157" s="59">
        <f ca="1">AVERAGE(OFFSET($R$3,0,0,'Données projet'!$E$9+1,1))-AVERAGE(OFFSET($H$3,0,0,'Données projet'!$E$9+1,1))</f>
        <v>443.34220761968419</v>
      </c>
      <c r="T157" s="59">
        <f t="shared" si="142"/>
        <v>546.58234447298014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15.189731499060327</v>
      </c>
      <c r="AA157" s="21">
        <f>EXP(-LN(2)/25)*AA156+(1-EXP(-LN(2)/25))/(LN(2)/25)*Calculateur!V157*Calculateur!X157*VLOOKUP('Données projet'!$B$9,Paramètres!$A$1:$I$89,3,0)*0.475*44/12</f>
        <v>0.70481392688993694</v>
      </c>
      <c r="AB157" s="21">
        <f>EXP(-LN(2)/2)*AB156+(1-EXP(-LN(2)/2))/(LN(2)/2)*V157*Y157*VLOOKUP('Données projet'!$B$9,Paramètres!$A$1:$I$89,3,0)*0.475*44/12</f>
        <v>1.310105852090201E-18</v>
      </c>
      <c r="AC157" s="22">
        <f t="shared" si="163"/>
        <v>15.894545425950264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267</v>
      </c>
      <c r="AJ157" s="13">
        <f>AI157*VLOOKUP('Données projet'!$B$10,Paramètres!$A$1:$I$89,3,0)*VLOOKUP('Données projet'!$B$10,Paramètres!$A$1:$I$89,5,0)</f>
        <v>241.58159999999998</v>
      </c>
      <c r="AK157" s="13">
        <f t="shared" si="164"/>
        <v>58.779689232021951</v>
      </c>
      <c r="AL157" s="20">
        <f t="shared" si="165"/>
        <v>523.12924541243819</v>
      </c>
      <c r="AM157" s="59">
        <f t="shared" si="113"/>
        <v>816.46257874577145</v>
      </c>
      <c r="AN157" s="59">
        <f ca="1">AVERAGE(OFFSET($AM$3,0,0,'Données projet'!$E$10+1,1))-AVERAGE(OFFSET($H$3,0,0,'Données projet'!$E$10+1,1))</f>
        <v>364.3481978218424</v>
      </c>
      <c r="AO157" s="59">
        <f t="shared" si="144"/>
        <v>231.36959598460686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34.914879218760802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34.914879218760802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267</v>
      </c>
      <c r="BE157" s="13">
        <f>BD157*VLOOKUP('Données projet'!$B$11,Paramètres!$A$1:$I$89,3,0)*VLOOKUP('Données projet'!$B$11,Paramètres!$A$1:$I$89,5,0)</f>
        <v>270.738</v>
      </c>
      <c r="BF157" s="13">
        <f t="shared" si="167"/>
        <v>65.005866623551711</v>
      </c>
      <c r="BG157" s="20">
        <f t="shared" si="168"/>
        <v>584.7539010360191</v>
      </c>
      <c r="BH157" s="59">
        <f t="shared" si="116"/>
        <v>878.08723436935247</v>
      </c>
      <c r="BI157" s="59">
        <f ca="1">AVERAGE(OFFSET($BH$3,0,0,'Données projet'!$E$11+1,1))-AVERAGE(OFFSET($H$3,0,0,'Données projet'!$E$11+1,1))</f>
        <v>403.50418598112844</v>
      </c>
      <c r="BJ157" s="59">
        <f t="shared" si="146"/>
        <v>254.25036207346591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39.128743952059509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39.128743952059509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636.99999999999977</v>
      </c>
      <c r="O158" s="13">
        <f>N158*VLOOKUP('Données projet'!$B$9,Paramètres!$A$1:$I$89,3,0)*VLOOKUP('Données projet'!$B$9,Paramètres!$A$1:$I$89,5,0)</f>
        <v>356.08299999999991</v>
      </c>
      <c r="P158" s="13">
        <f t="shared" si="141"/>
        <v>82.813805255716545</v>
      </c>
      <c r="Q158" s="20">
        <f t="shared" si="162"/>
        <v>764.41193582037283</v>
      </c>
      <c r="R158" s="59">
        <f t="shared" si="109"/>
        <v>1057.7452691537062</v>
      </c>
      <c r="S158" s="59">
        <f ca="1">AVERAGE(OFFSET($R$3,0,0,'Données projet'!$E$9+1,1))-AVERAGE(OFFSET($H$3,0,0,'Données projet'!$E$9+1,1))</f>
        <v>443.34220761968419</v>
      </c>
      <c r="T158" s="59">
        <f t="shared" si="142"/>
        <v>546.58234447298014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14.891870129185143</v>
      </c>
      <c r="AA158" s="21">
        <f>EXP(-LN(2)/25)*AA157+(1-EXP(-LN(2)/25))/(LN(2)/25)*Calculateur!V158*Calculateur!X158*VLOOKUP('Données projet'!$B$9,Paramètres!$A$1:$I$89,3,0)*0.475*44/12</f>
        <v>0.68554075299457806</v>
      </c>
      <c r="AB158" s="21">
        <f>EXP(-LN(2)/2)*AB157+(1-EXP(-LN(2)/2))/(LN(2)/2)*V158*Y158*VLOOKUP('Données projet'!$B$9,Paramètres!$A$1:$I$89,3,0)*0.475*44/12</f>
        <v>9.2638473208516112E-19</v>
      </c>
      <c r="AC158" s="22">
        <f t="shared" si="163"/>
        <v>15.577410882179722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267</v>
      </c>
      <c r="AJ158" s="13">
        <f>AI158*VLOOKUP('Données projet'!$B$10,Paramètres!$A$1:$I$89,3,0)*VLOOKUP('Données projet'!$B$10,Paramètres!$A$1:$I$89,5,0)</f>
        <v>241.58159999999998</v>
      </c>
      <c r="AK158" s="13">
        <f t="shared" si="164"/>
        <v>58.779689232021951</v>
      </c>
      <c r="AL158" s="20">
        <f t="shared" si="165"/>
        <v>523.12924541243819</v>
      </c>
      <c r="AM158" s="59">
        <f t="shared" si="113"/>
        <v>816.46257874577145</v>
      </c>
      <c r="AN158" s="59">
        <f ca="1">AVERAGE(OFFSET($AM$3,0,0,'Données projet'!$E$10+1,1))-AVERAGE(OFFSET($H$3,0,0,'Données projet'!$E$10+1,1))</f>
        <v>364.3481978218424</v>
      </c>
      <c r="AO158" s="59">
        <f t="shared" si="144"/>
        <v>231.36959598460686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34.230219733254422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34.230219733254422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267</v>
      </c>
      <c r="BE158" s="13">
        <f>BD158*VLOOKUP('Données projet'!$B$11,Paramètres!$A$1:$I$89,3,0)*VLOOKUP('Données projet'!$B$11,Paramètres!$A$1:$I$89,5,0)</f>
        <v>270.738</v>
      </c>
      <c r="BF158" s="13">
        <f t="shared" si="167"/>
        <v>65.005866623551711</v>
      </c>
      <c r="BG158" s="20">
        <f t="shared" si="168"/>
        <v>584.7539010360191</v>
      </c>
      <c r="BH158" s="59">
        <f t="shared" si="116"/>
        <v>878.08723436935247</v>
      </c>
      <c r="BI158" s="59">
        <f ca="1">AVERAGE(OFFSET($BH$3,0,0,'Données projet'!$E$11+1,1))-AVERAGE(OFFSET($H$3,0,0,'Données projet'!$E$11+1,1))</f>
        <v>403.50418598112844</v>
      </c>
      <c r="BJ158" s="59">
        <f t="shared" si="146"/>
        <v>254.25036207346591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38.361453149336846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38.361453149336846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636.99999999999977</v>
      </c>
      <c r="O159" s="13">
        <f>N159*VLOOKUP('Données projet'!$B$9,Paramètres!$A$1:$I$89,3,0)*VLOOKUP('Données projet'!$B$9,Paramètres!$A$1:$I$89,5,0)</f>
        <v>356.08299999999991</v>
      </c>
      <c r="P159" s="13">
        <f t="shared" si="141"/>
        <v>82.813805255716545</v>
      </c>
      <c r="Q159" s="20">
        <f t="shared" si="162"/>
        <v>764.41193582037283</v>
      </c>
      <c r="R159" s="59">
        <f t="shared" si="109"/>
        <v>1057.7452691537062</v>
      </c>
      <c r="S159" s="59">
        <f ca="1">AVERAGE(OFFSET($R$3,0,0,'Données projet'!$E$9+1,1))-AVERAGE(OFFSET($H$3,0,0,'Données projet'!$E$9+1,1))</f>
        <v>443.34220761968419</v>
      </c>
      <c r="T159" s="59">
        <f t="shared" si="142"/>
        <v>546.58234447298014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14.599849639095716</v>
      </c>
      <c r="AA159" s="21">
        <f>EXP(-LN(2)/25)*AA158+(1-EXP(-LN(2)/25))/(LN(2)/25)*Calculateur!V159*Calculateur!X159*VLOOKUP('Données projet'!$B$9,Paramètres!$A$1:$I$89,3,0)*0.475*44/12</f>
        <v>0.66679460505291999</v>
      </c>
      <c r="AB159" s="21">
        <f>EXP(-LN(2)/2)*AB158+(1-EXP(-LN(2)/2))/(LN(2)/2)*V159*Y159*VLOOKUP('Données projet'!$B$9,Paramètres!$A$1:$I$89,3,0)*0.475*44/12</f>
        <v>6.5505292604510048E-19</v>
      </c>
      <c r="AC159" s="22">
        <f t="shared" si="163"/>
        <v>15.266644244148635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267</v>
      </c>
      <c r="AJ159" s="13">
        <f>AI159*VLOOKUP('Données projet'!$B$10,Paramètres!$A$1:$I$89,3,0)*VLOOKUP('Données projet'!$B$10,Paramètres!$A$1:$I$89,5,0)</f>
        <v>241.58159999999998</v>
      </c>
      <c r="AK159" s="13">
        <f t="shared" si="164"/>
        <v>58.779689232021951</v>
      </c>
      <c r="AL159" s="20">
        <f t="shared" si="165"/>
        <v>523.12924541243819</v>
      </c>
      <c r="AM159" s="59">
        <f t="shared" si="113"/>
        <v>816.46257874577145</v>
      </c>
      <c r="AN159" s="59">
        <f ca="1">AVERAGE(OFFSET($AM$3,0,0,'Données projet'!$E$10+1,1))-AVERAGE(OFFSET($H$3,0,0,'Données projet'!$E$10+1,1))</f>
        <v>364.3481978218424</v>
      </c>
      <c r="AO159" s="59">
        <f t="shared" si="144"/>
        <v>231.36959598460686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33.558986002657775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33.558986002657775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267</v>
      </c>
      <c r="BE159" s="13">
        <f>BD159*VLOOKUP('Données projet'!$B$11,Paramètres!$A$1:$I$89,3,0)*VLOOKUP('Données projet'!$B$11,Paramètres!$A$1:$I$89,5,0)</f>
        <v>270.738</v>
      </c>
      <c r="BF159" s="13">
        <f t="shared" si="167"/>
        <v>65.005866623551711</v>
      </c>
      <c r="BG159" s="20">
        <f t="shared" si="168"/>
        <v>584.7539010360191</v>
      </c>
      <c r="BH159" s="59">
        <f t="shared" si="116"/>
        <v>878.08723436935247</v>
      </c>
      <c r="BI159" s="59">
        <f ca="1">AVERAGE(OFFSET($BH$3,0,0,'Données projet'!$E$11+1,1))-AVERAGE(OFFSET($H$3,0,0,'Données projet'!$E$11+1,1))</f>
        <v>403.50418598112844</v>
      </c>
      <c r="BJ159" s="59">
        <f t="shared" si="146"/>
        <v>254.25036207346591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37.609208451254396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37.609208451254396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636.99999999999977</v>
      </c>
      <c r="O160" s="13">
        <f>N160*VLOOKUP('Données projet'!$B$9,Paramètres!$A$1:$I$89,3,0)*VLOOKUP('Données projet'!$B$9,Paramètres!$A$1:$I$89,5,0)</f>
        <v>356.08299999999991</v>
      </c>
      <c r="P160" s="13">
        <f t="shared" si="141"/>
        <v>82.813805255716545</v>
      </c>
      <c r="Q160" s="20">
        <f t="shared" si="162"/>
        <v>764.41193582037283</v>
      </c>
      <c r="R160" s="59">
        <f t="shared" si="109"/>
        <v>1057.7452691537062</v>
      </c>
      <c r="S160" s="59">
        <f ca="1">AVERAGE(OFFSET($R$3,0,0,'Données projet'!$E$9+1,1))-AVERAGE(OFFSET($H$3,0,0,'Données projet'!$E$9+1,1))</f>
        <v>443.34220761968419</v>
      </c>
      <c r="T160" s="59">
        <f t="shared" si="142"/>
        <v>546.58234447298014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14.313555492702029</v>
      </c>
      <c r="AA160" s="21">
        <f>EXP(-LN(2)/25)*AA159+(1-EXP(-LN(2)/25))/(LN(2)/25)*Calculateur!V160*Calculateur!X160*VLOOKUP('Données projet'!$B$9,Paramètres!$A$1:$I$89,3,0)*0.475*44/12</f>
        <v>0.64856107151254361</v>
      </c>
      <c r="AB160" s="21">
        <f>EXP(-LN(2)/2)*AB159+(1-EXP(-LN(2)/2))/(LN(2)/2)*V160*Y160*VLOOKUP('Données projet'!$B$9,Paramètres!$A$1:$I$89,3,0)*0.475*44/12</f>
        <v>4.6319236604258056E-19</v>
      </c>
      <c r="AC160" s="22">
        <f t="shared" si="163"/>
        <v>14.962116564214574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267</v>
      </c>
      <c r="AJ160" s="13">
        <f>AI160*VLOOKUP('Données projet'!$B$10,Paramètres!$A$1:$I$89,3,0)*VLOOKUP('Données projet'!$B$10,Paramètres!$A$1:$I$89,5,0)</f>
        <v>241.58159999999998</v>
      </c>
      <c r="AK160" s="13">
        <f t="shared" si="164"/>
        <v>58.779689232021951</v>
      </c>
      <c r="AL160" s="20">
        <f t="shared" si="165"/>
        <v>523.12924541243819</v>
      </c>
      <c r="AM160" s="59">
        <f t="shared" si="113"/>
        <v>816.46257874577145</v>
      </c>
      <c r="AN160" s="59">
        <f ca="1">AVERAGE(OFFSET($AM$3,0,0,'Données projet'!$E$10+1,1))-AVERAGE(OFFSET($H$3,0,0,'Données projet'!$E$10+1,1))</f>
        <v>364.3481978218424</v>
      </c>
      <c r="AO160" s="59">
        <f t="shared" si="144"/>
        <v>231.36959598460686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32.900914756105976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32.900914756105976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267</v>
      </c>
      <c r="BE160" s="13">
        <f>BD160*VLOOKUP('Données projet'!$B$11,Paramètres!$A$1:$I$89,3,0)*VLOOKUP('Données projet'!$B$11,Paramètres!$A$1:$I$89,5,0)</f>
        <v>270.738</v>
      </c>
      <c r="BF160" s="13">
        <f t="shared" si="167"/>
        <v>65.005866623551711</v>
      </c>
      <c r="BG160" s="20">
        <f t="shared" si="168"/>
        <v>584.7539010360191</v>
      </c>
      <c r="BH160" s="59">
        <f t="shared" si="116"/>
        <v>878.08723436935247</v>
      </c>
      <c r="BI160" s="59">
        <f ca="1">AVERAGE(OFFSET($BH$3,0,0,'Données projet'!$E$11+1,1))-AVERAGE(OFFSET($H$3,0,0,'Données projet'!$E$11+1,1))</f>
        <v>403.50418598112844</v>
      </c>
      <c r="BJ160" s="59">
        <f t="shared" si="146"/>
        <v>254.25036207346591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36.871714812877379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36.871714812877379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636.99999999999977</v>
      </c>
      <c r="O161" s="13">
        <f>N161*VLOOKUP('Données projet'!$B$9,Paramètres!$A$1:$I$89,3,0)*VLOOKUP('Données projet'!$B$9,Paramètres!$A$1:$I$89,5,0)</f>
        <v>356.08299999999991</v>
      </c>
      <c r="P161" s="13">
        <f t="shared" si="141"/>
        <v>82.813805255716545</v>
      </c>
      <c r="Q161" s="20">
        <f t="shared" si="162"/>
        <v>764.41193582037283</v>
      </c>
      <c r="R161" s="59">
        <f t="shared" si="109"/>
        <v>1057.7452691537062</v>
      </c>
      <c r="S161" s="59">
        <f ca="1">AVERAGE(OFFSET($R$3,0,0,'Données projet'!$E$9+1,1))-AVERAGE(OFFSET($H$3,0,0,'Données projet'!$E$9+1,1))</f>
        <v>443.34220761968419</v>
      </c>
      <c r="T161" s="59">
        <f t="shared" si="142"/>
        <v>546.58234447298014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14.032875399896938</v>
      </c>
      <c r="AA161" s="21">
        <f>EXP(-LN(2)/25)*AA160+(1-EXP(-LN(2)/25))/(LN(2)/25)*Calculateur!V161*Calculateur!X161*VLOOKUP('Données projet'!$B$9,Paramètres!$A$1:$I$89,3,0)*0.475*44/12</f>
        <v>0.63082613490568862</v>
      </c>
      <c r="AB161" s="21">
        <f>EXP(-LN(2)/2)*AB160+(1-EXP(-LN(2)/2))/(LN(2)/2)*V161*Y161*VLOOKUP('Données projet'!$B$9,Paramètres!$A$1:$I$89,3,0)*0.475*44/12</f>
        <v>3.2752646302255024E-19</v>
      </c>
      <c r="AC161" s="22">
        <f t="shared" si="163"/>
        <v>14.663701534802627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267</v>
      </c>
      <c r="AJ161" s="13">
        <f>AI161*VLOOKUP('Données projet'!$B$10,Paramètres!$A$1:$I$89,3,0)*VLOOKUP('Données projet'!$B$10,Paramètres!$A$1:$I$89,5,0)</f>
        <v>241.58159999999998</v>
      </c>
      <c r="AK161" s="13">
        <f t="shared" si="164"/>
        <v>58.779689232021951</v>
      </c>
      <c r="AL161" s="20">
        <f t="shared" si="165"/>
        <v>523.12924541243819</v>
      </c>
      <c r="AM161" s="59">
        <f t="shared" si="113"/>
        <v>816.46257874577145</v>
      </c>
      <c r="AN161" s="59">
        <f ca="1">AVERAGE(OFFSET($AM$3,0,0,'Données projet'!$E$10+1,1))-AVERAGE(OFFSET($H$3,0,0,'Données projet'!$E$10+1,1))</f>
        <v>364.3481978218424</v>
      </c>
      <c r="AO161" s="59">
        <f t="shared" si="144"/>
        <v>231.36959598460686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32.25574788531523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32.25574788531523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267</v>
      </c>
      <c r="BE161" s="13">
        <f>BD161*VLOOKUP('Données projet'!$B$11,Paramètres!$A$1:$I$89,3,0)*VLOOKUP('Données projet'!$B$11,Paramètres!$A$1:$I$89,5,0)</f>
        <v>270.738</v>
      </c>
      <c r="BF161" s="13">
        <f t="shared" si="167"/>
        <v>65.005866623551711</v>
      </c>
      <c r="BG161" s="20">
        <f t="shared" si="168"/>
        <v>584.7539010360191</v>
      </c>
      <c r="BH161" s="59">
        <f t="shared" si="116"/>
        <v>878.08723436935247</v>
      </c>
      <c r="BI161" s="59">
        <f ca="1">AVERAGE(OFFSET($BH$3,0,0,'Données projet'!$E$11+1,1))-AVERAGE(OFFSET($H$3,0,0,'Données projet'!$E$11+1,1))</f>
        <v>403.50418598112844</v>
      </c>
      <c r="BJ161" s="59">
        <f t="shared" si="146"/>
        <v>254.25036207346591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36.148682974922231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36.148682974922231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636.99999999999977</v>
      </c>
      <c r="O162" s="13">
        <f>N162*VLOOKUP('Données projet'!$B$9,Paramètres!$A$1:$I$89,3,0)*VLOOKUP('Données projet'!$B$9,Paramètres!$A$1:$I$89,5,0)</f>
        <v>356.08299999999991</v>
      </c>
      <c r="P162" s="13">
        <f t="shared" si="141"/>
        <v>82.813805255716545</v>
      </c>
      <c r="Q162" s="20">
        <f t="shared" si="162"/>
        <v>764.41193582037283</v>
      </c>
      <c r="R162" s="59">
        <f t="shared" si="109"/>
        <v>1057.7452691537062</v>
      </c>
      <c r="S162" s="59">
        <f ca="1">AVERAGE(OFFSET($R$3,0,0,'Données projet'!$E$9+1,1))-AVERAGE(OFFSET($H$3,0,0,'Données projet'!$E$9+1,1))</f>
        <v>443.34220761968419</v>
      </c>
      <c r="T162" s="59">
        <f t="shared" si="142"/>
        <v>546.58234447298014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13.757699272513801</v>
      </c>
      <c r="AA162" s="21">
        <f>EXP(-LN(2)/25)*AA161+(1-EXP(-LN(2)/25))/(LN(2)/25)*Calculateur!V162*Calculateur!X162*VLOOKUP('Données projet'!$B$9,Paramètres!$A$1:$I$89,3,0)*0.475*44/12</f>
        <v>0.61357616107298785</v>
      </c>
      <c r="AB162" s="21">
        <f>EXP(-LN(2)/2)*AB161+(1-EXP(-LN(2)/2))/(LN(2)/2)*V162*Y162*VLOOKUP('Données projet'!$B$9,Paramètres!$A$1:$I$89,3,0)*0.475*44/12</f>
        <v>2.3159618302129028E-19</v>
      </c>
      <c r="AC162" s="22">
        <f t="shared" si="163"/>
        <v>14.371275433586788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267</v>
      </c>
      <c r="AJ162" s="13">
        <f>AI162*VLOOKUP('Données projet'!$B$10,Paramètres!$A$1:$I$89,3,0)*VLOOKUP('Données projet'!$B$10,Paramètres!$A$1:$I$89,5,0)</f>
        <v>241.58159999999998</v>
      </c>
      <c r="AK162" s="13">
        <f t="shared" si="164"/>
        <v>58.779689232021951</v>
      </c>
      <c r="AL162" s="20">
        <f t="shared" si="165"/>
        <v>523.12924541243819</v>
      </c>
      <c r="AM162" s="59">
        <f t="shared" si="113"/>
        <v>816.46257874577145</v>
      </c>
      <c r="AN162" s="59">
        <f ca="1">AVERAGE(OFFSET($AM$3,0,0,'Données projet'!$E$10+1,1))-AVERAGE(OFFSET($H$3,0,0,'Données projet'!$E$10+1,1))</f>
        <v>364.3481978218424</v>
      </c>
      <c r="AO162" s="59">
        <f t="shared" si="144"/>
        <v>231.36959598460686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31.623232343347755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31.623232343347755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267</v>
      </c>
      <c r="BE162" s="13">
        <f>BD162*VLOOKUP('Données projet'!$B$11,Paramètres!$A$1:$I$89,3,0)*VLOOKUP('Données projet'!$B$11,Paramètres!$A$1:$I$89,5,0)</f>
        <v>270.738</v>
      </c>
      <c r="BF162" s="13">
        <f t="shared" si="167"/>
        <v>65.005866623551711</v>
      </c>
      <c r="BG162" s="20">
        <f t="shared" si="168"/>
        <v>584.7539010360191</v>
      </c>
      <c r="BH162" s="59">
        <f t="shared" si="116"/>
        <v>878.08723436935247</v>
      </c>
      <c r="BI162" s="59">
        <f ca="1">AVERAGE(OFFSET($BH$3,0,0,'Données projet'!$E$11+1,1))-AVERAGE(OFFSET($H$3,0,0,'Données projet'!$E$11+1,1))</f>
        <v>403.50418598112844</v>
      </c>
      <c r="BJ162" s="59">
        <f t="shared" si="146"/>
        <v>254.25036207346591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35.439829350303512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35.439829350303512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636.99999999999977</v>
      </c>
      <c r="O163" s="13">
        <f>N163*VLOOKUP('Données projet'!$B$9,Paramètres!$A$1:$I$89,3,0)*VLOOKUP('Données projet'!$B$9,Paramètres!$A$1:$I$89,5,0)</f>
        <v>356.08299999999991</v>
      </c>
      <c r="P163" s="13">
        <f t="shared" si="141"/>
        <v>82.813805255716545</v>
      </c>
      <c r="Q163" s="20">
        <f t="shared" si="162"/>
        <v>764.41193582037283</v>
      </c>
      <c r="R163" s="59">
        <f t="shared" si="109"/>
        <v>1057.7452691537062</v>
      </c>
      <c r="S163" s="59">
        <f ca="1">AVERAGE(OFFSET($R$3,0,0,'Données projet'!$E$9+1,1))-AVERAGE(OFFSET($H$3,0,0,'Données projet'!$E$9+1,1))</f>
        <v>443.34220761968419</v>
      </c>
      <c r="T163" s="59">
        <f t="shared" si="142"/>
        <v>546.58234447298014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13.487919181147783</v>
      </c>
      <c r="AA163" s="21">
        <f>EXP(-LN(2)/25)*AA162+(1-EXP(-LN(2)/25))/(LN(2)/25)*Calculateur!V163*Calculateur!X163*VLOOKUP('Données projet'!$B$9,Paramètres!$A$1:$I$89,3,0)*0.475*44/12</f>
        <v>0.596797888681879</v>
      </c>
      <c r="AB163" s="21">
        <f>EXP(-LN(2)/2)*AB162+(1-EXP(-LN(2)/2))/(LN(2)/2)*V163*Y163*VLOOKUP('Données projet'!$B$9,Paramètres!$A$1:$I$89,3,0)*0.475*44/12</f>
        <v>1.6376323151127512E-19</v>
      </c>
      <c r="AC163" s="22">
        <f t="shared" si="163"/>
        <v>14.084717069829662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267</v>
      </c>
      <c r="AJ163" s="13">
        <f>AI163*VLOOKUP('Données projet'!$B$10,Paramètres!$A$1:$I$89,3,0)*VLOOKUP('Données projet'!$B$10,Paramètres!$A$1:$I$89,5,0)</f>
        <v>241.58159999999998</v>
      </c>
      <c r="AK163" s="13">
        <f t="shared" si="164"/>
        <v>58.779689232021951</v>
      </c>
      <c r="AL163" s="20">
        <f t="shared" si="165"/>
        <v>523.12924541243819</v>
      </c>
      <c r="AM163" s="59">
        <f t="shared" si="113"/>
        <v>816.46257874577145</v>
      </c>
      <c r="AN163" s="59">
        <f ca="1">AVERAGE(OFFSET($AM$3,0,0,'Données projet'!$E$10+1,1))-AVERAGE(OFFSET($H$3,0,0,'Données projet'!$E$10+1,1))</f>
        <v>364.3481978218424</v>
      </c>
      <c r="AO163" s="59">
        <f t="shared" si="144"/>
        <v>231.36959598460686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31.003120045361879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31.003120045361879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267</v>
      </c>
      <c r="BE163" s="13">
        <f>BD163*VLOOKUP('Données projet'!$B$11,Paramètres!$A$1:$I$89,3,0)*VLOOKUP('Données projet'!$B$11,Paramètres!$A$1:$I$89,5,0)</f>
        <v>270.738</v>
      </c>
      <c r="BF163" s="13">
        <f t="shared" si="167"/>
        <v>65.005866623551711</v>
      </c>
      <c r="BG163" s="20">
        <f t="shared" si="168"/>
        <v>584.7539010360191</v>
      </c>
      <c r="BH163" s="59">
        <f t="shared" si="116"/>
        <v>878.08723436935247</v>
      </c>
      <c r="BI163" s="59">
        <f ca="1">AVERAGE(OFFSET($BH$3,0,0,'Données projet'!$E$11+1,1))-AVERAGE(OFFSET($H$3,0,0,'Données projet'!$E$11+1,1))</f>
        <v>403.50418598112844</v>
      </c>
      <c r="BJ163" s="59">
        <f t="shared" si="146"/>
        <v>254.25036207346591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34.744875912905542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34.744875912905542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636.99999999999977</v>
      </c>
      <c r="O164" s="13">
        <f>N164*VLOOKUP('Données projet'!$B$9,Paramètres!$A$1:$I$89,3,0)*VLOOKUP('Données projet'!$B$9,Paramètres!$A$1:$I$89,5,0)</f>
        <v>356.08299999999991</v>
      </c>
      <c r="P164" s="13">
        <f t="shared" si="141"/>
        <v>82.813805255716545</v>
      </c>
      <c r="Q164" s="20">
        <f t="shared" si="162"/>
        <v>764.41193582037283</v>
      </c>
      <c r="R164" s="59">
        <f t="shared" si="109"/>
        <v>1057.7452691537062</v>
      </c>
      <c r="S164" s="59">
        <f ca="1">AVERAGE(OFFSET($R$3,0,0,'Données projet'!$E$9+1,1))-AVERAGE(OFFSET($H$3,0,0,'Données projet'!$E$9+1,1))</f>
        <v>443.34220761968419</v>
      </c>
      <c r="T164" s="59">
        <f t="shared" si="142"/>
        <v>546.58234447298014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13.223429312823844</v>
      </c>
      <c r="AA164" s="21">
        <f>EXP(-LN(2)/25)*AA163+(1-EXP(-LN(2)/25))/(LN(2)/25)*Calculateur!V164*Calculateur!X164*VLOOKUP('Données projet'!$B$9,Paramètres!$A$1:$I$89,3,0)*0.475*44/12</f>
        <v>0.58047841903163599</v>
      </c>
      <c r="AB164" s="21">
        <f>EXP(-LN(2)/2)*AB163+(1-EXP(-LN(2)/2))/(LN(2)/2)*V164*Y164*VLOOKUP('Données projet'!$B$9,Paramètres!$A$1:$I$89,3,0)*0.475*44/12</f>
        <v>1.1579809151064514E-19</v>
      </c>
      <c r="AC164" s="22">
        <f t="shared" si="163"/>
        <v>13.80390773185548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267</v>
      </c>
      <c r="AJ164" s="13">
        <f>AI164*VLOOKUP('Données projet'!$B$10,Paramètres!$A$1:$I$89,3,0)*VLOOKUP('Données projet'!$B$10,Paramètres!$A$1:$I$89,5,0)</f>
        <v>241.58159999999998</v>
      </c>
      <c r="AK164" s="13">
        <f t="shared" si="164"/>
        <v>58.779689232021951</v>
      </c>
      <c r="AL164" s="20">
        <f t="shared" si="165"/>
        <v>523.12924541243819</v>
      </c>
      <c r="AM164" s="59">
        <f t="shared" si="113"/>
        <v>816.46257874577145</v>
      </c>
      <c r="AN164" s="59">
        <f ca="1">AVERAGE(OFFSET($AM$3,0,0,'Données projet'!$E$10+1,1))-AVERAGE(OFFSET($H$3,0,0,'Données projet'!$E$10+1,1))</f>
        <v>364.3481978218424</v>
      </c>
      <c r="AO164" s="59">
        <f t="shared" si="144"/>
        <v>231.36959598460686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30.395167771308348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30.395167771308348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267</v>
      </c>
      <c r="BE164" s="13">
        <f>BD164*VLOOKUP('Données projet'!$B$11,Paramètres!$A$1:$I$89,3,0)*VLOOKUP('Données projet'!$B$11,Paramètres!$A$1:$I$89,5,0)</f>
        <v>270.738</v>
      </c>
      <c r="BF164" s="13">
        <f t="shared" si="167"/>
        <v>65.005866623551711</v>
      </c>
      <c r="BG164" s="20">
        <f t="shared" si="168"/>
        <v>584.7539010360191</v>
      </c>
      <c r="BH164" s="59">
        <f t="shared" si="116"/>
        <v>878.08723436935247</v>
      </c>
      <c r="BI164" s="59">
        <f ca="1">AVERAGE(OFFSET($BH$3,0,0,'Données projet'!$E$11+1,1))-AVERAGE(OFFSET($H$3,0,0,'Données projet'!$E$11+1,1))</f>
        <v>403.50418598112844</v>
      </c>
      <c r="BJ164" s="59">
        <f t="shared" si="146"/>
        <v>254.25036207346591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34.063550088535209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34.063550088535209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636.99999999999977</v>
      </c>
      <c r="O165" s="13">
        <f>N165*VLOOKUP('Données projet'!$B$9,Paramètres!$A$1:$I$89,3,0)*VLOOKUP('Données projet'!$B$9,Paramètres!$A$1:$I$89,5,0)</f>
        <v>356.08299999999991</v>
      </c>
      <c r="P165" s="13">
        <f t="shared" si="141"/>
        <v>82.813805255716545</v>
      </c>
      <c r="Q165" s="20">
        <f t="shared" si="162"/>
        <v>764.41193582037283</v>
      </c>
      <c r="R165" s="59">
        <f t="shared" si="109"/>
        <v>1057.7452691537062</v>
      </c>
      <c r="S165" s="59">
        <f ca="1">AVERAGE(OFFSET($R$3,0,0,'Données projet'!$E$9+1,1))-AVERAGE(OFFSET($H$3,0,0,'Données projet'!$E$9+1,1))</f>
        <v>443.34220761968419</v>
      </c>
      <c r="T165" s="59">
        <f t="shared" si="142"/>
        <v>546.58234447298014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12.964125929494848</v>
      </c>
      <c r="AA165" s="21">
        <f>EXP(-LN(2)/25)*AA164+(1-EXP(-LN(2)/25))/(LN(2)/25)*Calculateur!V165*Calculateur!X165*VLOOKUP('Données projet'!$B$9,Paramètres!$A$1:$I$89,3,0)*0.475*44/12</f>
        <v>0.56460520613718257</v>
      </c>
      <c r="AB165" s="21">
        <f>EXP(-LN(2)/2)*AB164+(1-EXP(-LN(2)/2))/(LN(2)/2)*V165*Y165*VLOOKUP('Données projet'!$B$9,Paramètres!$A$1:$I$89,3,0)*0.475*44/12</f>
        <v>8.188161575563756E-20</v>
      </c>
      <c r="AC165" s="22">
        <f t="shared" si="163"/>
        <v>13.528731135632031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267</v>
      </c>
      <c r="AJ165" s="13">
        <f>AI165*VLOOKUP('Données projet'!$B$10,Paramètres!$A$1:$I$89,3,0)*VLOOKUP('Données projet'!$B$10,Paramètres!$A$1:$I$89,5,0)</f>
        <v>241.58159999999998</v>
      </c>
      <c r="AK165" s="13">
        <f t="shared" si="164"/>
        <v>58.779689232021951</v>
      </c>
      <c r="AL165" s="20">
        <f t="shared" si="165"/>
        <v>523.12924541243819</v>
      </c>
      <c r="AM165" s="59">
        <f t="shared" si="113"/>
        <v>816.46257874577145</v>
      </c>
      <c r="AN165" s="59">
        <f ca="1">AVERAGE(OFFSET($AM$3,0,0,'Données projet'!$E$10+1,1))-AVERAGE(OFFSET($H$3,0,0,'Données projet'!$E$10+1,1))</f>
        <v>364.3481978218424</v>
      </c>
      <c r="AO165" s="59">
        <f t="shared" si="144"/>
        <v>231.36959598460686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29.799137070534737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29.799137070534737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267</v>
      </c>
      <c r="BE165" s="13">
        <f>BD165*VLOOKUP('Données projet'!$B$11,Paramètres!$A$1:$I$89,3,0)*VLOOKUP('Données projet'!$B$11,Paramètres!$A$1:$I$89,5,0)</f>
        <v>270.738</v>
      </c>
      <c r="BF165" s="13">
        <f t="shared" si="167"/>
        <v>65.005866623551711</v>
      </c>
      <c r="BG165" s="20">
        <f t="shared" si="168"/>
        <v>584.7539010360191</v>
      </c>
      <c r="BH165" s="59">
        <f t="shared" si="116"/>
        <v>878.08723436935247</v>
      </c>
      <c r="BI165" s="59">
        <f ca="1">AVERAGE(OFFSET($BH$3,0,0,'Données projet'!$E$11+1,1))-AVERAGE(OFFSET($H$3,0,0,'Données projet'!$E$11+1,1))</f>
        <v>403.50418598112844</v>
      </c>
      <c r="BJ165" s="59">
        <f t="shared" si="146"/>
        <v>254.25036207346591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33.395584648013056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33.395584648013056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636.99999999999977</v>
      </c>
      <c r="O166" s="13">
        <f>N166*VLOOKUP('Données projet'!$B$9,Paramètres!$A$1:$I$89,3,0)*VLOOKUP('Données projet'!$B$9,Paramètres!$A$1:$I$89,5,0)</f>
        <v>356.08299999999991</v>
      </c>
      <c r="P166" s="13">
        <f t="shared" si="141"/>
        <v>82.813805255716545</v>
      </c>
      <c r="Q166" s="20">
        <f t="shared" si="162"/>
        <v>764.41193582037283</v>
      </c>
      <c r="R166" s="59">
        <f t="shared" si="109"/>
        <v>1057.7452691537062</v>
      </c>
      <c r="S166" s="59">
        <f ca="1">AVERAGE(OFFSET($R$3,0,0,'Données projet'!$E$9+1,1))-AVERAGE(OFFSET($H$3,0,0,'Données projet'!$E$9+1,1))</f>
        <v>443.34220761968419</v>
      </c>
      <c r="T166" s="59">
        <f t="shared" si="142"/>
        <v>546.58234447298014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12.709907327353486</v>
      </c>
      <c r="AA166" s="21">
        <f>EXP(-LN(2)/25)*AA165+(1-EXP(-LN(2)/25))/(LN(2)/25)*Calculateur!V166*Calculateur!X166*VLOOKUP('Données projet'!$B$9,Paramètres!$A$1:$I$89,3,0)*0.475*44/12</f>
        <v>0.54916604708406391</v>
      </c>
      <c r="AB166" s="21">
        <f>EXP(-LN(2)/2)*AB165+(1-EXP(-LN(2)/2))/(LN(2)/2)*V166*Y166*VLOOKUP('Données projet'!$B$9,Paramètres!$A$1:$I$89,3,0)*0.475*44/12</f>
        <v>5.789904575532257E-20</v>
      </c>
      <c r="AC166" s="22">
        <f t="shared" si="163"/>
        <v>13.25907337443755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267</v>
      </c>
      <c r="AJ166" s="13">
        <f>AI166*VLOOKUP('Données projet'!$B$10,Paramètres!$A$1:$I$89,3,0)*VLOOKUP('Données projet'!$B$10,Paramètres!$A$1:$I$89,5,0)</f>
        <v>241.58159999999998</v>
      </c>
      <c r="AK166" s="13">
        <f t="shared" si="164"/>
        <v>58.779689232021951</v>
      </c>
      <c r="AL166" s="20">
        <f t="shared" si="165"/>
        <v>523.12924541243819</v>
      </c>
      <c r="AM166" s="59">
        <f t="shared" si="113"/>
        <v>816.46257874577145</v>
      </c>
      <c r="AN166" s="59">
        <f ca="1">AVERAGE(OFFSET($AM$3,0,0,'Données projet'!$E$10+1,1))-AVERAGE(OFFSET($H$3,0,0,'Données projet'!$E$10+1,1))</f>
        <v>364.3481978218424</v>
      </c>
      <c r="AO166" s="59">
        <f t="shared" si="144"/>
        <v>231.36959598460686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29.214794168260465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29.214794168260465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267</v>
      </c>
      <c r="BE166" s="13">
        <f>BD166*VLOOKUP('Données projet'!$B$11,Paramètres!$A$1:$I$89,3,0)*VLOOKUP('Données projet'!$B$11,Paramètres!$A$1:$I$89,5,0)</f>
        <v>270.738</v>
      </c>
      <c r="BF166" s="13">
        <f t="shared" si="167"/>
        <v>65.005866623551711</v>
      </c>
      <c r="BG166" s="20">
        <f t="shared" si="168"/>
        <v>584.7539010360191</v>
      </c>
      <c r="BH166" s="59">
        <f t="shared" si="116"/>
        <v>878.08723436935247</v>
      </c>
      <c r="BI166" s="59">
        <f ca="1">AVERAGE(OFFSET($BH$3,0,0,'Données projet'!$E$11+1,1))-AVERAGE(OFFSET($H$3,0,0,'Données projet'!$E$11+1,1))</f>
        <v>403.50418598112844</v>
      </c>
      <c r="BJ166" s="59">
        <f t="shared" si="146"/>
        <v>254.25036207346591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32.740717602360853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32.740717602360853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636.99999999999977</v>
      </c>
      <c r="O167" s="13">
        <f>N167*VLOOKUP('Données projet'!$B$9,Paramètres!$A$1:$I$89,3,0)*VLOOKUP('Données projet'!$B$9,Paramètres!$A$1:$I$89,5,0)</f>
        <v>356.08299999999991</v>
      </c>
      <c r="P167" s="13">
        <f t="shared" si="141"/>
        <v>82.813805255716545</v>
      </c>
      <c r="Q167" s="20">
        <f t="shared" si="162"/>
        <v>764.41193582037283</v>
      </c>
      <c r="R167" s="59">
        <f t="shared" si="109"/>
        <v>1057.7452691537062</v>
      </c>
      <c r="S167" s="59">
        <f ca="1">AVERAGE(OFFSET($R$3,0,0,'Données projet'!$E$9+1,1))-AVERAGE(OFFSET($H$3,0,0,'Données projet'!$E$9+1,1))</f>
        <v>443.34220761968419</v>
      </c>
      <c r="T167" s="59">
        <f t="shared" si="142"/>
        <v>546.58234447298014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12.46067379694208</v>
      </c>
      <c r="AA167" s="21">
        <f>EXP(-LN(2)/25)*AA166+(1-EXP(-LN(2)/25))/(LN(2)/25)*Calculateur!V167*Calculateur!X167*VLOOKUP('Données projet'!$B$9,Paramètres!$A$1:$I$89,3,0)*0.475*44/12</f>
        <v>0.53414907264716294</v>
      </c>
      <c r="AB167" s="21">
        <f>EXP(-LN(2)/2)*AB166+(1-EXP(-LN(2)/2))/(LN(2)/2)*V167*Y167*VLOOKUP('Données projet'!$B$9,Paramètres!$A$1:$I$89,3,0)*0.475*44/12</f>
        <v>4.094080787781878E-20</v>
      </c>
      <c r="AC167" s="22">
        <f t="shared" si="163"/>
        <v>12.994822869589242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267</v>
      </c>
      <c r="AJ167" s="13">
        <f>AI167*VLOOKUP('Données projet'!$B$10,Paramètres!$A$1:$I$89,3,0)*VLOOKUP('Données projet'!$B$10,Paramètres!$A$1:$I$89,5,0)</f>
        <v>241.58159999999998</v>
      </c>
      <c r="AK167" s="13">
        <f t="shared" si="164"/>
        <v>58.779689232021951</v>
      </c>
      <c r="AL167" s="20">
        <f t="shared" si="165"/>
        <v>523.12924541243819</v>
      </c>
      <c r="AM167" s="59">
        <f t="shared" si="113"/>
        <v>816.46257874577145</v>
      </c>
      <c r="AN167" s="59">
        <f ca="1">AVERAGE(OFFSET($AM$3,0,0,'Données projet'!$E$10+1,1))-AVERAGE(OFFSET($H$3,0,0,'Données projet'!$E$10+1,1))</f>
        <v>364.3481978218424</v>
      </c>
      <c r="AO167" s="59">
        <f t="shared" si="144"/>
        <v>231.36959598460686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28.641909873885812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28.641909873885812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267</v>
      </c>
      <c r="BE167" s="13">
        <f>BD167*VLOOKUP('Données projet'!$B$11,Paramètres!$A$1:$I$89,3,0)*VLOOKUP('Données projet'!$B$11,Paramètres!$A$1:$I$89,5,0)</f>
        <v>270.738</v>
      </c>
      <c r="BF167" s="13">
        <f t="shared" si="167"/>
        <v>65.005866623551711</v>
      </c>
      <c r="BG167" s="20">
        <f t="shared" si="168"/>
        <v>584.7539010360191</v>
      </c>
      <c r="BH167" s="59">
        <f t="shared" si="116"/>
        <v>878.08723436935247</v>
      </c>
      <c r="BI167" s="59">
        <f ca="1">AVERAGE(OFFSET($BH$3,0,0,'Données projet'!$E$11+1,1))-AVERAGE(OFFSET($H$3,0,0,'Données projet'!$E$11+1,1))</f>
        <v>403.50418598112844</v>
      </c>
      <c r="BJ167" s="59">
        <f t="shared" si="146"/>
        <v>254.25036207346591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32.098692100044431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32.098692100044431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636.99999999999977</v>
      </c>
      <c r="O168" s="13">
        <f>N168*VLOOKUP('Données projet'!$B$9,Paramètres!$A$1:$I$89,3,0)*VLOOKUP('Données projet'!$B$9,Paramètres!$A$1:$I$89,5,0)</f>
        <v>356.08299999999991</v>
      </c>
      <c r="P168" s="13">
        <f t="shared" si="141"/>
        <v>82.813805255716545</v>
      </c>
      <c r="Q168" s="20">
        <f t="shared" si="162"/>
        <v>764.41193582037283</v>
      </c>
      <c r="R168" s="59">
        <f t="shared" si="109"/>
        <v>1057.7452691537062</v>
      </c>
      <c r="S168" s="59">
        <f ca="1">AVERAGE(OFFSET($R$3,0,0,'Données projet'!$E$9+1,1))-AVERAGE(OFFSET($H$3,0,0,'Données projet'!$E$9+1,1))</f>
        <v>443.34220761968419</v>
      </c>
      <c r="T168" s="59">
        <f t="shared" si="142"/>
        <v>546.58234447298014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12.216327584044599</v>
      </c>
      <c r="AA168" s="21">
        <f>EXP(-LN(2)/25)*AA167+(1-EXP(-LN(2)/25))/(LN(2)/25)*Calculateur!V168*Calculateur!X168*VLOOKUP('Données projet'!$B$9,Paramètres!$A$1:$I$89,3,0)*0.475*44/12</f>
        <v>0.51954273816594732</v>
      </c>
      <c r="AB168" s="21">
        <f>EXP(-LN(2)/2)*AB167+(1-EXP(-LN(2)/2))/(LN(2)/2)*V168*Y168*VLOOKUP('Données projet'!$B$9,Paramètres!$A$1:$I$89,3,0)*0.475*44/12</f>
        <v>2.8949522877661285E-20</v>
      </c>
      <c r="AC168" s="22">
        <f t="shared" si="163"/>
        <v>12.735870322210546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267</v>
      </c>
      <c r="AJ168" s="13">
        <f>AI168*VLOOKUP('Données projet'!$B$10,Paramètres!$A$1:$I$89,3,0)*VLOOKUP('Données projet'!$B$10,Paramètres!$A$1:$I$89,5,0)</f>
        <v>241.58159999999998</v>
      </c>
      <c r="AK168" s="13">
        <f t="shared" si="164"/>
        <v>58.779689232021951</v>
      </c>
      <c r="AL168" s="20">
        <f t="shared" si="165"/>
        <v>523.12924541243819</v>
      </c>
      <c r="AM168" s="59">
        <f t="shared" si="113"/>
        <v>816.46257874577145</v>
      </c>
      <c r="AN168" s="59">
        <f ca="1">AVERAGE(OFFSET($AM$3,0,0,'Données projet'!$E$10+1,1))-AVERAGE(OFFSET($H$3,0,0,'Données projet'!$E$10+1,1))</f>
        <v>364.3481978218424</v>
      </c>
      <c r="AO168" s="59">
        <f t="shared" si="144"/>
        <v>231.36959598460686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28.080259491098932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28.080259491098932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267</v>
      </c>
      <c r="BE168" s="13">
        <f>BD168*VLOOKUP('Données projet'!$B$11,Paramètres!$A$1:$I$89,3,0)*VLOOKUP('Données projet'!$B$11,Paramètres!$A$1:$I$89,5,0)</f>
        <v>270.738</v>
      </c>
      <c r="BF168" s="13">
        <f t="shared" si="167"/>
        <v>65.005866623551711</v>
      </c>
      <c r="BG168" s="20">
        <f t="shared" si="168"/>
        <v>584.7539010360191</v>
      </c>
      <c r="BH168" s="59">
        <f t="shared" si="116"/>
        <v>878.08723436935247</v>
      </c>
      <c r="BI168" s="59">
        <f ca="1">AVERAGE(OFFSET($BH$3,0,0,'Données projet'!$E$11+1,1))-AVERAGE(OFFSET($H$3,0,0,'Données projet'!$E$11+1,1))</f>
        <v>403.50418598112844</v>
      </c>
      <c r="BJ168" s="59">
        <f t="shared" si="146"/>
        <v>254.25036207346591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31.469256326231548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31.469256326231548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636.99999999999977</v>
      </c>
      <c r="O169" s="13">
        <f>N169*VLOOKUP('Données projet'!$B$9,Paramètres!$A$1:$I$89,3,0)*VLOOKUP('Données projet'!$B$9,Paramètres!$A$1:$I$89,5,0)</f>
        <v>356.08299999999991</v>
      </c>
      <c r="P169" s="13">
        <f t="shared" si="141"/>
        <v>82.813805255716545</v>
      </c>
      <c r="Q169" s="20">
        <f t="shared" si="162"/>
        <v>764.41193582037283</v>
      </c>
      <c r="R169" s="59">
        <f t="shared" si="109"/>
        <v>1057.7452691537062</v>
      </c>
      <c r="S169" s="59">
        <f ca="1">AVERAGE(OFFSET($R$3,0,0,'Données projet'!$E$9+1,1))-AVERAGE(OFFSET($H$3,0,0,'Données projet'!$E$9+1,1))</f>
        <v>443.34220761968419</v>
      </c>
      <c r="T169" s="59">
        <f t="shared" si="142"/>
        <v>546.58234447298014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11.976772851345563</v>
      </c>
      <c r="AA169" s="21">
        <f>EXP(-LN(2)/25)*AA168+(1-EXP(-LN(2)/25))/(LN(2)/25)*Calculateur!V169*Calculateur!X169*VLOOKUP('Données projet'!$B$9,Paramètres!$A$1:$I$89,3,0)*0.475*44/12</f>
        <v>0.50533581466923427</v>
      </c>
      <c r="AB169" s="21">
        <f>EXP(-LN(2)/2)*AB168+(1-EXP(-LN(2)/2))/(LN(2)/2)*V169*Y169*VLOOKUP('Données projet'!$B$9,Paramètres!$A$1:$I$89,3,0)*0.475*44/12</f>
        <v>2.047040393890939E-20</v>
      </c>
      <c r="AC169" s="22">
        <f t="shared" si="163"/>
        <v>12.482108666014797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267</v>
      </c>
      <c r="AJ169" s="13">
        <f>AI169*VLOOKUP('Données projet'!$B$10,Paramètres!$A$1:$I$89,3,0)*VLOOKUP('Données projet'!$B$10,Paramètres!$A$1:$I$89,5,0)</f>
        <v>241.58159999999998</v>
      </c>
      <c r="AK169" s="13">
        <f t="shared" si="164"/>
        <v>58.779689232021951</v>
      </c>
      <c r="AL169" s="20">
        <f t="shared" si="165"/>
        <v>523.12924541243819</v>
      </c>
      <c r="AM169" s="59">
        <f t="shared" si="113"/>
        <v>816.46257874577145</v>
      </c>
      <c r="AN169" s="59">
        <f ca="1">AVERAGE(OFFSET($AM$3,0,0,'Données projet'!$E$10+1,1))-AVERAGE(OFFSET($H$3,0,0,'Données projet'!$E$10+1,1))</f>
        <v>364.3481978218424</v>
      </c>
      <c r="AO169" s="59">
        <f t="shared" si="144"/>
        <v>231.36959598460686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27.529622729745594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27.529622729745594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267</v>
      </c>
      <c r="BE169" s="13">
        <f>BD169*VLOOKUP('Données projet'!$B$11,Paramètres!$A$1:$I$89,3,0)*VLOOKUP('Données projet'!$B$11,Paramètres!$A$1:$I$89,5,0)</f>
        <v>270.738</v>
      </c>
      <c r="BF169" s="13">
        <f t="shared" si="167"/>
        <v>65.005866623551711</v>
      </c>
      <c r="BG169" s="20">
        <f t="shared" si="168"/>
        <v>584.7539010360191</v>
      </c>
      <c r="BH169" s="59">
        <f t="shared" si="116"/>
        <v>878.08723436935247</v>
      </c>
      <c r="BI169" s="59">
        <f ca="1">AVERAGE(OFFSET($BH$3,0,0,'Données projet'!$E$11+1,1))-AVERAGE(OFFSET($H$3,0,0,'Données projet'!$E$11+1,1))</f>
        <v>403.50418598112844</v>
      </c>
      <c r="BJ169" s="59">
        <f t="shared" si="146"/>
        <v>254.25036207346591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30.852163404025223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30.852163404025223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636.99999999999977</v>
      </c>
      <c r="O170" s="13">
        <f>N170*VLOOKUP('Données projet'!$B$9,Paramètres!$A$1:$I$89,3,0)*VLOOKUP('Données projet'!$B$9,Paramètres!$A$1:$I$89,5,0)</f>
        <v>356.08299999999991</v>
      </c>
      <c r="P170" s="13">
        <f t="shared" si="141"/>
        <v>82.813805255716545</v>
      </c>
      <c r="Q170" s="20">
        <f t="shared" si="162"/>
        <v>764.41193582037283</v>
      </c>
      <c r="R170" s="59">
        <f t="shared" si="109"/>
        <v>1057.7452691537062</v>
      </c>
      <c r="S170" s="59">
        <f ca="1">AVERAGE(OFFSET($R$3,0,0,'Données projet'!$E$9+1,1))-AVERAGE(OFFSET($H$3,0,0,'Données projet'!$E$9+1,1))</f>
        <v>443.34220761968419</v>
      </c>
      <c r="T170" s="59">
        <f t="shared" si="142"/>
        <v>546.58234447298014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11.741915640840796</v>
      </c>
      <c r="AA170" s="21">
        <f>EXP(-LN(2)/25)*AA169+(1-EXP(-LN(2)/25))/(LN(2)/25)*Calculateur!V170*Calculateur!X170*VLOOKUP('Données projet'!$B$9,Paramètres!$A$1:$I$89,3,0)*0.475*44/12</f>
        <v>0.49151738024264852</v>
      </c>
      <c r="AB170" s="21">
        <f>EXP(-LN(2)/2)*AB169+(1-EXP(-LN(2)/2))/(LN(2)/2)*V170*Y170*VLOOKUP('Données projet'!$B$9,Paramètres!$A$1:$I$89,3,0)*0.475*44/12</f>
        <v>1.4474761438830642E-20</v>
      </c>
      <c r="AC170" s="22">
        <f t="shared" si="163"/>
        <v>12.233433021083444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267</v>
      </c>
      <c r="AJ170" s="13">
        <f>AI170*VLOOKUP('Données projet'!$B$10,Paramètres!$A$1:$I$89,3,0)*VLOOKUP('Données projet'!$B$10,Paramètres!$A$1:$I$89,5,0)</f>
        <v>241.58159999999998</v>
      </c>
      <c r="AK170" s="13">
        <f t="shared" si="164"/>
        <v>58.779689232021951</v>
      </c>
      <c r="AL170" s="20">
        <f t="shared" si="165"/>
        <v>523.12924541243819</v>
      </c>
      <c r="AM170" s="59">
        <f t="shared" si="113"/>
        <v>816.46257874577145</v>
      </c>
      <c r="AN170" s="59">
        <f ca="1">AVERAGE(OFFSET($AM$3,0,0,'Données projet'!$E$10+1,1))-AVERAGE(OFFSET($H$3,0,0,'Données projet'!$E$10+1,1))</f>
        <v>364.3481978218424</v>
      </c>
      <c r="AO170" s="59">
        <f t="shared" si="144"/>
        <v>231.36959598460686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26.989783619427133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26.989783619427133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267</v>
      </c>
      <c r="BE170" s="13">
        <f>BD170*VLOOKUP('Données projet'!$B$11,Paramètres!$A$1:$I$89,3,0)*VLOOKUP('Données projet'!$B$11,Paramètres!$A$1:$I$89,5,0)</f>
        <v>270.738</v>
      </c>
      <c r="BF170" s="13">
        <f t="shared" si="167"/>
        <v>65.005866623551711</v>
      </c>
      <c r="BG170" s="20">
        <f t="shared" si="168"/>
        <v>584.7539010360191</v>
      </c>
      <c r="BH170" s="59">
        <f t="shared" si="116"/>
        <v>878.08723436935247</v>
      </c>
      <c r="BI170" s="59">
        <f ca="1">AVERAGE(OFFSET($BH$3,0,0,'Données projet'!$E$11+1,1))-AVERAGE(OFFSET($H$3,0,0,'Données projet'!$E$11+1,1))</f>
        <v>403.50418598112844</v>
      </c>
      <c r="BJ170" s="59">
        <f t="shared" si="146"/>
        <v>254.25036207346591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30.247171297633844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30.247171297633844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636.99999999999977</v>
      </c>
      <c r="O171" s="13">
        <f>N171*VLOOKUP('Données projet'!$B$9,Paramètres!$A$1:$I$89,3,0)*VLOOKUP('Données projet'!$B$9,Paramètres!$A$1:$I$89,5,0)</f>
        <v>356.08299999999991</v>
      </c>
      <c r="P171" s="13">
        <f t="shared" si="141"/>
        <v>82.813805255716545</v>
      </c>
      <c r="Q171" s="20">
        <f t="shared" si="162"/>
        <v>764.41193582037283</v>
      </c>
      <c r="R171" s="59">
        <f t="shared" si="109"/>
        <v>1057.7452691537062</v>
      </c>
      <c r="S171" s="59">
        <f ca="1">AVERAGE(OFFSET($R$3,0,0,'Données projet'!$E$9+1,1))-AVERAGE(OFFSET($H$3,0,0,'Données projet'!$E$9+1,1))</f>
        <v>443.34220761968419</v>
      </c>
      <c r="T171" s="59">
        <f t="shared" si="142"/>
        <v>546.58234447298014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11.511663836985274</v>
      </c>
      <c r="AA171" s="21">
        <f>EXP(-LN(2)/25)*AA170+(1-EXP(-LN(2)/25))/(LN(2)/25)*Calculateur!V171*Calculateur!X171*VLOOKUP('Données projet'!$B$9,Paramètres!$A$1:$I$89,3,0)*0.475*44/12</f>
        <v>0.47807681163213767</v>
      </c>
      <c r="AB171" s="21">
        <f>EXP(-LN(2)/2)*AB170+(1-EXP(-LN(2)/2))/(LN(2)/2)*V171*Y171*VLOOKUP('Données projet'!$B$9,Paramètres!$A$1:$I$89,3,0)*0.475*44/12</f>
        <v>1.0235201969454695E-20</v>
      </c>
      <c r="AC171" s="22">
        <f t="shared" si="163"/>
        <v>11.989740648617412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267</v>
      </c>
      <c r="AJ171" s="13">
        <f>AI171*VLOOKUP('Données projet'!$B$10,Paramètres!$A$1:$I$89,3,0)*VLOOKUP('Données projet'!$B$10,Paramètres!$A$1:$I$89,5,0)</f>
        <v>241.58159999999998</v>
      </c>
      <c r="AK171" s="13">
        <f t="shared" si="164"/>
        <v>58.779689232021951</v>
      </c>
      <c r="AL171" s="20">
        <f t="shared" si="165"/>
        <v>523.12924541243819</v>
      </c>
      <c r="AM171" s="59">
        <f t="shared" si="113"/>
        <v>816.46257874577145</v>
      </c>
      <c r="AN171" s="59">
        <f ca="1">AVERAGE(OFFSET($AM$3,0,0,'Données projet'!$E$10+1,1))-AVERAGE(OFFSET($H$3,0,0,'Données projet'!$E$10+1,1))</f>
        <v>364.3481978218424</v>
      </c>
      <c r="AO171" s="59">
        <f t="shared" si="144"/>
        <v>231.36959598460686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26.460530424792672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26.460530424792672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267</v>
      </c>
      <c r="BE171" s="13">
        <f>BD171*VLOOKUP('Données projet'!$B$11,Paramètres!$A$1:$I$89,3,0)*VLOOKUP('Données projet'!$B$11,Paramètres!$A$1:$I$89,5,0)</f>
        <v>270.738</v>
      </c>
      <c r="BF171" s="13">
        <f t="shared" si="167"/>
        <v>65.005866623551711</v>
      </c>
      <c r="BG171" s="20">
        <f t="shared" si="168"/>
        <v>584.7539010360191</v>
      </c>
      <c r="BH171" s="59">
        <f t="shared" si="116"/>
        <v>878.08723436935247</v>
      </c>
      <c r="BI171" s="59">
        <f ca="1">AVERAGE(OFFSET($BH$3,0,0,'Données projet'!$E$11+1,1))-AVERAGE(OFFSET($H$3,0,0,'Données projet'!$E$11+1,1))</f>
        <v>403.50418598112844</v>
      </c>
      <c r="BJ171" s="59">
        <f t="shared" si="146"/>
        <v>254.25036207346591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29.654042717440053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29.654042717440053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636.99999999999977</v>
      </c>
      <c r="O172" s="13">
        <f>N172*VLOOKUP('Données projet'!$B$9,Paramètres!$A$1:$I$89,3,0)*VLOOKUP('Données projet'!$B$9,Paramètres!$A$1:$I$89,5,0)</f>
        <v>356.08299999999991</v>
      </c>
      <c r="P172" s="13">
        <f t="shared" si="141"/>
        <v>82.813805255716545</v>
      </c>
      <c r="Q172" s="20">
        <f t="shared" si="162"/>
        <v>764.41193582037283</v>
      </c>
      <c r="R172" s="59">
        <f t="shared" si="109"/>
        <v>1057.7452691537062</v>
      </c>
      <c r="S172" s="59">
        <f ca="1">AVERAGE(OFFSET($R$3,0,0,'Données projet'!$E$9+1,1))-AVERAGE(OFFSET($H$3,0,0,'Données projet'!$E$9+1,1))</f>
        <v>443.34220761968419</v>
      </c>
      <c r="T172" s="59">
        <f t="shared" si="142"/>
        <v>546.58234447298014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11.285927130563627</v>
      </c>
      <c r="AA172" s="21">
        <f>EXP(-LN(2)/25)*AA171+(1-EXP(-LN(2)/25))/(LN(2)/25)*Calculateur!V172*Calculateur!X172*VLOOKUP('Données projet'!$B$9,Paramètres!$A$1:$I$89,3,0)*0.475*44/12</f>
        <v>0.46500377607708998</v>
      </c>
      <c r="AB172" s="21">
        <f>EXP(-LN(2)/2)*AB171+(1-EXP(-LN(2)/2))/(LN(2)/2)*V172*Y172*VLOOKUP('Données projet'!$B$9,Paramètres!$A$1:$I$89,3,0)*0.475*44/12</f>
        <v>7.2373807194153212E-21</v>
      </c>
      <c r="AC172" s="22">
        <f t="shared" si="163"/>
        <v>11.750930906640717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267</v>
      </c>
      <c r="AJ172" s="13">
        <f>AI172*VLOOKUP('Données projet'!$B$10,Paramètres!$A$1:$I$89,3,0)*VLOOKUP('Données projet'!$B$10,Paramètres!$A$1:$I$89,5,0)</f>
        <v>241.58159999999998</v>
      </c>
      <c r="AK172" s="13">
        <f t="shared" si="164"/>
        <v>58.779689232021951</v>
      </c>
      <c r="AL172" s="20">
        <f t="shared" si="165"/>
        <v>523.12924541243819</v>
      </c>
      <c r="AM172" s="59">
        <f t="shared" si="113"/>
        <v>816.46257874577145</v>
      </c>
      <c r="AN172" s="59">
        <f ca="1">AVERAGE(OFFSET($AM$3,0,0,'Données projet'!$E$10+1,1))-AVERAGE(OFFSET($H$3,0,0,'Données projet'!$E$10+1,1))</f>
        <v>364.3481978218424</v>
      </c>
      <c r="AO172" s="59">
        <f t="shared" si="144"/>
        <v>231.36959598460686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25.941655562492421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25.941655562492421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267</v>
      </c>
      <c r="BE172" s="13">
        <f>BD172*VLOOKUP('Données projet'!$B$11,Paramètres!$A$1:$I$89,3,0)*VLOOKUP('Données projet'!$B$11,Paramètres!$A$1:$I$89,5,0)</f>
        <v>270.738</v>
      </c>
      <c r="BF172" s="13">
        <f t="shared" si="167"/>
        <v>65.005866623551711</v>
      </c>
      <c r="BG172" s="20">
        <f t="shared" si="168"/>
        <v>584.7539010360191</v>
      </c>
      <c r="BH172" s="59">
        <f t="shared" si="116"/>
        <v>878.08723436935247</v>
      </c>
      <c r="BI172" s="59">
        <f ca="1">AVERAGE(OFFSET($BH$3,0,0,'Données projet'!$E$11+1,1))-AVERAGE(OFFSET($H$3,0,0,'Données projet'!$E$11+1,1))</f>
        <v>403.50418598112844</v>
      </c>
      <c r="BJ172" s="59">
        <f t="shared" si="146"/>
        <v>254.25036207346591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29.072545026931149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29.072545026931149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636.99999999999977</v>
      </c>
      <c r="O173" s="13">
        <f>N173*VLOOKUP('Données projet'!$B$9,Paramètres!$A$1:$I$89,3,0)*VLOOKUP('Données projet'!$B$9,Paramètres!$A$1:$I$89,5,0)</f>
        <v>356.08299999999991</v>
      </c>
      <c r="P173" s="13">
        <f t="shared" si="141"/>
        <v>82.813805255716545</v>
      </c>
      <c r="Q173" s="20">
        <f t="shared" si="162"/>
        <v>764.41193582037283</v>
      </c>
      <c r="R173" s="59">
        <f t="shared" si="109"/>
        <v>1057.7452691537062</v>
      </c>
      <c r="S173" s="59">
        <f ca="1">AVERAGE(OFFSET($R$3,0,0,'Données projet'!$E$9+1,1))-AVERAGE(OFFSET($H$3,0,0,'Données projet'!$E$9+1,1))</f>
        <v>443.34220761968419</v>
      </c>
      <c r="T173" s="59">
        <f t="shared" si="142"/>
        <v>546.58234447298014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11.064616983269111</v>
      </c>
      <c r="AA173" s="21">
        <f>EXP(-LN(2)/25)*AA172+(1-EXP(-LN(2)/25))/(LN(2)/25)*Calculateur!V173*Calculateur!X173*VLOOKUP('Données projet'!$B$9,Paramètres!$A$1:$I$89,3,0)*0.475*44/12</f>
        <v>0.45228822336677615</v>
      </c>
      <c r="AB173" s="21">
        <f>EXP(-LN(2)/2)*AB172+(1-EXP(-LN(2)/2))/(LN(2)/2)*V173*Y173*VLOOKUP('Données projet'!$B$9,Paramètres!$A$1:$I$89,3,0)*0.475*44/12</f>
        <v>5.1176009847273475E-21</v>
      </c>
      <c r="AC173" s="22">
        <f t="shared" si="163"/>
        <v>11.516905206635888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267</v>
      </c>
      <c r="AJ173" s="13">
        <f>AI173*VLOOKUP('Données projet'!$B$10,Paramètres!$A$1:$I$89,3,0)*VLOOKUP('Données projet'!$B$10,Paramètres!$A$1:$I$89,5,0)</f>
        <v>241.58159999999998</v>
      </c>
      <c r="AK173" s="13">
        <f t="shared" si="164"/>
        <v>58.779689232021951</v>
      </c>
      <c r="AL173" s="20">
        <f t="shared" si="165"/>
        <v>523.12924541243819</v>
      </c>
      <c r="AM173" s="59">
        <f t="shared" si="113"/>
        <v>816.46257874577145</v>
      </c>
      <c r="AN173" s="59">
        <f ca="1">AVERAGE(OFFSET($AM$3,0,0,'Données projet'!$E$10+1,1))-AVERAGE(OFFSET($H$3,0,0,'Données projet'!$E$10+1,1))</f>
        <v>364.3481978218424</v>
      </c>
      <c r="AO173" s="59">
        <f t="shared" si="144"/>
        <v>231.36959598460686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25.43295551975946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25.43295551975946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267</v>
      </c>
      <c r="BE173" s="13">
        <f>BD173*VLOOKUP('Données projet'!$B$11,Paramètres!$A$1:$I$89,3,0)*VLOOKUP('Données projet'!$B$11,Paramètres!$A$1:$I$89,5,0)</f>
        <v>270.738</v>
      </c>
      <c r="BF173" s="13">
        <f t="shared" si="167"/>
        <v>65.005866623551711</v>
      </c>
      <c r="BG173" s="20">
        <f t="shared" si="168"/>
        <v>584.7539010360191</v>
      </c>
      <c r="BH173" s="59">
        <f t="shared" si="116"/>
        <v>878.08723436935247</v>
      </c>
      <c r="BI173" s="59">
        <f ca="1">AVERAGE(OFFSET($BH$3,0,0,'Données projet'!$E$11+1,1))-AVERAGE(OFFSET($H$3,0,0,'Données projet'!$E$11+1,1))</f>
        <v>403.50418598112844</v>
      </c>
      <c r="BJ173" s="59">
        <f t="shared" si="146"/>
        <v>254.25036207346591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28.502450151454557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28.502450151454557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636.99999999999977</v>
      </c>
      <c r="O174" s="13">
        <f>N174*VLOOKUP('Données projet'!$B$9,Paramètres!$A$1:$I$89,3,0)*VLOOKUP('Données projet'!$B$9,Paramètres!$A$1:$I$89,5,0)</f>
        <v>356.08299999999991</v>
      </c>
      <c r="P174" s="13">
        <f t="shared" si="141"/>
        <v>82.813805255716545</v>
      </c>
      <c r="Q174" s="20">
        <f t="shared" si="162"/>
        <v>764.41193582037283</v>
      </c>
      <c r="R174" s="59">
        <f t="shared" si="109"/>
        <v>1057.7452691537062</v>
      </c>
      <c r="S174" s="59">
        <f ca="1">AVERAGE(OFFSET($R$3,0,0,'Données projet'!$E$9+1,1))-AVERAGE(OFFSET($H$3,0,0,'Données projet'!$E$9+1,1))</f>
        <v>443.34220761968419</v>
      </c>
      <c r="T174" s="59">
        <f t="shared" si="142"/>
        <v>546.58234447298014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10.847646592977179</v>
      </c>
      <c r="AA174" s="21">
        <f>EXP(-LN(2)/25)*AA173+(1-EXP(-LN(2)/25))/(LN(2)/25)*Calculateur!V174*Calculateur!X174*VLOOKUP('Données projet'!$B$9,Paramètres!$A$1:$I$89,3,0)*0.475*44/12</f>
        <v>0.43992037811400769</v>
      </c>
      <c r="AB174" s="21">
        <f>EXP(-LN(2)/2)*AB173+(1-EXP(-LN(2)/2))/(LN(2)/2)*V174*Y174*VLOOKUP('Données projet'!$B$9,Paramètres!$A$1:$I$89,3,0)*0.475*44/12</f>
        <v>3.6186903597076606E-21</v>
      </c>
      <c r="AC174" s="22">
        <f t="shared" si="163"/>
        <v>11.287566971091188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267</v>
      </c>
      <c r="AJ174" s="13">
        <f>AI174*VLOOKUP('Données projet'!$B$10,Paramètres!$A$1:$I$89,3,0)*VLOOKUP('Données projet'!$B$10,Paramètres!$A$1:$I$89,5,0)</f>
        <v>241.58159999999998</v>
      </c>
      <c r="AK174" s="13">
        <f t="shared" si="164"/>
        <v>58.779689232021951</v>
      </c>
      <c r="AL174" s="20">
        <f t="shared" si="165"/>
        <v>523.12924541243819</v>
      </c>
      <c r="AM174" s="59">
        <f t="shared" si="113"/>
        <v>816.46257874577145</v>
      </c>
      <c r="AN174" s="59">
        <f ca="1">AVERAGE(OFFSET($AM$3,0,0,'Données projet'!$E$10+1,1))-AVERAGE(OFFSET($H$3,0,0,'Données projet'!$E$10+1,1))</f>
        <v>364.3481978218424</v>
      </c>
      <c r="AO174" s="59">
        <f t="shared" si="144"/>
        <v>231.36959598460686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24.934230774588105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24.934230774588105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267</v>
      </c>
      <c r="BE174" s="13">
        <f>BD174*VLOOKUP('Données projet'!$B$11,Paramètres!$A$1:$I$89,3,0)*VLOOKUP('Données projet'!$B$11,Paramètres!$A$1:$I$89,5,0)</f>
        <v>270.738</v>
      </c>
      <c r="BF174" s="13">
        <f t="shared" si="167"/>
        <v>65.005866623551711</v>
      </c>
      <c r="BG174" s="20">
        <f t="shared" si="168"/>
        <v>584.7539010360191</v>
      </c>
      <c r="BH174" s="59">
        <f t="shared" si="116"/>
        <v>878.08723436935247</v>
      </c>
      <c r="BI174" s="59">
        <f ca="1">AVERAGE(OFFSET($BH$3,0,0,'Données projet'!$E$11+1,1))-AVERAGE(OFFSET($H$3,0,0,'Données projet'!$E$11+1,1))</f>
        <v>403.50418598112844</v>
      </c>
      <c r="BJ174" s="59">
        <f t="shared" si="146"/>
        <v>254.25036207346591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27.94353448876252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27.94353448876252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636.99999999999977</v>
      </c>
      <c r="O175" s="13">
        <f>N175*VLOOKUP('Données projet'!$B$9,Paramètres!$A$1:$I$89,3,0)*VLOOKUP('Données projet'!$B$9,Paramètres!$A$1:$I$89,5,0)</f>
        <v>356.08299999999991</v>
      </c>
      <c r="P175" s="13">
        <f t="shared" si="141"/>
        <v>82.813805255716545</v>
      </c>
      <c r="Q175" s="20">
        <f t="shared" si="162"/>
        <v>764.41193582037283</v>
      </c>
      <c r="R175" s="59">
        <f t="shared" si="109"/>
        <v>1057.7452691537062</v>
      </c>
      <c r="S175" s="59">
        <f ca="1">AVERAGE(OFFSET($R$3,0,0,'Données projet'!$E$9+1,1))-AVERAGE(OFFSET($H$3,0,0,'Données projet'!$E$9+1,1))</f>
        <v>443.34220761968419</v>
      </c>
      <c r="T175" s="59">
        <f t="shared" si="142"/>
        <v>546.58234447298014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10.634930859700003</v>
      </c>
      <c r="AA175" s="21">
        <f>EXP(-LN(2)/25)*AA174+(1-EXP(-LN(2)/25))/(LN(2)/25)*Calculateur!V175*Calculateur!X175*VLOOKUP('Données projet'!$B$9,Paramètres!$A$1:$I$89,3,0)*0.475*44/12</f>
        <v>0.4278907322400729</v>
      </c>
      <c r="AB175" s="21">
        <f>EXP(-LN(2)/2)*AB174+(1-EXP(-LN(2)/2))/(LN(2)/2)*V175*Y175*VLOOKUP('Données projet'!$B$9,Paramètres!$A$1:$I$89,3,0)*0.475*44/12</f>
        <v>2.5588004923636738E-21</v>
      </c>
      <c r="AC175" s="22">
        <f t="shared" si="163"/>
        <v>11.062821591940075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267</v>
      </c>
      <c r="AJ175" s="13">
        <f>AI175*VLOOKUP('Données projet'!$B$10,Paramètres!$A$1:$I$89,3,0)*VLOOKUP('Données projet'!$B$10,Paramètres!$A$1:$I$89,5,0)</f>
        <v>241.58159999999998</v>
      </c>
      <c r="AK175" s="13">
        <f t="shared" si="164"/>
        <v>58.779689232021951</v>
      </c>
      <c r="AL175" s="20">
        <f t="shared" si="165"/>
        <v>523.12924541243819</v>
      </c>
      <c r="AM175" s="59">
        <f t="shared" si="113"/>
        <v>816.46257874577145</v>
      </c>
      <c r="AN175" s="59">
        <f ca="1">AVERAGE(OFFSET($AM$3,0,0,'Données projet'!$E$10+1,1))-AVERAGE(OFFSET($H$3,0,0,'Données projet'!$E$10+1,1))</f>
        <v>364.3481978218424</v>
      </c>
      <c r="AO175" s="59">
        <f t="shared" si="144"/>
        <v>231.36959598460686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24.445285717477503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24.445285717477503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267</v>
      </c>
      <c r="BE175" s="13">
        <f>BD175*VLOOKUP('Données projet'!$B$11,Paramètres!$A$1:$I$89,3,0)*VLOOKUP('Données projet'!$B$11,Paramètres!$A$1:$I$89,5,0)</f>
        <v>270.738</v>
      </c>
      <c r="BF175" s="13">
        <f t="shared" si="167"/>
        <v>65.005866623551711</v>
      </c>
      <c r="BG175" s="20">
        <f t="shared" si="168"/>
        <v>584.7539010360191</v>
      </c>
      <c r="BH175" s="59">
        <f t="shared" si="116"/>
        <v>878.08723436935247</v>
      </c>
      <c r="BI175" s="59">
        <f ca="1">AVERAGE(OFFSET($BH$3,0,0,'Données projet'!$E$11+1,1))-AVERAGE(OFFSET($H$3,0,0,'Données projet'!$E$11+1,1))</f>
        <v>403.50418598112844</v>
      </c>
      <c r="BJ175" s="59">
        <f t="shared" si="146"/>
        <v>254.25036207346591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27.395578821310984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27.395578821310984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636.99999999999977</v>
      </c>
      <c r="O176" s="13">
        <f>N176*VLOOKUP('Données projet'!$B$9,Paramètres!$A$1:$I$89,3,0)*VLOOKUP('Données projet'!$B$9,Paramètres!$A$1:$I$89,5,0)</f>
        <v>356.08299999999991</v>
      </c>
      <c r="P176" s="13">
        <f t="shared" si="141"/>
        <v>82.813805255716545</v>
      </c>
      <c r="Q176" s="20">
        <f t="shared" si="162"/>
        <v>764.41193582037283</v>
      </c>
      <c r="R176" s="59">
        <f t="shared" si="109"/>
        <v>1057.7452691537062</v>
      </c>
      <c r="S176" s="59">
        <f ca="1">AVERAGE(OFFSET($R$3,0,0,'Données projet'!$E$9+1,1))-AVERAGE(OFFSET($H$3,0,0,'Données projet'!$E$9+1,1))</f>
        <v>443.34220761968419</v>
      </c>
      <c r="T176" s="59">
        <f t="shared" si="142"/>
        <v>546.58234447298014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10.426386352208604</v>
      </c>
      <c r="AA176" s="21">
        <f>EXP(-LN(2)/25)*AA175+(1-EXP(-LN(2)/25))/(LN(2)/25)*Calculateur!V176*Calculateur!X176*VLOOKUP('Données projet'!$B$9,Paramètres!$A$1:$I$89,3,0)*0.475*44/12</f>
        <v>0.41619003766517243</v>
      </c>
      <c r="AB176" s="21">
        <f>EXP(-LN(2)/2)*AB175+(1-EXP(-LN(2)/2))/(LN(2)/2)*V176*Y176*VLOOKUP('Données projet'!$B$9,Paramètres!$A$1:$I$89,3,0)*0.475*44/12</f>
        <v>1.8093451798538303E-21</v>
      </c>
      <c r="AC176" s="22">
        <f t="shared" si="163"/>
        <v>10.842576389873777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267</v>
      </c>
      <c r="AJ176" s="13">
        <f>AI176*VLOOKUP('Données projet'!$B$10,Paramètres!$A$1:$I$89,3,0)*VLOOKUP('Données projet'!$B$10,Paramètres!$A$1:$I$89,5,0)</f>
        <v>241.58159999999998</v>
      </c>
      <c r="AK176" s="13">
        <f t="shared" si="164"/>
        <v>58.779689232021951</v>
      </c>
      <c r="AL176" s="20">
        <f t="shared" si="165"/>
        <v>523.12924541243819</v>
      </c>
      <c r="AM176" s="59">
        <f t="shared" si="113"/>
        <v>816.46257874577145</v>
      </c>
      <c r="AN176" s="59">
        <f ca="1">AVERAGE(OFFSET($AM$3,0,0,'Données projet'!$E$10+1,1))-AVERAGE(OFFSET($H$3,0,0,'Données projet'!$E$10+1,1))</f>
        <v>364.3481978218424</v>
      </c>
      <c r="AO176" s="59">
        <f t="shared" si="144"/>
        <v>231.36959598460686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23.965928574709803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23.965928574709803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267</v>
      </c>
      <c r="BE176" s="13">
        <f>BD176*VLOOKUP('Données projet'!$B$11,Paramètres!$A$1:$I$89,3,0)*VLOOKUP('Données projet'!$B$11,Paramètres!$A$1:$I$89,5,0)</f>
        <v>270.738</v>
      </c>
      <c r="BF176" s="13">
        <f t="shared" si="167"/>
        <v>65.005866623551711</v>
      </c>
      <c r="BG176" s="20">
        <f t="shared" si="168"/>
        <v>584.7539010360191</v>
      </c>
      <c r="BH176" s="59">
        <f t="shared" si="116"/>
        <v>878.08723436935247</v>
      </c>
      <c r="BI176" s="59">
        <f ca="1">AVERAGE(OFFSET($BH$3,0,0,'Données projet'!$E$11+1,1))-AVERAGE(OFFSET($H$3,0,0,'Données projet'!$E$11+1,1))</f>
        <v>403.50418598112844</v>
      </c>
      <c r="BJ176" s="59">
        <f t="shared" si="146"/>
        <v>254.25036207346591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26.858368230278217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26.858368230278217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636.99999999999977</v>
      </c>
      <c r="O177" s="13">
        <f>N177*VLOOKUP('Données projet'!$B$9,Paramètres!$A$1:$I$89,3,0)*VLOOKUP('Données projet'!$B$9,Paramètres!$A$1:$I$89,5,0)</f>
        <v>356.08299999999991</v>
      </c>
      <c r="P177" s="13">
        <f t="shared" si="141"/>
        <v>82.813805255716545</v>
      </c>
      <c r="Q177" s="20">
        <f t="shared" si="162"/>
        <v>764.41193582037283</v>
      </c>
      <c r="R177" s="59">
        <f t="shared" si="109"/>
        <v>1057.7452691537062</v>
      </c>
      <c r="S177" s="59">
        <f ca="1">AVERAGE(OFFSET($R$3,0,0,'Données projet'!$E$9+1,1))-AVERAGE(OFFSET($H$3,0,0,'Données projet'!$E$9+1,1))</f>
        <v>443.34220761968419</v>
      </c>
      <c r="T177" s="59">
        <f t="shared" si="142"/>
        <v>546.58234447298014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10.221931275309522</v>
      </c>
      <c r="AA177" s="21">
        <f>EXP(-LN(2)/25)*AA176+(1-EXP(-LN(2)/25))/(LN(2)/25)*Calculateur!V177*Calculateur!X177*VLOOKUP('Données projet'!$B$9,Paramètres!$A$1:$I$89,3,0)*0.475*44/12</f>
        <v>0.40480929919873543</v>
      </c>
      <c r="AB177" s="21">
        <f>EXP(-LN(2)/2)*AB176+(1-EXP(-LN(2)/2))/(LN(2)/2)*V177*Y177*VLOOKUP('Données projet'!$B$9,Paramètres!$A$1:$I$89,3,0)*0.475*44/12</f>
        <v>1.2794002461818369E-21</v>
      </c>
      <c r="AC177" s="22">
        <f t="shared" si="163"/>
        <v>10.626740574508258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267</v>
      </c>
      <c r="AJ177" s="13">
        <f>AI177*VLOOKUP('Données projet'!$B$10,Paramètres!$A$1:$I$89,3,0)*VLOOKUP('Données projet'!$B$10,Paramètres!$A$1:$I$89,5,0)</f>
        <v>241.58159999999998</v>
      </c>
      <c r="AK177" s="13">
        <f t="shared" si="164"/>
        <v>58.779689232021951</v>
      </c>
      <c r="AL177" s="20">
        <f t="shared" si="165"/>
        <v>523.12924541243819</v>
      </c>
      <c r="AM177" s="59">
        <f t="shared" si="113"/>
        <v>816.46257874577145</v>
      </c>
      <c r="AN177" s="59">
        <f ca="1">AVERAGE(OFFSET($AM$3,0,0,'Données projet'!$E$10+1,1))-AVERAGE(OFFSET($H$3,0,0,'Données projet'!$E$10+1,1))</f>
        <v>364.3481978218424</v>
      </c>
      <c r="AO177" s="59">
        <f t="shared" si="144"/>
        <v>231.36959598460686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23.49597133313279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23.49597133313279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267</v>
      </c>
      <c r="BE177" s="13">
        <f>BD177*VLOOKUP('Données projet'!$B$11,Paramètres!$A$1:$I$89,3,0)*VLOOKUP('Données projet'!$B$11,Paramètres!$A$1:$I$89,5,0)</f>
        <v>270.738</v>
      </c>
      <c r="BF177" s="13">
        <f t="shared" si="167"/>
        <v>65.005866623551711</v>
      </c>
      <c r="BG177" s="20">
        <f t="shared" si="168"/>
        <v>584.7539010360191</v>
      </c>
      <c r="BH177" s="59">
        <f t="shared" si="116"/>
        <v>878.08723436935247</v>
      </c>
      <c r="BI177" s="59">
        <f ca="1">AVERAGE(OFFSET($BH$3,0,0,'Données projet'!$E$11+1,1))-AVERAGE(OFFSET($H$3,0,0,'Données projet'!$E$11+1,1))</f>
        <v>403.50418598112844</v>
      </c>
      <c r="BJ177" s="59">
        <f t="shared" si="146"/>
        <v>254.25036207346591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26.331692011269496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26.331692011269496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636.99999999999977</v>
      </c>
      <c r="O178" s="13">
        <f>N178*VLOOKUP('Données projet'!$B$9,Paramètres!$A$1:$I$89,3,0)*VLOOKUP('Données projet'!$B$9,Paramètres!$A$1:$I$89,5,0)</f>
        <v>356.08299999999991</v>
      </c>
      <c r="P178" s="13">
        <f t="shared" si="141"/>
        <v>82.813805255716545</v>
      </c>
      <c r="Q178" s="20">
        <f t="shared" si="162"/>
        <v>764.41193582037283</v>
      </c>
      <c r="R178" s="59">
        <f t="shared" si="109"/>
        <v>1057.7452691537062</v>
      </c>
      <c r="S178" s="59">
        <f ca="1">AVERAGE(OFFSET($R$3,0,0,'Données projet'!$E$9+1,1))-AVERAGE(OFFSET($H$3,0,0,'Données projet'!$E$9+1,1))</f>
        <v>443.34220761968419</v>
      </c>
      <c r="T178" s="59">
        <f t="shared" si="142"/>
        <v>546.58234447298014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10.021485437763149</v>
      </c>
      <c r="AA178" s="21">
        <f>EXP(-LN(2)/25)*AA177+(1-EXP(-LN(2)/25))/(LN(2)/25)*Calculateur!V178*Calculateur!X178*VLOOKUP('Données projet'!$B$9,Paramètres!$A$1:$I$89,3,0)*0.475*44/12</f>
        <v>0.39373976762415019</v>
      </c>
      <c r="AB178" s="21">
        <f>EXP(-LN(2)/2)*AB177+(1-EXP(-LN(2)/2))/(LN(2)/2)*V178*Y178*VLOOKUP('Données projet'!$B$9,Paramètres!$A$1:$I$89,3,0)*0.475*44/12</f>
        <v>9.0467258992691515E-22</v>
      </c>
      <c r="AC178" s="22">
        <f t="shared" si="163"/>
        <v>10.4152252053873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267</v>
      </c>
      <c r="AJ178" s="13">
        <f>AI178*VLOOKUP('Données projet'!$B$10,Paramètres!$A$1:$I$89,3,0)*VLOOKUP('Données projet'!$B$10,Paramètres!$A$1:$I$89,5,0)</f>
        <v>241.58159999999998</v>
      </c>
      <c r="AK178" s="13">
        <f t="shared" si="164"/>
        <v>58.779689232021951</v>
      </c>
      <c r="AL178" s="20">
        <f t="shared" si="165"/>
        <v>523.12924541243819</v>
      </c>
      <c r="AM178" s="59">
        <f t="shared" si="113"/>
        <v>816.46257874577145</v>
      </c>
      <c r="AN178" s="59">
        <f ca="1">AVERAGE(OFFSET($AM$3,0,0,'Données projet'!$E$10+1,1))-AVERAGE(OFFSET($H$3,0,0,'Données projet'!$E$10+1,1))</f>
        <v>364.3481978218424</v>
      </c>
      <c r="AO178" s="59">
        <f t="shared" si="144"/>
        <v>231.36959598460686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23.035229666417489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23.035229666417489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267</v>
      </c>
      <c r="BE178" s="13">
        <f>BD178*VLOOKUP('Données projet'!$B$11,Paramètres!$A$1:$I$89,3,0)*VLOOKUP('Données projet'!$B$11,Paramètres!$A$1:$I$89,5,0)</f>
        <v>270.738</v>
      </c>
      <c r="BF178" s="13">
        <f t="shared" si="167"/>
        <v>65.005866623551711</v>
      </c>
      <c r="BG178" s="20">
        <f t="shared" si="168"/>
        <v>584.7539010360191</v>
      </c>
      <c r="BH178" s="59">
        <f t="shared" si="116"/>
        <v>878.08723436935247</v>
      </c>
      <c r="BI178" s="59">
        <f ca="1">AVERAGE(OFFSET($BH$3,0,0,'Données projet'!$E$11+1,1))-AVERAGE(OFFSET($H$3,0,0,'Données projet'!$E$11+1,1))</f>
        <v>403.50418598112844</v>
      </c>
      <c r="BJ178" s="59">
        <f t="shared" si="146"/>
        <v>254.25036207346591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25.815343591674761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25.815343591674761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636.99999999999977</v>
      </c>
      <c r="O179" s="13">
        <f>N179*VLOOKUP('Données projet'!$B$9,Paramètres!$A$1:$I$89,3,0)*VLOOKUP('Données projet'!$B$9,Paramètres!$A$1:$I$89,5,0)</f>
        <v>356.08299999999991</v>
      </c>
      <c r="P179" s="13">
        <f t="shared" si="141"/>
        <v>82.813805255716545</v>
      </c>
      <c r="Q179" s="20">
        <f t="shared" si="162"/>
        <v>764.41193582037283</v>
      </c>
      <c r="R179" s="59">
        <f t="shared" si="109"/>
        <v>1057.7452691537062</v>
      </c>
      <c r="S179" s="59">
        <f ca="1">AVERAGE(OFFSET($R$3,0,0,'Données projet'!$E$9+1,1))-AVERAGE(OFFSET($H$3,0,0,'Données projet'!$E$9+1,1))</f>
        <v>443.34220761968419</v>
      </c>
      <c r="T179" s="59">
        <f t="shared" si="142"/>
        <v>546.58234447298014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9.8249702208311707</v>
      </c>
      <c r="AA179" s="21">
        <f>EXP(-LN(2)/25)*AA178+(1-EXP(-LN(2)/25))/(LN(2)/25)*Calculateur!V179*Calculateur!X179*VLOOKUP('Données projet'!$B$9,Paramètres!$A$1:$I$89,3,0)*0.475*44/12</f>
        <v>0.38297293297259333</v>
      </c>
      <c r="AB179" s="21">
        <f>EXP(-LN(2)/2)*AB178+(1-EXP(-LN(2)/2))/(LN(2)/2)*V179*Y179*VLOOKUP('Données projet'!$B$9,Paramètres!$A$1:$I$89,3,0)*0.475*44/12</f>
        <v>6.3970012309091844E-22</v>
      </c>
      <c r="AC179" s="22">
        <f t="shared" si="163"/>
        <v>10.207943153803765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267</v>
      </c>
      <c r="AJ179" s="13">
        <f>AI179*VLOOKUP('Données projet'!$B$10,Paramètres!$A$1:$I$89,3,0)*VLOOKUP('Données projet'!$B$10,Paramètres!$A$1:$I$89,5,0)</f>
        <v>241.58159999999998</v>
      </c>
      <c r="AK179" s="13">
        <f t="shared" si="164"/>
        <v>58.779689232021951</v>
      </c>
      <c r="AL179" s="20">
        <f t="shared" si="165"/>
        <v>523.12924541243819</v>
      </c>
      <c r="AM179" s="59">
        <f t="shared" si="113"/>
        <v>816.46257874577145</v>
      </c>
      <c r="AN179" s="59">
        <f ca="1">AVERAGE(OFFSET($AM$3,0,0,'Données projet'!$E$10+1,1))-AVERAGE(OFFSET($H$3,0,0,'Données projet'!$E$10+1,1))</f>
        <v>364.3481978218424</v>
      </c>
      <c r="AO179" s="59">
        <f t="shared" si="144"/>
        <v>231.36959598460686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22.583522862761807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22.583522862761807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267</v>
      </c>
      <c r="BE179" s="13">
        <f>BD179*VLOOKUP('Données projet'!$B$11,Paramètres!$A$1:$I$89,3,0)*VLOOKUP('Données projet'!$B$11,Paramètres!$A$1:$I$89,5,0)</f>
        <v>270.738</v>
      </c>
      <c r="BF179" s="13">
        <f t="shared" si="167"/>
        <v>65.005866623551711</v>
      </c>
      <c r="BG179" s="20">
        <f t="shared" si="168"/>
        <v>584.7539010360191</v>
      </c>
      <c r="BH179" s="59">
        <f t="shared" si="116"/>
        <v>878.08723436935247</v>
      </c>
      <c r="BI179" s="59">
        <f ca="1">AVERAGE(OFFSET($BH$3,0,0,'Données projet'!$E$11+1,1))-AVERAGE(OFFSET($H$3,0,0,'Données projet'!$E$11+1,1))</f>
        <v>403.50418598112844</v>
      </c>
      <c r="BJ179" s="59">
        <f t="shared" si="146"/>
        <v>254.25036207346591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25.309120449646841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25.309120449646841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636.99999999999977</v>
      </c>
      <c r="O180" s="13">
        <f>N180*VLOOKUP('Données projet'!$B$9,Paramètres!$A$1:$I$89,3,0)*VLOOKUP('Données projet'!$B$9,Paramètres!$A$1:$I$89,5,0)</f>
        <v>356.08299999999991</v>
      </c>
      <c r="P180" s="13">
        <f t="shared" si="141"/>
        <v>82.813805255716545</v>
      </c>
      <c r="Q180" s="20">
        <f t="shared" si="162"/>
        <v>764.41193582037283</v>
      </c>
      <c r="R180" s="59">
        <f t="shared" si="109"/>
        <v>1057.7452691537062</v>
      </c>
      <c r="S180" s="59">
        <f ca="1">AVERAGE(OFFSET($R$3,0,0,'Données projet'!$E$9+1,1))-AVERAGE(OFFSET($H$3,0,0,'Données projet'!$E$9+1,1))</f>
        <v>443.34220761968419</v>
      </c>
      <c r="T180" s="59">
        <f t="shared" si="142"/>
        <v>546.58234447298014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9.6323085474407826</v>
      </c>
      <c r="AA180" s="21">
        <f>EXP(-LN(2)/25)*AA179+(1-EXP(-LN(2)/25))/(LN(2)/25)*Calculateur!V180*Calculateur!X180*VLOOKUP('Données projet'!$B$9,Paramètres!$A$1:$I$89,3,0)*0.475*44/12</f>
        <v>0.37250051798078654</v>
      </c>
      <c r="AB180" s="21">
        <f>EXP(-LN(2)/2)*AB179+(1-EXP(-LN(2)/2))/(LN(2)/2)*V180*Y180*VLOOKUP('Données projet'!$B$9,Paramètres!$A$1:$I$89,3,0)*0.475*44/12</f>
        <v>4.5233629496345758E-22</v>
      </c>
      <c r="AC180" s="22">
        <f t="shared" si="163"/>
        <v>10.004809065421568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267</v>
      </c>
      <c r="AJ180" s="13">
        <f>AI180*VLOOKUP('Données projet'!$B$10,Paramètres!$A$1:$I$89,3,0)*VLOOKUP('Données projet'!$B$10,Paramètres!$A$1:$I$89,5,0)</f>
        <v>241.58159999999998</v>
      </c>
      <c r="AK180" s="13">
        <f t="shared" si="164"/>
        <v>58.779689232021951</v>
      </c>
      <c r="AL180" s="20">
        <f t="shared" si="165"/>
        <v>523.12924541243819</v>
      </c>
      <c r="AM180" s="59">
        <f t="shared" si="113"/>
        <v>816.46257874577145</v>
      </c>
      <c r="AN180" s="59">
        <f ca="1">AVERAGE(OFFSET($AM$3,0,0,'Données projet'!$E$10+1,1))-AVERAGE(OFFSET($H$3,0,0,'Données projet'!$E$10+1,1))</f>
        <v>364.3481978218424</v>
      </c>
      <c r="AO180" s="59">
        <f t="shared" si="144"/>
        <v>231.36959598460686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22.140673754011868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22.140673754011868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267</v>
      </c>
      <c r="BE180" s="13">
        <f>BD180*VLOOKUP('Données projet'!$B$11,Paramètres!$A$1:$I$89,3,0)*VLOOKUP('Données projet'!$B$11,Paramètres!$A$1:$I$89,5,0)</f>
        <v>270.738</v>
      </c>
      <c r="BF180" s="13">
        <f t="shared" si="167"/>
        <v>65.005866623551711</v>
      </c>
      <c r="BG180" s="20">
        <f t="shared" si="168"/>
        <v>584.7539010360191</v>
      </c>
      <c r="BH180" s="59">
        <f t="shared" si="116"/>
        <v>878.08723436935247</v>
      </c>
      <c r="BI180" s="59">
        <f ca="1">AVERAGE(OFFSET($BH$3,0,0,'Données projet'!$E$11+1,1))-AVERAGE(OFFSET($H$3,0,0,'Données projet'!$E$11+1,1))</f>
        <v>403.50418598112844</v>
      </c>
      <c r="BJ180" s="59">
        <f t="shared" si="146"/>
        <v>254.25036207346591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24.812824034668459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24.812824034668459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636.99999999999977</v>
      </c>
      <c r="O181" s="13">
        <f>N181*VLOOKUP('Données projet'!$B$9,Paramètres!$A$1:$I$89,3,0)*VLOOKUP('Données projet'!$B$9,Paramètres!$A$1:$I$89,5,0)</f>
        <v>356.08299999999991</v>
      </c>
      <c r="P181" s="13">
        <f t="shared" si="141"/>
        <v>82.813805255716545</v>
      </c>
      <c r="Q181" s="20">
        <f t="shared" si="162"/>
        <v>764.41193582037283</v>
      </c>
      <c r="R181" s="59">
        <f t="shared" si="109"/>
        <v>1057.7452691537062</v>
      </c>
      <c r="S181" s="59">
        <f ca="1">AVERAGE(OFFSET($R$3,0,0,'Données projet'!$E$9+1,1))-AVERAGE(OFFSET($H$3,0,0,'Données projet'!$E$9+1,1))</f>
        <v>443.34220761968419</v>
      </c>
      <c r="T181" s="59">
        <f t="shared" si="142"/>
        <v>546.58234447298014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9.4434248519535622</v>
      </c>
      <c r="AA181" s="21">
        <f>EXP(-LN(2)/25)*AA180+(1-EXP(-LN(2)/25))/(LN(2)/25)*Calculateur!V181*Calculateur!X181*VLOOKUP('Données projet'!$B$9,Paramètres!$A$1:$I$89,3,0)*0.475*44/12</f>
        <v>0.36231447172765108</v>
      </c>
      <c r="AB181" s="21">
        <f>EXP(-LN(2)/2)*AB180+(1-EXP(-LN(2)/2))/(LN(2)/2)*V181*Y181*VLOOKUP('Données projet'!$B$9,Paramètres!$A$1:$I$89,3,0)*0.475*44/12</f>
        <v>3.1985006154545922E-22</v>
      </c>
      <c r="AC181" s="22">
        <f t="shared" si="163"/>
        <v>9.8057393236812125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267</v>
      </c>
      <c r="AJ181" s="13">
        <f>AI181*VLOOKUP('Données projet'!$B$10,Paramètres!$A$1:$I$89,3,0)*VLOOKUP('Données projet'!$B$10,Paramètres!$A$1:$I$89,5,0)</f>
        <v>241.58159999999998</v>
      </c>
      <c r="AK181" s="13">
        <f t="shared" si="164"/>
        <v>58.779689232021951</v>
      </c>
      <c r="AL181" s="20">
        <f t="shared" si="165"/>
        <v>523.12924541243819</v>
      </c>
      <c r="AM181" s="59">
        <f t="shared" si="113"/>
        <v>816.46257874577145</v>
      </c>
      <c r="AN181" s="59">
        <f ca="1">AVERAGE(OFFSET($AM$3,0,0,'Données projet'!$E$10+1,1))-AVERAGE(OFFSET($H$3,0,0,'Données projet'!$E$10+1,1))</f>
        <v>364.3481978218424</v>
      </c>
      <c r="AO181" s="59">
        <f t="shared" si="144"/>
        <v>231.36959598460686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21.70650864617323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21.70650864617323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267</v>
      </c>
      <c r="BE181" s="13">
        <f>BD181*VLOOKUP('Données projet'!$B$11,Paramètres!$A$1:$I$89,3,0)*VLOOKUP('Données projet'!$B$11,Paramètres!$A$1:$I$89,5,0)</f>
        <v>270.738</v>
      </c>
      <c r="BF181" s="13">
        <f t="shared" si="167"/>
        <v>65.005866623551711</v>
      </c>
      <c r="BG181" s="20">
        <f t="shared" si="168"/>
        <v>584.7539010360191</v>
      </c>
      <c r="BH181" s="59">
        <f t="shared" si="116"/>
        <v>878.08723436935247</v>
      </c>
      <c r="BI181" s="59">
        <f ca="1">AVERAGE(OFFSET($BH$3,0,0,'Données projet'!$E$11+1,1))-AVERAGE(OFFSET($H$3,0,0,'Données projet'!$E$11+1,1))</f>
        <v>403.50418598112844</v>
      </c>
      <c r="BJ181" s="59">
        <f t="shared" si="146"/>
        <v>254.25036207346591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24.326259689676881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24.326259689676881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636.99999999999977</v>
      </c>
      <c r="O182" s="13">
        <f>N182*VLOOKUP('Données projet'!$B$9,Paramètres!$A$1:$I$89,3,0)*VLOOKUP('Données projet'!$B$9,Paramètres!$A$1:$I$89,5,0)</f>
        <v>356.08299999999991</v>
      </c>
      <c r="P182" s="13">
        <f t="shared" si="141"/>
        <v>82.813805255716545</v>
      </c>
      <c r="Q182" s="20">
        <f t="shared" si="162"/>
        <v>764.41193582037283</v>
      </c>
      <c r="R182" s="59">
        <f t="shared" si="109"/>
        <v>1057.7452691537062</v>
      </c>
      <c r="S182" s="59">
        <f ca="1">AVERAGE(OFFSET($R$3,0,0,'Données projet'!$E$9+1,1))-AVERAGE(OFFSET($H$3,0,0,'Données projet'!$E$9+1,1))</f>
        <v>443.34220761968419</v>
      </c>
      <c r="T182" s="59">
        <f t="shared" si="142"/>
        <v>546.58234447298014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9.258245050527167</v>
      </c>
      <c r="AA182" s="21">
        <f>EXP(-LN(2)/25)*AA181+(1-EXP(-LN(2)/25))/(LN(2)/25)*Calculateur!V182*Calculateur!X182*VLOOKUP('Données projet'!$B$9,Paramètres!$A$1:$I$89,3,0)*0.475*44/12</f>
        <v>0.35240696344496847</v>
      </c>
      <c r="AB182" s="21">
        <f>EXP(-LN(2)/2)*AB181+(1-EXP(-LN(2)/2))/(LN(2)/2)*V182*Y182*VLOOKUP('Données projet'!$B$9,Paramètres!$A$1:$I$89,3,0)*0.475*44/12</f>
        <v>2.2616814748172879E-22</v>
      </c>
      <c r="AC182" s="22">
        <f t="shared" si="163"/>
        <v>9.6106520139721354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267</v>
      </c>
      <c r="AJ182" s="13">
        <f>AI182*VLOOKUP('Données projet'!$B$10,Paramètres!$A$1:$I$89,3,0)*VLOOKUP('Données projet'!$B$10,Paramètres!$A$1:$I$89,5,0)</f>
        <v>241.58159999999998</v>
      </c>
      <c r="AK182" s="13">
        <f t="shared" si="164"/>
        <v>58.779689232021951</v>
      </c>
      <c r="AL182" s="20">
        <f t="shared" si="165"/>
        <v>523.12924541243819</v>
      </c>
      <c r="AM182" s="59">
        <f t="shared" si="113"/>
        <v>816.46257874577145</v>
      </c>
      <c r="AN182" s="59">
        <f ca="1">AVERAGE(OFFSET($AM$3,0,0,'Données projet'!$E$10+1,1))-AVERAGE(OFFSET($H$3,0,0,'Données projet'!$E$10+1,1))</f>
        <v>364.3481978218424</v>
      </c>
      <c r="AO182" s="59">
        <f t="shared" si="144"/>
        <v>231.36959598460686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21.28085725128474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21.28085725128474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267</v>
      </c>
      <c r="BE182" s="13">
        <f>BD182*VLOOKUP('Données projet'!$B$11,Paramètres!$A$1:$I$89,3,0)*VLOOKUP('Données projet'!$B$11,Paramètres!$A$1:$I$89,5,0)</f>
        <v>270.738</v>
      </c>
      <c r="BF182" s="13">
        <f t="shared" si="167"/>
        <v>65.005866623551711</v>
      </c>
      <c r="BG182" s="20">
        <f t="shared" si="168"/>
        <v>584.7539010360191</v>
      </c>
      <c r="BH182" s="59">
        <f t="shared" si="116"/>
        <v>878.08723436935247</v>
      </c>
      <c r="BI182" s="59">
        <f ca="1">AVERAGE(OFFSET($BH$3,0,0,'Données projet'!$E$11+1,1))-AVERAGE(OFFSET($H$3,0,0,'Données projet'!$E$11+1,1))</f>
        <v>403.50418598112844</v>
      </c>
      <c r="BJ182" s="59">
        <f t="shared" si="146"/>
        <v>254.25036207346591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23.84923657471564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23.84923657471564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636.99999999999977</v>
      </c>
      <c r="O183" s="13">
        <f>N183*VLOOKUP('Données projet'!$B$9,Paramètres!$A$1:$I$89,3,0)*VLOOKUP('Données projet'!$B$9,Paramètres!$A$1:$I$89,5,0)</f>
        <v>356.08299999999991</v>
      </c>
      <c r="P183" s="13">
        <f t="shared" si="141"/>
        <v>82.813805255716545</v>
      </c>
      <c r="Q183" s="20">
        <f t="shared" si="162"/>
        <v>764.41193582037283</v>
      </c>
      <c r="R183" s="59">
        <f t="shared" si="109"/>
        <v>1057.7452691537062</v>
      </c>
      <c r="S183" s="59">
        <f ca="1">AVERAGE(OFFSET($R$3,0,0,'Données projet'!$E$9+1,1))-AVERAGE(OFFSET($H$3,0,0,'Données projet'!$E$9+1,1))</f>
        <v>443.34220761968419</v>
      </c>
      <c r="T183" s="59">
        <f t="shared" si="142"/>
        <v>546.58234447298014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9.0766965120582181</v>
      </c>
      <c r="AA183" s="21">
        <f>EXP(-LN(2)/25)*AA182+(1-EXP(-LN(2)/25))/(LN(2)/25)*Calculateur!V183*Calculateur!X183*VLOOKUP('Données projet'!$B$9,Paramètres!$A$1:$I$89,3,0)*0.475*44/12</f>
        <v>0.34277037649728903</v>
      </c>
      <c r="AB183" s="21">
        <f>EXP(-LN(2)/2)*AB182+(1-EXP(-LN(2)/2))/(LN(2)/2)*V183*Y183*VLOOKUP('Données projet'!$B$9,Paramètres!$A$1:$I$89,3,0)*0.475*44/12</f>
        <v>1.5992503077272961E-22</v>
      </c>
      <c r="AC183" s="22">
        <f t="shared" si="163"/>
        <v>9.4194668885555064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267</v>
      </c>
      <c r="AJ183" s="13">
        <f>AI183*VLOOKUP('Données projet'!$B$10,Paramètres!$A$1:$I$89,3,0)*VLOOKUP('Données projet'!$B$10,Paramètres!$A$1:$I$89,5,0)</f>
        <v>241.58159999999998</v>
      </c>
      <c r="AK183" s="13">
        <f t="shared" si="164"/>
        <v>58.779689232021951</v>
      </c>
      <c r="AL183" s="20">
        <f t="shared" si="165"/>
        <v>523.12924541243819</v>
      </c>
      <c r="AM183" s="59">
        <f t="shared" si="113"/>
        <v>816.46257874577145</v>
      </c>
      <c r="AN183" s="59">
        <f ca="1">AVERAGE(OFFSET($AM$3,0,0,'Données projet'!$E$10+1,1))-AVERAGE(OFFSET($H$3,0,0,'Données projet'!$E$10+1,1))</f>
        <v>364.3481978218424</v>
      </c>
      <c r="AO183" s="59">
        <f t="shared" si="144"/>
        <v>231.36959598460686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20.863552620628298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20.863552620628298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267</v>
      </c>
      <c r="BE183" s="13">
        <f>BD183*VLOOKUP('Données projet'!$B$11,Paramètres!$A$1:$I$89,3,0)*VLOOKUP('Données projet'!$B$11,Paramètres!$A$1:$I$89,5,0)</f>
        <v>270.738</v>
      </c>
      <c r="BF183" s="13">
        <f t="shared" si="167"/>
        <v>65.005866623551711</v>
      </c>
      <c r="BG183" s="20">
        <f t="shared" si="168"/>
        <v>584.7539010360191</v>
      </c>
      <c r="BH183" s="59">
        <f t="shared" si="116"/>
        <v>878.08723436935247</v>
      </c>
      <c r="BI183" s="59">
        <f ca="1">AVERAGE(OFFSET($BH$3,0,0,'Données projet'!$E$11+1,1))-AVERAGE(OFFSET($H$3,0,0,'Données projet'!$E$11+1,1))</f>
        <v>403.50418598112844</v>
      </c>
      <c r="BJ183" s="59">
        <f t="shared" si="146"/>
        <v>254.25036207346591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23.381567592083421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23.381567592083421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636.99999999999977</v>
      </c>
      <c r="O184" s="13">
        <f>N184*VLOOKUP('Données projet'!$B$9,Paramètres!$A$1:$I$89,3,0)*VLOOKUP('Données projet'!$B$9,Paramètres!$A$1:$I$89,5,0)</f>
        <v>356.08299999999991</v>
      </c>
      <c r="P184" s="13">
        <f t="shared" si="141"/>
        <v>82.813805255716545</v>
      </c>
      <c r="Q184" s="20">
        <f t="shared" si="162"/>
        <v>764.41193582037283</v>
      </c>
      <c r="R184" s="59">
        <f t="shared" si="109"/>
        <v>1057.7452691537062</v>
      </c>
      <c r="S184" s="59">
        <f ca="1">AVERAGE(OFFSET($R$3,0,0,'Données projet'!$E$9+1,1))-AVERAGE(OFFSET($H$3,0,0,'Données projet'!$E$9+1,1))</f>
        <v>443.34220761968419</v>
      </c>
      <c r="T184" s="59">
        <f t="shared" si="142"/>
        <v>546.58234447298014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8.898708029694971</v>
      </c>
      <c r="AA184" s="21">
        <f>EXP(-LN(2)/25)*AA183+(1-EXP(-LN(2)/25))/(LN(2)/25)*Calculateur!V184*Calculateur!X184*VLOOKUP('Données projet'!$B$9,Paramètres!$A$1:$I$89,3,0)*0.475*44/12</f>
        <v>0.33339730252645999</v>
      </c>
      <c r="AB184" s="21">
        <f>EXP(-LN(2)/2)*AB183+(1-EXP(-LN(2)/2))/(LN(2)/2)*V184*Y184*VLOOKUP('Données projet'!$B$9,Paramètres!$A$1:$I$89,3,0)*0.475*44/12</f>
        <v>1.1308407374086439E-22</v>
      </c>
      <c r="AC184" s="22">
        <f t="shared" si="163"/>
        <v>9.2321053322214315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267</v>
      </c>
      <c r="AJ184" s="13">
        <f>AI184*VLOOKUP('Données projet'!$B$10,Paramètres!$A$1:$I$89,3,0)*VLOOKUP('Données projet'!$B$10,Paramètres!$A$1:$I$89,5,0)</f>
        <v>241.58159999999998</v>
      </c>
      <c r="AK184" s="13">
        <f t="shared" si="164"/>
        <v>58.779689232021951</v>
      </c>
      <c r="AL184" s="20">
        <f t="shared" si="165"/>
        <v>523.12924541243819</v>
      </c>
      <c r="AM184" s="59">
        <f t="shared" si="113"/>
        <v>816.46257874577145</v>
      </c>
      <c r="AN184" s="59">
        <f ca="1">AVERAGE(OFFSET($AM$3,0,0,'Données projet'!$E$10+1,1))-AVERAGE(OFFSET($H$3,0,0,'Données projet'!$E$10+1,1))</f>
        <v>364.3481978218424</v>
      </c>
      <c r="AO184" s="59">
        <f t="shared" si="144"/>
        <v>231.36959598460686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20.454431079248334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20.454431079248334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267</v>
      </c>
      <c r="BE184" s="13">
        <f>BD184*VLOOKUP('Données projet'!$B$11,Paramètres!$A$1:$I$89,3,0)*VLOOKUP('Données projet'!$B$11,Paramètres!$A$1:$I$89,5,0)</f>
        <v>270.738</v>
      </c>
      <c r="BF184" s="13">
        <f t="shared" si="167"/>
        <v>65.005866623551711</v>
      </c>
      <c r="BG184" s="20">
        <f t="shared" si="168"/>
        <v>584.7539010360191</v>
      </c>
      <c r="BH184" s="59">
        <f t="shared" si="116"/>
        <v>878.08723436935247</v>
      </c>
      <c r="BI184" s="59">
        <f ca="1">AVERAGE(OFFSET($BH$3,0,0,'Données projet'!$E$11+1,1))-AVERAGE(OFFSET($H$3,0,0,'Données projet'!$E$11+1,1))</f>
        <v>403.50418598112844</v>
      </c>
      <c r="BJ184" s="59">
        <f t="shared" si="146"/>
        <v>254.25036207346591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22.923069312950705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22.923069312950705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636.99999999999977</v>
      </c>
      <c r="O185" s="13">
        <f>N185*VLOOKUP('Données projet'!$B$9,Paramètres!$A$1:$I$89,3,0)*VLOOKUP('Données projet'!$B$9,Paramètres!$A$1:$I$89,5,0)</f>
        <v>356.08299999999991</v>
      </c>
      <c r="P185" s="13">
        <f t="shared" si="141"/>
        <v>82.813805255716545</v>
      </c>
      <c r="Q185" s="20">
        <f t="shared" si="162"/>
        <v>764.41193582037283</v>
      </c>
      <c r="R185" s="59">
        <f t="shared" si="109"/>
        <v>1057.7452691537062</v>
      </c>
      <c r="S185" s="59">
        <f ca="1">AVERAGE(OFFSET($R$3,0,0,'Données projet'!$E$9+1,1))-AVERAGE(OFFSET($H$3,0,0,'Données projet'!$E$9+1,1))</f>
        <v>443.34220761968419</v>
      </c>
      <c r="T185" s="59">
        <f t="shared" si="142"/>
        <v>546.58234447298014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8.7242097929086118</v>
      </c>
      <c r="AA185" s="21">
        <f>EXP(-LN(2)/25)*AA184+(1-EXP(-LN(2)/25))/(LN(2)/25)*Calculateur!V185*Calculateur!X185*VLOOKUP('Données projet'!$B$9,Paramètres!$A$1:$I$89,3,0)*0.475*44/12</f>
        <v>0.3242805357562718</v>
      </c>
      <c r="AB185" s="21">
        <f>EXP(-LN(2)/2)*AB184+(1-EXP(-LN(2)/2))/(LN(2)/2)*V185*Y185*VLOOKUP('Données projet'!$B$9,Paramètres!$A$1:$I$89,3,0)*0.475*44/12</f>
        <v>7.9962515386364805E-23</v>
      </c>
      <c r="AC185" s="22">
        <f t="shared" si="163"/>
        <v>9.048490328664883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267</v>
      </c>
      <c r="AJ185" s="13">
        <f>AI185*VLOOKUP('Données projet'!$B$10,Paramètres!$A$1:$I$89,3,0)*VLOOKUP('Données projet'!$B$10,Paramètres!$A$1:$I$89,5,0)</f>
        <v>241.58159999999998</v>
      </c>
      <c r="AK185" s="13">
        <f t="shared" si="164"/>
        <v>58.779689232021951</v>
      </c>
      <c r="AL185" s="20">
        <f t="shared" si="165"/>
        <v>523.12924541243819</v>
      </c>
      <c r="AM185" s="59">
        <f t="shared" si="113"/>
        <v>816.46257874577145</v>
      </c>
      <c r="AN185" s="59">
        <f ca="1">AVERAGE(OFFSET($AM$3,0,0,'Données projet'!$E$10+1,1))-AVERAGE(OFFSET($H$3,0,0,'Données projet'!$E$10+1,1))</f>
        <v>364.3481978218424</v>
      </c>
      <c r="AO185" s="59">
        <f t="shared" si="144"/>
        <v>231.36959598460686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20.053332161755332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20.053332161755332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267</v>
      </c>
      <c r="BE185" s="13">
        <f>BD185*VLOOKUP('Données projet'!$B$11,Paramètres!$A$1:$I$89,3,0)*VLOOKUP('Données projet'!$B$11,Paramètres!$A$1:$I$89,5,0)</f>
        <v>270.738</v>
      </c>
      <c r="BF185" s="13">
        <f t="shared" si="167"/>
        <v>65.005866623551711</v>
      </c>
      <c r="BG185" s="20">
        <f t="shared" si="168"/>
        <v>584.7539010360191</v>
      </c>
      <c r="BH185" s="59">
        <f t="shared" si="116"/>
        <v>878.08723436935247</v>
      </c>
      <c r="BI185" s="59">
        <f ca="1">AVERAGE(OFFSET($BH$3,0,0,'Données projet'!$E$11+1,1))-AVERAGE(OFFSET($H$3,0,0,'Données projet'!$E$11+1,1))</f>
        <v>403.50418598112844</v>
      </c>
      <c r="BJ185" s="59">
        <f t="shared" si="146"/>
        <v>254.25036207346591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22.473561905415444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22.473561905415444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636.99999999999977</v>
      </c>
      <c r="O186" s="13">
        <f>N186*VLOOKUP('Données projet'!$B$9,Paramètres!$A$1:$I$89,3,0)*VLOOKUP('Données projet'!$B$9,Paramètres!$A$1:$I$89,5,0)</f>
        <v>356.08299999999991</v>
      </c>
      <c r="P186" s="13">
        <f t="shared" si="141"/>
        <v>82.813805255716545</v>
      </c>
      <c r="Q186" s="20">
        <f t="shared" si="162"/>
        <v>764.41193582037283</v>
      </c>
      <c r="R186" s="59">
        <f t="shared" si="109"/>
        <v>1057.7452691537062</v>
      </c>
      <c r="S186" s="59">
        <f ca="1">AVERAGE(OFFSET($R$3,0,0,'Données projet'!$E$9+1,1))-AVERAGE(OFFSET($H$3,0,0,'Données projet'!$E$9+1,1))</f>
        <v>443.34220761968419</v>
      </c>
      <c r="T186" s="59">
        <f t="shared" si="142"/>
        <v>546.58234447298014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8.5531333601122181</v>
      </c>
      <c r="AA186" s="21">
        <f>EXP(-LN(2)/25)*AA185+(1-EXP(-LN(2)/25))/(LN(2)/25)*Calculateur!V186*Calculateur!X186*VLOOKUP('Données projet'!$B$9,Paramètres!$A$1:$I$89,3,0)*0.475*44/12</f>
        <v>0.31541306745284431</v>
      </c>
      <c r="AB186" s="21">
        <f>EXP(-LN(2)/2)*AB185+(1-EXP(-LN(2)/2))/(LN(2)/2)*V186*Y186*VLOOKUP('Données projet'!$B$9,Paramètres!$A$1:$I$89,3,0)*0.475*44/12</f>
        <v>5.6542036870432197E-23</v>
      </c>
      <c r="AC186" s="22">
        <f t="shared" si="163"/>
        <v>8.8685464275650627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267</v>
      </c>
      <c r="AJ186" s="13">
        <f>AI186*VLOOKUP('Données projet'!$B$10,Paramètres!$A$1:$I$89,3,0)*VLOOKUP('Données projet'!$B$10,Paramètres!$A$1:$I$89,5,0)</f>
        <v>241.58159999999998</v>
      </c>
      <c r="AK186" s="13">
        <f t="shared" si="164"/>
        <v>58.779689232021951</v>
      </c>
      <c r="AL186" s="20">
        <f t="shared" si="165"/>
        <v>523.12924541243819</v>
      </c>
      <c r="AM186" s="59">
        <f t="shared" si="113"/>
        <v>816.46257874577145</v>
      </c>
      <c r="AN186" s="59">
        <f ca="1">AVERAGE(OFFSET($AM$3,0,0,'Données projet'!$E$10+1,1))-AVERAGE(OFFSET($H$3,0,0,'Données projet'!$E$10+1,1))</f>
        <v>364.3481978218424</v>
      </c>
      <c r="AO186" s="59">
        <f t="shared" si="144"/>
        <v>231.36959598460686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19.660098549388184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19.660098549388184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267</v>
      </c>
      <c r="BE186" s="13">
        <f>BD186*VLOOKUP('Données projet'!$B$11,Paramètres!$A$1:$I$89,3,0)*VLOOKUP('Données projet'!$B$11,Paramètres!$A$1:$I$89,5,0)</f>
        <v>270.738</v>
      </c>
      <c r="BF186" s="13">
        <f t="shared" si="167"/>
        <v>65.005866623551711</v>
      </c>
      <c r="BG186" s="20">
        <f t="shared" si="168"/>
        <v>584.7539010360191</v>
      </c>
      <c r="BH186" s="59">
        <f t="shared" si="116"/>
        <v>878.08723436935247</v>
      </c>
      <c r="BI186" s="59">
        <f ca="1">AVERAGE(OFFSET($BH$3,0,0,'Données projet'!$E$11+1,1))-AVERAGE(OFFSET($H$3,0,0,'Données projet'!$E$11+1,1))</f>
        <v>403.50418598112844</v>
      </c>
      <c r="BJ186" s="59">
        <f t="shared" si="146"/>
        <v>254.25036207346591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22.032869063969503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22.032869063969503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636.99999999999977</v>
      </c>
      <c r="O187" s="13">
        <f>N187*VLOOKUP('Données projet'!$B$9,Paramètres!$A$1:$I$89,3,0)*VLOOKUP('Données projet'!$B$9,Paramètres!$A$1:$I$89,5,0)</f>
        <v>356.08299999999991</v>
      </c>
      <c r="P187" s="13">
        <f t="shared" si="141"/>
        <v>82.813805255716545</v>
      </c>
      <c r="Q187" s="20">
        <f t="shared" si="162"/>
        <v>764.41193582037283</v>
      </c>
      <c r="R187" s="59">
        <f t="shared" si="109"/>
        <v>1057.7452691537062</v>
      </c>
      <c r="S187" s="59">
        <f ca="1">AVERAGE(OFFSET($R$3,0,0,'Données projet'!$E$9+1,1))-AVERAGE(OFFSET($H$3,0,0,'Données projet'!$E$9+1,1))</f>
        <v>443.34220761968419</v>
      </c>
      <c r="T187" s="59">
        <f t="shared" si="142"/>
        <v>546.58234447298014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8.3854116318166412</v>
      </c>
      <c r="AA187" s="21">
        <f>EXP(-LN(2)/25)*AA186+(1-EXP(-LN(2)/25))/(LN(2)/25)*Calculateur!V187*Calculateur!X187*VLOOKUP('Données projet'!$B$9,Paramètres!$A$1:$I$89,3,0)*0.475*44/12</f>
        <v>0.30678808053649392</v>
      </c>
      <c r="AB187" s="21">
        <f>EXP(-LN(2)/2)*AB186+(1-EXP(-LN(2)/2))/(LN(2)/2)*V187*Y187*VLOOKUP('Données projet'!$B$9,Paramètres!$A$1:$I$89,3,0)*0.475*44/12</f>
        <v>3.9981257693182402E-23</v>
      </c>
      <c r="AC187" s="22">
        <f t="shared" si="163"/>
        <v>8.6921997123531352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267</v>
      </c>
      <c r="AJ187" s="13">
        <f>AI187*VLOOKUP('Données projet'!$B$10,Paramètres!$A$1:$I$89,3,0)*VLOOKUP('Données projet'!$B$10,Paramètres!$A$1:$I$89,5,0)</f>
        <v>241.58159999999998</v>
      </c>
      <c r="AK187" s="13">
        <f t="shared" si="164"/>
        <v>58.779689232021951</v>
      </c>
      <c r="AL187" s="20">
        <f t="shared" si="165"/>
        <v>523.12924541243819</v>
      </c>
      <c r="AM187" s="59">
        <f t="shared" si="113"/>
        <v>816.46257874577145</v>
      </c>
      <c r="AN187" s="59">
        <f ca="1">AVERAGE(OFFSET($AM$3,0,0,'Données projet'!$E$10+1,1))-AVERAGE(OFFSET($H$3,0,0,'Données projet'!$E$10+1,1))</f>
        <v>364.3481978218424</v>
      </c>
      <c r="AO187" s="59">
        <f t="shared" si="144"/>
        <v>231.36959598460686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19.274576008310738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19.274576008310738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267</v>
      </c>
      <c r="BE187" s="13">
        <f>BD187*VLOOKUP('Données projet'!$B$11,Paramètres!$A$1:$I$89,3,0)*VLOOKUP('Données projet'!$B$11,Paramètres!$A$1:$I$89,5,0)</f>
        <v>270.738</v>
      </c>
      <c r="BF187" s="13">
        <f t="shared" si="167"/>
        <v>65.005866623551711</v>
      </c>
      <c r="BG187" s="20">
        <f t="shared" si="168"/>
        <v>584.7539010360191</v>
      </c>
      <c r="BH187" s="59">
        <f t="shared" si="116"/>
        <v>878.08723436935247</v>
      </c>
      <c r="BI187" s="59">
        <f ca="1">AVERAGE(OFFSET($BH$3,0,0,'Données projet'!$E$11+1,1))-AVERAGE(OFFSET($H$3,0,0,'Données projet'!$E$11+1,1))</f>
        <v>403.50418598112844</v>
      </c>
      <c r="BJ187" s="59">
        <f t="shared" si="146"/>
        <v>254.25036207346591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21.600817940348225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21.600817940348225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636.99999999999977</v>
      </c>
      <c r="O188" s="13">
        <f>N188*VLOOKUP('Données projet'!$B$9,Paramètres!$A$1:$I$89,3,0)*VLOOKUP('Données projet'!$B$9,Paramètres!$A$1:$I$89,5,0)</f>
        <v>356.08299999999991</v>
      </c>
      <c r="P188" s="13">
        <f t="shared" si="141"/>
        <v>82.813805255716545</v>
      </c>
      <c r="Q188" s="20">
        <f t="shared" si="162"/>
        <v>764.41193582037283</v>
      </c>
      <c r="R188" s="59">
        <f t="shared" si="109"/>
        <v>1057.7452691537062</v>
      </c>
      <c r="S188" s="59">
        <f ca="1">AVERAGE(OFFSET($R$3,0,0,'Données projet'!$E$9+1,1))-AVERAGE(OFFSET($H$3,0,0,'Données projet'!$E$9+1,1))</f>
        <v>443.34220761968419</v>
      </c>
      <c r="T188" s="59">
        <f t="shared" si="142"/>
        <v>546.58234447298014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8.2209788243127875</v>
      </c>
      <c r="AA188" s="21">
        <f>EXP(-LN(2)/25)*AA187+(1-EXP(-LN(2)/25))/(LN(2)/25)*Calculateur!V188*Calculateur!X188*VLOOKUP('Données projet'!$B$9,Paramètres!$A$1:$I$89,3,0)*0.475*44/12</f>
        <v>0.2983989443409395</v>
      </c>
      <c r="AB188" s="21">
        <f>EXP(-LN(2)/2)*AB187+(1-EXP(-LN(2)/2))/(LN(2)/2)*V188*Y188*VLOOKUP('Données projet'!$B$9,Paramètres!$A$1:$I$89,3,0)*0.475*44/12</f>
        <v>2.8271018435216099E-23</v>
      </c>
      <c r="AC188" s="22">
        <f t="shared" si="163"/>
        <v>8.5193777686537278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267</v>
      </c>
      <c r="AJ188" s="13">
        <f>AI188*VLOOKUP('Données projet'!$B$10,Paramètres!$A$1:$I$89,3,0)*VLOOKUP('Données projet'!$B$10,Paramètres!$A$1:$I$89,5,0)</f>
        <v>241.58159999999998</v>
      </c>
      <c r="AK188" s="13">
        <f t="shared" si="164"/>
        <v>58.779689232021951</v>
      </c>
      <c r="AL188" s="20">
        <f t="shared" si="165"/>
        <v>523.12924541243819</v>
      </c>
      <c r="AM188" s="59">
        <f t="shared" si="113"/>
        <v>816.46257874577145</v>
      </c>
      <c r="AN188" s="59">
        <f ca="1">AVERAGE(OFFSET($AM$3,0,0,'Données projet'!$E$10+1,1))-AVERAGE(OFFSET($H$3,0,0,'Données projet'!$E$10+1,1))</f>
        <v>364.3481978218424</v>
      </c>
      <c r="AO188" s="59">
        <f t="shared" si="144"/>
        <v>231.36959598460686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18.896613329118289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18.896613329118289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267</v>
      </c>
      <c r="BE188" s="13">
        <f>BD188*VLOOKUP('Données projet'!$B$11,Paramètres!$A$1:$I$89,3,0)*VLOOKUP('Données projet'!$B$11,Paramètres!$A$1:$I$89,5,0)</f>
        <v>270.738</v>
      </c>
      <c r="BF188" s="13">
        <f t="shared" si="167"/>
        <v>65.005866623551711</v>
      </c>
      <c r="BG188" s="20">
        <f t="shared" si="168"/>
        <v>584.7539010360191</v>
      </c>
      <c r="BH188" s="59">
        <f t="shared" si="116"/>
        <v>878.08723436935247</v>
      </c>
      <c r="BI188" s="59">
        <f ca="1">AVERAGE(OFFSET($BH$3,0,0,'Données projet'!$E$11+1,1))-AVERAGE(OFFSET($H$3,0,0,'Données projet'!$E$11+1,1))</f>
        <v>403.50418598112844</v>
      </c>
      <c r="BJ188" s="59">
        <f t="shared" si="146"/>
        <v>254.25036207346591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21.177239075735997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21.177239075735997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636.99999999999977</v>
      </c>
      <c r="O189" s="13">
        <f>N189*VLOOKUP('Données projet'!$B$9,Paramètres!$A$1:$I$89,3,0)*VLOOKUP('Données projet'!$B$9,Paramètres!$A$1:$I$89,5,0)</f>
        <v>356.08299999999991</v>
      </c>
      <c r="P189" s="13">
        <f t="shared" si="141"/>
        <v>82.813805255716545</v>
      </c>
      <c r="Q189" s="20">
        <f t="shared" si="162"/>
        <v>764.41193582037283</v>
      </c>
      <c r="R189" s="59">
        <f t="shared" si="109"/>
        <v>1057.7452691537062</v>
      </c>
      <c r="S189" s="59">
        <f ca="1">AVERAGE(OFFSET($R$3,0,0,'Données projet'!$E$9+1,1))-AVERAGE(OFFSET($H$3,0,0,'Données projet'!$E$9+1,1))</f>
        <v>443.34220761968419</v>
      </c>
      <c r="T189" s="59">
        <f t="shared" si="142"/>
        <v>546.58234447298014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8.0597704438699758</v>
      </c>
      <c r="AA189" s="21">
        <f>EXP(-LN(2)/25)*AA188+(1-EXP(-LN(2)/25))/(LN(2)/25)*Calculateur!V189*Calculateur!X189*VLOOKUP('Données projet'!$B$9,Paramètres!$A$1:$I$89,3,0)*0.475*44/12</f>
        <v>0.290239209515818</v>
      </c>
      <c r="AB189" s="21">
        <f>EXP(-LN(2)/2)*AB188+(1-EXP(-LN(2)/2))/(LN(2)/2)*V189*Y189*VLOOKUP('Données projet'!$B$9,Paramètres!$A$1:$I$89,3,0)*0.475*44/12</f>
        <v>1.9990628846591201E-23</v>
      </c>
      <c r="AC189" s="22">
        <f t="shared" si="163"/>
        <v>8.3500096533857935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267</v>
      </c>
      <c r="AJ189" s="13">
        <f>AI189*VLOOKUP('Données projet'!$B$10,Paramètres!$A$1:$I$89,3,0)*VLOOKUP('Données projet'!$B$10,Paramètres!$A$1:$I$89,5,0)</f>
        <v>241.58159999999998</v>
      </c>
      <c r="AK189" s="13">
        <f t="shared" si="164"/>
        <v>58.779689232021951</v>
      </c>
      <c r="AL189" s="20">
        <f t="shared" si="165"/>
        <v>523.12924541243819</v>
      </c>
      <c r="AM189" s="59">
        <f t="shared" si="113"/>
        <v>816.46257874577145</v>
      </c>
      <c r="AN189" s="59">
        <f ca="1">AVERAGE(OFFSET($AM$3,0,0,'Données projet'!$E$10+1,1))-AVERAGE(OFFSET($H$3,0,0,'Données projet'!$E$10+1,1))</f>
        <v>364.3481978218424</v>
      </c>
      <c r="AO189" s="59">
        <f t="shared" si="144"/>
        <v>231.36959598460686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18.526062267530332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18.526062267530332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267</v>
      </c>
      <c r="BE189" s="13">
        <f>BD189*VLOOKUP('Données projet'!$B$11,Paramètres!$A$1:$I$89,3,0)*VLOOKUP('Données projet'!$B$11,Paramètres!$A$1:$I$89,5,0)</f>
        <v>270.738</v>
      </c>
      <c r="BF189" s="13">
        <f t="shared" si="167"/>
        <v>65.005866623551711</v>
      </c>
      <c r="BG189" s="20">
        <f t="shared" si="168"/>
        <v>584.7539010360191</v>
      </c>
      <c r="BH189" s="59">
        <f t="shared" si="116"/>
        <v>878.08723436935247</v>
      </c>
      <c r="BI189" s="59">
        <f ca="1">AVERAGE(OFFSET($BH$3,0,0,'Données projet'!$E$11+1,1))-AVERAGE(OFFSET($H$3,0,0,'Données projet'!$E$11+1,1))</f>
        <v>403.50418598112844</v>
      </c>
      <c r="BJ189" s="59">
        <f t="shared" si="146"/>
        <v>254.25036207346591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20.761966334301217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20.761966334301217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636.99999999999977</v>
      </c>
      <c r="O190" s="13">
        <f>N190*VLOOKUP('Données projet'!$B$9,Paramètres!$A$1:$I$89,3,0)*VLOOKUP('Données projet'!$B$9,Paramètres!$A$1:$I$89,5,0)</f>
        <v>356.08299999999991</v>
      </c>
      <c r="P190" s="13">
        <f t="shared" si="141"/>
        <v>82.813805255716545</v>
      </c>
      <c r="Q190" s="20">
        <f t="shared" si="162"/>
        <v>764.41193582037283</v>
      </c>
      <c r="R190" s="59">
        <f t="shared" si="109"/>
        <v>1057.7452691537062</v>
      </c>
      <c r="S190" s="59">
        <f ca="1">AVERAGE(OFFSET($R$3,0,0,'Données projet'!$E$9+1,1))-AVERAGE(OFFSET($H$3,0,0,'Données projet'!$E$9+1,1))</f>
        <v>443.34220761968419</v>
      </c>
      <c r="T190" s="59">
        <f t="shared" si="142"/>
        <v>546.58234447298014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7.9017232614402442</v>
      </c>
      <c r="AA190" s="21">
        <f>EXP(-LN(2)/25)*AA189+(1-EXP(-LN(2)/25))/(LN(2)/25)*Calculateur!V190*Calculateur!X190*VLOOKUP('Données projet'!$B$9,Paramètres!$A$1:$I$89,3,0)*0.475*44/12</f>
        <v>0.28230260306859128</v>
      </c>
      <c r="AB190" s="21">
        <f>EXP(-LN(2)/2)*AB189+(1-EXP(-LN(2)/2))/(LN(2)/2)*V190*Y190*VLOOKUP('Données projet'!$B$9,Paramètres!$A$1:$I$89,3,0)*0.475*44/12</f>
        <v>1.4135509217608049E-23</v>
      </c>
      <c r="AC190" s="22">
        <f t="shared" si="163"/>
        <v>8.1840258645088362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267</v>
      </c>
      <c r="AJ190" s="13">
        <f>AI190*VLOOKUP('Données projet'!$B$10,Paramètres!$A$1:$I$89,3,0)*VLOOKUP('Données projet'!$B$10,Paramètres!$A$1:$I$89,5,0)</f>
        <v>241.58159999999998</v>
      </c>
      <c r="AK190" s="13">
        <f t="shared" si="164"/>
        <v>58.779689232021951</v>
      </c>
      <c r="AL190" s="20">
        <f t="shared" si="165"/>
        <v>523.12924541243819</v>
      </c>
      <c r="AM190" s="59">
        <f t="shared" si="113"/>
        <v>816.46257874577145</v>
      </c>
      <c r="AN190" s="59">
        <f ca="1">AVERAGE(OFFSET($AM$3,0,0,'Données projet'!$E$10+1,1))-AVERAGE(OFFSET($H$3,0,0,'Données projet'!$E$10+1,1))</f>
        <v>364.3481978218424</v>
      </c>
      <c r="AO190" s="59">
        <f t="shared" si="144"/>
        <v>231.36959598460686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18.162777486246284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18.162777486246284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267</v>
      </c>
      <c r="BE190" s="13">
        <f>BD190*VLOOKUP('Données projet'!$B$11,Paramètres!$A$1:$I$89,3,0)*VLOOKUP('Données projet'!$B$11,Paramètres!$A$1:$I$89,5,0)</f>
        <v>270.738</v>
      </c>
      <c r="BF190" s="13">
        <f t="shared" si="167"/>
        <v>65.005866623551711</v>
      </c>
      <c r="BG190" s="20">
        <f t="shared" si="168"/>
        <v>584.7539010360191</v>
      </c>
      <c r="BH190" s="59">
        <f t="shared" si="116"/>
        <v>878.08723436935247</v>
      </c>
      <c r="BI190" s="59">
        <f ca="1">AVERAGE(OFFSET($BH$3,0,0,'Données projet'!$E$11+1,1))-AVERAGE(OFFSET($H$3,0,0,'Données projet'!$E$11+1,1))</f>
        <v>403.50418598112844</v>
      </c>
      <c r="BJ190" s="59">
        <f t="shared" si="146"/>
        <v>254.25036207346591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20.354836838034611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20.354836838034611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636.99999999999977</v>
      </c>
      <c r="O191" s="13">
        <f>N191*VLOOKUP('Données projet'!$B$9,Paramètres!$A$1:$I$89,3,0)*VLOOKUP('Données projet'!$B$9,Paramètres!$A$1:$I$89,5,0)</f>
        <v>356.08299999999991</v>
      </c>
      <c r="P191" s="13">
        <f t="shared" si="141"/>
        <v>82.813805255716545</v>
      </c>
      <c r="Q191" s="20">
        <f t="shared" si="162"/>
        <v>764.41193582037283</v>
      </c>
      <c r="R191" s="59">
        <f t="shared" si="109"/>
        <v>1057.7452691537062</v>
      </c>
      <c r="S191" s="59">
        <f ca="1">AVERAGE(OFFSET($R$3,0,0,'Données projet'!$E$9+1,1))-AVERAGE(OFFSET($H$3,0,0,'Données projet'!$E$9+1,1))</f>
        <v>443.34220761968419</v>
      </c>
      <c r="T191" s="59">
        <f t="shared" si="142"/>
        <v>546.58234447298014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7.7467752878586973</v>
      </c>
      <c r="AA191" s="21">
        <f>EXP(-LN(2)/25)*AA190+(1-EXP(-LN(2)/25))/(LN(2)/25)*Calculateur!V191*Calculateur!X191*VLOOKUP('Données projet'!$B$9,Paramètres!$A$1:$I$89,3,0)*0.475*44/12</f>
        <v>0.27458302354203196</v>
      </c>
      <c r="AB191" s="21">
        <f>EXP(-LN(2)/2)*AB190+(1-EXP(-LN(2)/2))/(LN(2)/2)*V191*Y191*VLOOKUP('Données projet'!$B$9,Paramètres!$A$1:$I$89,3,0)*0.475*44/12</f>
        <v>9.9953144232956006E-24</v>
      </c>
      <c r="AC191" s="22">
        <f t="shared" si="163"/>
        <v>8.0213583114007285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267</v>
      </c>
      <c r="AJ191" s="13">
        <f>AI191*VLOOKUP('Données projet'!$B$10,Paramètres!$A$1:$I$89,3,0)*VLOOKUP('Données projet'!$B$10,Paramètres!$A$1:$I$89,5,0)</f>
        <v>241.58159999999998</v>
      </c>
      <c r="AK191" s="13">
        <f t="shared" si="164"/>
        <v>58.779689232021951</v>
      </c>
      <c r="AL191" s="20">
        <f t="shared" si="165"/>
        <v>523.12924541243819</v>
      </c>
      <c r="AM191" s="59">
        <f t="shared" si="113"/>
        <v>816.46257874577145</v>
      </c>
      <c r="AN191" s="59">
        <f ca="1">AVERAGE(OFFSET($AM$3,0,0,'Données projet'!$E$10+1,1))-AVERAGE(OFFSET($H$3,0,0,'Données projet'!$E$10+1,1))</f>
        <v>364.3481978218424</v>
      </c>
      <c r="AO191" s="59">
        <f t="shared" si="144"/>
        <v>231.36959598460686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17.806616497941381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17.806616497941381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267</v>
      </c>
      <c r="BE191" s="13">
        <f>BD191*VLOOKUP('Données projet'!$B$11,Paramètres!$A$1:$I$89,3,0)*VLOOKUP('Données projet'!$B$11,Paramètres!$A$1:$I$89,5,0)</f>
        <v>270.738</v>
      </c>
      <c r="BF191" s="13">
        <f t="shared" si="167"/>
        <v>65.005866623551711</v>
      </c>
      <c r="BG191" s="20">
        <f t="shared" si="168"/>
        <v>584.7539010360191</v>
      </c>
      <c r="BH191" s="59">
        <f t="shared" si="116"/>
        <v>878.08723436935247</v>
      </c>
      <c r="BI191" s="59">
        <f ca="1">AVERAGE(OFFSET($BH$3,0,0,'Données projet'!$E$11+1,1))-AVERAGE(OFFSET($H$3,0,0,'Données projet'!$E$11+1,1))</f>
        <v>403.50418598112844</v>
      </c>
      <c r="BJ191" s="59">
        <f t="shared" si="146"/>
        <v>254.25036207346591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19.955690902865321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19.955690902865321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636.99999999999977</v>
      </c>
      <c r="O192" s="13">
        <f>N192*VLOOKUP('Données projet'!$B$9,Paramètres!$A$1:$I$89,3,0)*VLOOKUP('Données projet'!$B$9,Paramètres!$A$1:$I$89,5,0)</f>
        <v>356.08299999999991</v>
      </c>
      <c r="P192" s="13">
        <f t="shared" si="141"/>
        <v>82.813805255716545</v>
      </c>
      <c r="Q192" s="20">
        <f t="shared" si="162"/>
        <v>764.41193582037283</v>
      </c>
      <c r="R192" s="59">
        <f t="shared" si="109"/>
        <v>1057.7452691537062</v>
      </c>
      <c r="S192" s="59">
        <f ca="1">AVERAGE(OFFSET($R$3,0,0,'Données projet'!$E$9+1,1))-AVERAGE(OFFSET($H$3,0,0,'Données projet'!$E$9+1,1))</f>
        <v>443.34220761968419</v>
      </c>
      <c r="T192" s="59">
        <f t="shared" si="142"/>
        <v>546.58234447298014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7.5948657495301521</v>
      </c>
      <c r="AA192" s="21">
        <f>EXP(-LN(2)/25)*AA191+(1-EXP(-LN(2)/25))/(LN(2)/25)*Calculateur!V192*Calculateur!X192*VLOOKUP('Données projet'!$B$9,Paramètres!$A$1:$I$89,3,0)*0.475*44/12</f>
        <v>0.26707453632358147</v>
      </c>
      <c r="AB192" s="21">
        <f>EXP(-LN(2)/2)*AB191+(1-EXP(-LN(2)/2))/(LN(2)/2)*V192*Y192*VLOOKUP('Données projet'!$B$9,Paramètres!$A$1:$I$89,3,0)*0.475*44/12</f>
        <v>7.0677546088040246E-24</v>
      </c>
      <c r="AC192" s="22">
        <f t="shared" si="163"/>
        <v>7.8619402858537333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267</v>
      </c>
      <c r="AJ192" s="13">
        <f>AI192*VLOOKUP('Données projet'!$B$10,Paramètres!$A$1:$I$89,3,0)*VLOOKUP('Données projet'!$B$10,Paramètres!$A$1:$I$89,5,0)</f>
        <v>241.58159999999998</v>
      </c>
      <c r="AK192" s="13">
        <f t="shared" si="164"/>
        <v>58.779689232021951</v>
      </c>
      <c r="AL192" s="20">
        <f t="shared" si="165"/>
        <v>523.12924541243819</v>
      </c>
      <c r="AM192" s="59">
        <f t="shared" si="113"/>
        <v>816.46257874577145</v>
      </c>
      <c r="AN192" s="59">
        <f ca="1">AVERAGE(OFFSET($AM$3,0,0,'Données projet'!$E$10+1,1))-AVERAGE(OFFSET($H$3,0,0,'Données projet'!$E$10+1,1))</f>
        <v>364.3481978218424</v>
      </c>
      <c r="AO192" s="59">
        <f t="shared" si="144"/>
        <v>231.36959598460686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17.457439609380383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17.457439609380383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267</v>
      </c>
      <c r="BE192" s="13">
        <f>BD192*VLOOKUP('Données projet'!$B$11,Paramètres!$A$1:$I$89,3,0)*VLOOKUP('Données projet'!$B$11,Paramètres!$A$1:$I$89,5,0)</f>
        <v>270.738</v>
      </c>
      <c r="BF192" s="13">
        <f t="shared" si="167"/>
        <v>65.005866623551711</v>
      </c>
      <c r="BG192" s="20">
        <f t="shared" si="168"/>
        <v>584.7539010360191</v>
      </c>
      <c r="BH192" s="59">
        <f t="shared" si="116"/>
        <v>878.08723436935247</v>
      </c>
      <c r="BI192" s="59">
        <f ca="1">AVERAGE(OFFSET($BH$3,0,0,'Données projet'!$E$11+1,1))-AVERAGE(OFFSET($H$3,0,0,'Données projet'!$E$11+1,1))</f>
        <v>403.50418598112844</v>
      </c>
      <c r="BJ192" s="59">
        <f t="shared" si="146"/>
        <v>254.25036207346591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19.564371976029719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19.564371976029719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636.99999999999977</v>
      </c>
      <c r="O193" s="13">
        <f>N193*VLOOKUP('Données projet'!$B$9,Paramètres!$A$1:$I$89,3,0)*VLOOKUP('Données projet'!$B$9,Paramètres!$A$1:$I$89,5,0)</f>
        <v>356.08299999999991</v>
      </c>
      <c r="P193" s="13">
        <f t="shared" si="141"/>
        <v>82.813805255716545</v>
      </c>
      <c r="Q193" s="20">
        <f t="shared" si="162"/>
        <v>764.41193582037283</v>
      </c>
      <c r="R193" s="59">
        <f t="shared" si="109"/>
        <v>1057.7452691537062</v>
      </c>
      <c r="S193" s="59">
        <f ca="1">AVERAGE(OFFSET($R$3,0,0,'Données projet'!$E$9+1,1))-AVERAGE(OFFSET($H$3,0,0,'Données projet'!$E$9+1,1))</f>
        <v>443.34220761968419</v>
      </c>
      <c r="T193" s="59">
        <f t="shared" si="142"/>
        <v>546.58234447298014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7.4459350645925602</v>
      </c>
      <c r="AA193" s="21">
        <f>EXP(-LN(2)/25)*AA192+(1-EXP(-LN(2)/25))/(LN(2)/25)*Calculateur!V193*Calculateur!X193*VLOOKUP('Données projet'!$B$9,Paramètres!$A$1:$I$89,3,0)*0.475*44/12</f>
        <v>0.25977136908297366</v>
      </c>
      <c r="AB193" s="21">
        <f>EXP(-LN(2)/2)*AB192+(1-EXP(-LN(2)/2))/(LN(2)/2)*V193*Y193*VLOOKUP('Données projet'!$B$9,Paramètres!$A$1:$I$89,3,0)*0.475*44/12</f>
        <v>4.9976572116478003E-24</v>
      </c>
      <c r="AC193" s="22">
        <f t="shared" si="163"/>
        <v>7.7057064336755339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267</v>
      </c>
      <c r="AJ193" s="13">
        <f>AI193*VLOOKUP('Données projet'!$B$10,Paramètres!$A$1:$I$89,3,0)*VLOOKUP('Données projet'!$B$10,Paramètres!$A$1:$I$89,5,0)</f>
        <v>241.58159999999998</v>
      </c>
      <c r="AK193" s="13">
        <f t="shared" si="164"/>
        <v>58.779689232021951</v>
      </c>
      <c r="AL193" s="20">
        <f t="shared" si="165"/>
        <v>523.12924541243819</v>
      </c>
      <c r="AM193" s="59">
        <f t="shared" si="113"/>
        <v>816.46257874577145</v>
      </c>
      <c r="AN193" s="59">
        <f ca="1">AVERAGE(OFFSET($AM$3,0,0,'Données projet'!$E$10+1,1))-AVERAGE(OFFSET($H$3,0,0,'Données projet'!$E$10+1,1))</f>
        <v>364.3481978218424</v>
      </c>
      <c r="AO193" s="59">
        <f t="shared" si="144"/>
        <v>231.36959598460686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17.115109866627193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17.115109866627193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267</v>
      </c>
      <c r="BE193" s="13">
        <f>BD193*VLOOKUP('Données projet'!$B$11,Paramètres!$A$1:$I$89,3,0)*VLOOKUP('Données projet'!$B$11,Paramètres!$A$1:$I$89,5,0)</f>
        <v>270.738</v>
      </c>
      <c r="BF193" s="13">
        <f t="shared" si="167"/>
        <v>65.005866623551711</v>
      </c>
      <c r="BG193" s="20">
        <f t="shared" si="168"/>
        <v>584.7539010360191</v>
      </c>
      <c r="BH193" s="59">
        <f t="shared" si="116"/>
        <v>878.08723436935247</v>
      </c>
      <c r="BI193" s="59">
        <f ca="1">AVERAGE(OFFSET($BH$3,0,0,'Données projet'!$E$11+1,1))-AVERAGE(OFFSET($H$3,0,0,'Données projet'!$E$11+1,1))</f>
        <v>403.50418598112844</v>
      </c>
      <c r="BJ193" s="59">
        <f t="shared" si="146"/>
        <v>254.25036207346591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19.180726574668387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19.180726574668387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636.99999999999977</v>
      </c>
      <c r="O194" s="13">
        <f>N194*VLOOKUP('Données projet'!$B$9,Paramètres!$A$1:$I$89,3,0)*VLOOKUP('Données projet'!$B$9,Paramètres!$A$1:$I$89,5,0)</f>
        <v>356.08299999999991</v>
      </c>
      <c r="P194" s="13">
        <f t="shared" si="141"/>
        <v>82.813805255716545</v>
      </c>
      <c r="Q194" s="20">
        <f t="shared" si="162"/>
        <v>764.41193582037283</v>
      </c>
      <c r="R194" s="59">
        <f t="shared" si="109"/>
        <v>1057.7452691537062</v>
      </c>
      <c r="S194" s="59">
        <f ca="1">AVERAGE(OFFSET($R$3,0,0,'Données projet'!$E$9+1,1))-AVERAGE(OFFSET($H$3,0,0,'Données projet'!$E$9+1,1))</f>
        <v>443.34220761968419</v>
      </c>
      <c r="T194" s="59">
        <f t="shared" si="142"/>
        <v>546.58234447298014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7.2999248195478463</v>
      </c>
      <c r="AA194" s="21">
        <f>EXP(-LN(2)/25)*AA193+(1-EXP(-LN(2)/25))/(LN(2)/25)*Calculateur!V194*Calculateur!X194*VLOOKUP('Données projet'!$B$9,Paramètres!$A$1:$I$89,3,0)*0.475*44/12</f>
        <v>0.25266790733461714</v>
      </c>
      <c r="AB194" s="21">
        <f>EXP(-LN(2)/2)*AB193+(1-EXP(-LN(2)/2))/(LN(2)/2)*V194*Y194*VLOOKUP('Données projet'!$B$9,Paramètres!$A$1:$I$89,3,0)*0.475*44/12</f>
        <v>3.5338773044020123E-24</v>
      </c>
      <c r="AC194" s="22">
        <f t="shared" si="163"/>
        <v>7.5525927268824633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267</v>
      </c>
      <c r="AJ194" s="13">
        <f>AI194*VLOOKUP('Données projet'!$B$10,Paramètres!$A$1:$I$89,3,0)*VLOOKUP('Données projet'!$B$10,Paramètres!$A$1:$I$89,5,0)</f>
        <v>241.58159999999998</v>
      </c>
      <c r="AK194" s="13">
        <f t="shared" si="164"/>
        <v>58.779689232021951</v>
      </c>
      <c r="AL194" s="20">
        <f t="shared" si="165"/>
        <v>523.12924541243819</v>
      </c>
      <c r="AM194" s="59">
        <f t="shared" si="113"/>
        <v>816.46257874577145</v>
      </c>
      <c r="AN194" s="59">
        <f ca="1">AVERAGE(OFFSET($AM$3,0,0,'Données projet'!$E$10+1,1))-AVERAGE(OFFSET($H$3,0,0,'Données projet'!$E$10+1,1))</f>
        <v>364.3481978218424</v>
      </c>
      <c r="AO194" s="59">
        <f t="shared" si="144"/>
        <v>231.36959598460686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16.77949300132887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16.77949300132887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267</v>
      </c>
      <c r="BE194" s="13">
        <f>BD194*VLOOKUP('Données projet'!$B$11,Paramètres!$A$1:$I$89,3,0)*VLOOKUP('Données projet'!$B$11,Paramètres!$A$1:$I$89,5,0)</f>
        <v>270.738</v>
      </c>
      <c r="BF194" s="13">
        <f t="shared" si="167"/>
        <v>65.005866623551711</v>
      </c>
      <c r="BG194" s="20">
        <f t="shared" si="168"/>
        <v>584.7539010360191</v>
      </c>
      <c r="BH194" s="59">
        <f t="shared" si="116"/>
        <v>878.08723436935247</v>
      </c>
      <c r="BI194" s="59">
        <f ca="1">AVERAGE(OFFSET($BH$3,0,0,'Données projet'!$E$11+1,1))-AVERAGE(OFFSET($H$3,0,0,'Données projet'!$E$11+1,1))</f>
        <v>403.50418598112844</v>
      </c>
      <c r="BJ194" s="59">
        <f t="shared" si="146"/>
        <v>254.25036207346591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18.804604225627163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18.804604225627163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636.99999999999977</v>
      </c>
      <c r="O195" s="13">
        <f>N195*VLOOKUP('Données projet'!$B$9,Paramètres!$A$1:$I$89,3,0)*VLOOKUP('Données projet'!$B$9,Paramètres!$A$1:$I$89,5,0)</f>
        <v>356.08299999999991</v>
      </c>
      <c r="P195" s="13">
        <f t="shared" si="141"/>
        <v>82.813805255716545</v>
      </c>
      <c r="Q195" s="20">
        <f t="shared" si="162"/>
        <v>764.41193582037283</v>
      </c>
      <c r="R195" s="59">
        <f t="shared" ref="R195:R203" si="191">Q195+(I195+J195)*44/12</f>
        <v>1057.7452691537062</v>
      </c>
      <c r="S195" s="59">
        <f ca="1">AVERAGE(OFFSET($R$3,0,0,'Données projet'!$E$9+1,1))-AVERAGE(OFFSET($H$3,0,0,'Données projet'!$E$9+1,1))</f>
        <v>443.34220761968419</v>
      </c>
      <c r="T195" s="59">
        <f t="shared" si="142"/>
        <v>546.58234447298014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7.1567777463510041</v>
      </c>
      <c r="AA195" s="21">
        <f>EXP(-LN(2)/25)*AA194+(1-EXP(-LN(2)/25))/(LN(2)/25)*Calculateur!V195*Calculateur!X195*VLOOKUP('Données projet'!$B$9,Paramètres!$A$1:$I$89,3,0)*0.475*44/12</f>
        <v>0.24575869012132426</v>
      </c>
      <c r="AB195" s="21">
        <f>EXP(-LN(2)/2)*AB194+(1-EXP(-LN(2)/2))/(LN(2)/2)*V195*Y195*VLOOKUP('Données projet'!$B$9,Paramètres!$A$1:$I$89,3,0)*0.475*44/12</f>
        <v>2.4988286058239002E-24</v>
      </c>
      <c r="AC195" s="22">
        <f t="shared" si="163"/>
        <v>7.4025364364723281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267</v>
      </c>
      <c r="AJ195" s="13">
        <f>AI195*VLOOKUP('Données projet'!$B$10,Paramètres!$A$1:$I$89,3,0)*VLOOKUP('Données projet'!$B$10,Paramètres!$A$1:$I$89,5,0)</f>
        <v>241.58159999999998</v>
      </c>
      <c r="AK195" s="13">
        <f t="shared" si="164"/>
        <v>58.779689232021951</v>
      </c>
      <c r="AL195" s="20">
        <f t="shared" si="165"/>
        <v>523.12924541243819</v>
      </c>
      <c r="AM195" s="59">
        <f t="shared" si="113"/>
        <v>816.46257874577145</v>
      </c>
      <c r="AN195" s="59">
        <f ca="1">AVERAGE(OFFSET($AM$3,0,0,'Données projet'!$E$10+1,1))-AVERAGE(OFFSET($H$3,0,0,'Données projet'!$E$10+1,1))</f>
        <v>364.3481978218424</v>
      </c>
      <c r="AO195" s="59">
        <f t="shared" si="144"/>
        <v>231.36959598460686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16.45045737805297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16.45045737805297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267</v>
      </c>
      <c r="BE195" s="13">
        <f>BD195*VLOOKUP('Données projet'!$B$11,Paramètres!$A$1:$I$89,3,0)*VLOOKUP('Données projet'!$B$11,Paramètres!$A$1:$I$89,5,0)</f>
        <v>270.738</v>
      </c>
      <c r="BF195" s="13">
        <f t="shared" si="167"/>
        <v>65.005866623551711</v>
      </c>
      <c r="BG195" s="20">
        <f t="shared" si="168"/>
        <v>584.7539010360191</v>
      </c>
      <c r="BH195" s="59">
        <f t="shared" si="116"/>
        <v>878.08723436935247</v>
      </c>
      <c r="BI195" s="59">
        <f ca="1">AVERAGE(OFFSET($BH$3,0,0,'Données projet'!$E$11+1,1))-AVERAGE(OFFSET($H$3,0,0,'Données projet'!$E$11+1,1))</f>
        <v>403.50418598112844</v>
      </c>
      <c r="BJ195" s="59">
        <f t="shared" si="146"/>
        <v>254.25036207346591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18.435857406438654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18.435857406438654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636.99999999999977</v>
      </c>
      <c r="O196" s="13">
        <f>N196*VLOOKUP('Données projet'!$B$9,Paramètres!$A$1:$I$89,3,0)*VLOOKUP('Données projet'!$B$9,Paramètres!$A$1:$I$89,5,0)</f>
        <v>356.08299999999991</v>
      </c>
      <c r="P196" s="13">
        <f t="shared" si="141"/>
        <v>82.813805255716545</v>
      </c>
      <c r="Q196" s="20">
        <f t="shared" si="162"/>
        <v>764.41193582037283</v>
      </c>
      <c r="R196" s="59">
        <f t="shared" si="191"/>
        <v>1057.7452691537062</v>
      </c>
      <c r="S196" s="59">
        <f ca="1">AVERAGE(OFFSET($R$3,0,0,'Données projet'!$E$9+1,1))-AVERAGE(OFFSET($H$3,0,0,'Données projet'!$E$9+1,1))</f>
        <v>443.34220761968419</v>
      </c>
      <c r="T196" s="59">
        <f t="shared" si="142"/>
        <v>546.58234447298014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7.0164376999484581</v>
      </c>
      <c r="AA196" s="21">
        <f>EXP(-LN(2)/25)*AA195+(1-EXP(-LN(2)/25))/(LN(2)/25)*Calculateur!V196*Calculateur!X196*VLOOKUP('Données projet'!$B$9,Paramètres!$A$1:$I$89,3,0)*0.475*44/12</f>
        <v>0.23903840581606883</v>
      </c>
      <c r="AB196" s="21">
        <f>EXP(-LN(2)/2)*AB195+(1-EXP(-LN(2)/2))/(LN(2)/2)*V196*Y196*VLOOKUP('Données projet'!$B$9,Paramètres!$A$1:$I$89,3,0)*0.475*44/12</f>
        <v>1.7669386522010062E-24</v>
      </c>
      <c r="AC196" s="22">
        <f t="shared" si="163"/>
        <v>7.2554761057645267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267</v>
      </c>
      <c r="AJ196" s="13">
        <f>AI196*VLOOKUP('Données projet'!$B$10,Paramètres!$A$1:$I$89,3,0)*VLOOKUP('Données projet'!$B$10,Paramètres!$A$1:$I$89,5,0)</f>
        <v>241.58159999999998</v>
      </c>
      <c r="AK196" s="13">
        <f t="shared" si="164"/>
        <v>58.779689232021951</v>
      </c>
      <c r="AL196" s="20">
        <f t="shared" si="165"/>
        <v>523.12924541243819</v>
      </c>
      <c r="AM196" s="59">
        <f t="shared" ref="AM196:AM203" si="193">AL196+(AD196+AE196)*44/12</f>
        <v>816.46257874577145</v>
      </c>
      <c r="AN196" s="59">
        <f ca="1">AVERAGE(OFFSET($AM$3,0,0,'Données projet'!$E$10+1,1))-AVERAGE(OFFSET($H$3,0,0,'Données projet'!$E$10+1,1))</f>
        <v>364.3481978218424</v>
      </c>
      <c r="AO196" s="59">
        <f t="shared" si="144"/>
        <v>231.36959598460686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16.127873942657597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16.127873942657597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267</v>
      </c>
      <c r="BE196" s="13">
        <f>BD196*VLOOKUP('Données projet'!$B$11,Paramètres!$A$1:$I$89,3,0)*VLOOKUP('Données projet'!$B$11,Paramètres!$A$1:$I$89,5,0)</f>
        <v>270.738</v>
      </c>
      <c r="BF196" s="13">
        <f t="shared" si="167"/>
        <v>65.005866623551711</v>
      </c>
      <c r="BG196" s="20">
        <f t="shared" si="168"/>
        <v>584.7539010360191</v>
      </c>
      <c r="BH196" s="59">
        <f t="shared" ref="BH196:BH203" si="194">BG196+(AY196+AZ196)*44/12</f>
        <v>878.08723436935247</v>
      </c>
      <c r="BI196" s="59">
        <f ca="1">AVERAGE(OFFSET($BH$3,0,0,'Données projet'!$E$11+1,1))-AVERAGE(OFFSET($H$3,0,0,'Données projet'!$E$11+1,1))</f>
        <v>403.50418598112844</v>
      </c>
      <c r="BJ196" s="59">
        <f t="shared" si="146"/>
        <v>254.25036207346591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18.07434148746108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18.07434148746108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636.99999999999977</v>
      </c>
      <c r="O197" s="13">
        <f>N197*VLOOKUP('Données projet'!$B$9,Paramètres!$A$1:$I$89,3,0)*VLOOKUP('Données projet'!$B$9,Paramètres!$A$1:$I$89,5,0)</f>
        <v>356.08299999999991</v>
      </c>
      <c r="P197" s="13">
        <f t="shared" ref="P197:P203" si="203">EXP(-1.0587+0.8836*LN(O197)+0.284)</f>
        <v>82.813805255716545</v>
      </c>
      <c r="Q197" s="20">
        <f t="shared" si="162"/>
        <v>764.41193582037283</v>
      </c>
      <c r="R197" s="59">
        <f t="shared" si="191"/>
        <v>1057.7452691537062</v>
      </c>
      <c r="S197" s="59">
        <f ca="1">AVERAGE(OFFSET($R$3,0,0,'Données projet'!$E$9+1,1))-AVERAGE(OFFSET($H$3,0,0,'Données projet'!$E$9+1,1))</f>
        <v>443.34220761968419</v>
      </c>
      <c r="T197" s="59">
        <f t="shared" ref="T197:T203" si="204">$T$3</f>
        <v>546.58234447298014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6.8788496362568896</v>
      </c>
      <c r="AA197" s="21">
        <f>EXP(-LN(2)/25)*AA196+(1-EXP(-LN(2)/25))/(LN(2)/25)*Calculateur!V197*Calculateur!X197*VLOOKUP('Données projet'!$B$9,Paramètres!$A$1:$I$89,3,0)*0.475*44/12</f>
        <v>0.23250188803854499</v>
      </c>
      <c r="AB197" s="21">
        <f>EXP(-LN(2)/2)*AB196+(1-EXP(-LN(2)/2))/(LN(2)/2)*V197*Y197*VLOOKUP('Données projet'!$B$9,Paramètres!$A$1:$I$89,3,0)*0.475*44/12</f>
        <v>1.2494143029119501E-24</v>
      </c>
      <c r="AC197" s="22">
        <f t="shared" si="163"/>
        <v>7.1113515242954346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267</v>
      </c>
      <c r="AJ197" s="13">
        <f>AI197*VLOOKUP('Données projet'!$B$10,Paramètres!$A$1:$I$89,3,0)*VLOOKUP('Données projet'!$B$10,Paramètres!$A$1:$I$89,5,0)</f>
        <v>241.58159999999998</v>
      </c>
      <c r="AK197" s="13">
        <f t="shared" si="164"/>
        <v>58.779689232021951</v>
      </c>
      <c r="AL197" s="20">
        <f t="shared" si="165"/>
        <v>523.12924541243819</v>
      </c>
      <c r="AM197" s="59">
        <f t="shared" si="193"/>
        <v>816.46257874577145</v>
      </c>
      <c r="AN197" s="59">
        <f ca="1">AVERAGE(OFFSET($AM$3,0,0,'Données projet'!$E$10+1,1))-AVERAGE(OFFSET($H$3,0,0,'Données projet'!$E$10+1,1))</f>
        <v>364.3481978218424</v>
      </c>
      <c r="AO197" s="59">
        <f t="shared" ref="AO197:AO203" si="205">$AO$3</f>
        <v>231.36959598460686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15.81161617167386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15.81161617167386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267</v>
      </c>
      <c r="BE197" s="13">
        <f>BD197*VLOOKUP('Données projet'!$B$11,Paramètres!$A$1:$I$89,3,0)*VLOOKUP('Données projet'!$B$11,Paramètres!$A$1:$I$89,5,0)</f>
        <v>270.738</v>
      </c>
      <c r="BF197" s="13">
        <f t="shared" si="167"/>
        <v>65.005866623551711</v>
      </c>
      <c r="BG197" s="20">
        <f t="shared" si="168"/>
        <v>584.7539010360191</v>
      </c>
      <c r="BH197" s="59">
        <f t="shared" si="194"/>
        <v>878.08723436935247</v>
      </c>
      <c r="BI197" s="59">
        <f ca="1">AVERAGE(OFFSET($BH$3,0,0,'Données projet'!$E$11+1,1))-AVERAGE(OFFSET($H$3,0,0,'Données projet'!$E$11+1,1))</f>
        <v>403.50418598112844</v>
      </c>
      <c r="BJ197" s="59">
        <f t="shared" ref="BJ197:BJ203" si="206">$BJ$3</f>
        <v>254.25036207346591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17.71991467515172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17.71991467515172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636.99999999999977</v>
      </c>
      <c r="O198" s="13">
        <f>N198*VLOOKUP('Données projet'!$B$9,Paramètres!$A$1:$I$89,3,0)*VLOOKUP('Données projet'!$B$9,Paramètres!$A$1:$I$89,5,0)</f>
        <v>356.08299999999991</v>
      </c>
      <c r="P198" s="13">
        <f t="shared" si="203"/>
        <v>82.813805255716545</v>
      </c>
      <c r="Q198" s="20">
        <f t="shared" si="162"/>
        <v>764.41193582037283</v>
      </c>
      <c r="R198" s="59">
        <f t="shared" si="191"/>
        <v>1057.7452691537062</v>
      </c>
      <c r="S198" s="59">
        <f ca="1">AVERAGE(OFFSET($R$3,0,0,'Données projet'!$E$9+1,1))-AVERAGE(OFFSET($H$3,0,0,'Données projet'!$E$9+1,1))</f>
        <v>443.34220761968419</v>
      </c>
      <c r="T198" s="59">
        <f t="shared" si="204"/>
        <v>546.58234447298014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6.7439595905738807</v>
      </c>
      <c r="AA198" s="21">
        <f>EXP(-LN(2)/25)*AA197+(1-EXP(-LN(2)/25))/(LN(2)/25)*Calculateur!V198*Calculateur!X198*VLOOKUP('Données projet'!$B$9,Paramètres!$A$1:$I$89,3,0)*0.475*44/12</f>
        <v>0.22614411168338808</v>
      </c>
      <c r="AB198" s="21">
        <f>EXP(-LN(2)/2)*AB197+(1-EXP(-LN(2)/2))/(LN(2)/2)*V198*Y198*VLOOKUP('Données projet'!$B$9,Paramètres!$A$1:$I$89,3,0)*0.475*44/12</f>
        <v>8.8346932610050308E-25</v>
      </c>
      <c r="AC198" s="22">
        <f t="shared" si="163"/>
        <v>6.9701037022572692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267</v>
      </c>
      <c r="AJ198" s="13">
        <f>AI198*VLOOKUP('Données projet'!$B$10,Paramètres!$A$1:$I$89,3,0)*VLOOKUP('Données projet'!$B$10,Paramètres!$A$1:$I$89,5,0)</f>
        <v>241.58159999999998</v>
      </c>
      <c r="AK198" s="13">
        <f t="shared" si="164"/>
        <v>58.779689232021951</v>
      </c>
      <c r="AL198" s="20">
        <f t="shared" si="165"/>
        <v>523.12924541243819</v>
      </c>
      <c r="AM198" s="59">
        <f t="shared" si="193"/>
        <v>816.46257874577145</v>
      </c>
      <c r="AN198" s="59">
        <f ca="1">AVERAGE(OFFSET($AM$3,0,0,'Données projet'!$E$10+1,1))-AVERAGE(OFFSET($H$3,0,0,'Données projet'!$E$10+1,1))</f>
        <v>364.3481978218424</v>
      </c>
      <c r="AO198" s="59">
        <f t="shared" si="205"/>
        <v>231.36959598460686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15.501560022680922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15.501560022680922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267</v>
      </c>
      <c r="BE198" s="13">
        <f>BD198*VLOOKUP('Données projet'!$B$11,Paramètres!$A$1:$I$89,3,0)*VLOOKUP('Données projet'!$B$11,Paramètres!$A$1:$I$89,5,0)</f>
        <v>270.738</v>
      </c>
      <c r="BF198" s="13">
        <f t="shared" si="167"/>
        <v>65.005866623551711</v>
      </c>
      <c r="BG198" s="20">
        <f t="shared" si="168"/>
        <v>584.7539010360191</v>
      </c>
      <c r="BH198" s="59">
        <f t="shared" si="194"/>
        <v>878.08723436935247</v>
      </c>
      <c r="BI198" s="59">
        <f ca="1">AVERAGE(OFFSET($BH$3,0,0,'Données projet'!$E$11+1,1))-AVERAGE(OFFSET($H$3,0,0,'Données projet'!$E$11+1,1))</f>
        <v>403.50418598112844</v>
      </c>
      <c r="BJ198" s="59">
        <f t="shared" si="206"/>
        <v>254.25036207346591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17.372437956452739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17.372437956452739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636.99999999999977</v>
      </c>
      <c r="O199" s="13">
        <f>N199*VLOOKUP('Données projet'!$B$9,Paramètres!$A$1:$I$89,3,0)*VLOOKUP('Données projet'!$B$9,Paramètres!$A$1:$I$89,5,0)</f>
        <v>356.08299999999991</v>
      </c>
      <c r="P199" s="13">
        <f t="shared" si="203"/>
        <v>82.813805255716545</v>
      </c>
      <c r="Q199" s="20">
        <f t="shared" si="162"/>
        <v>764.41193582037283</v>
      </c>
      <c r="R199" s="59">
        <f t="shared" si="191"/>
        <v>1057.7452691537062</v>
      </c>
      <c r="S199" s="59">
        <f ca="1">AVERAGE(OFFSET($R$3,0,0,'Données projet'!$E$9+1,1))-AVERAGE(OFFSET($H$3,0,0,'Données projet'!$E$9+1,1))</f>
        <v>443.34220761968419</v>
      </c>
      <c r="T199" s="59">
        <f t="shared" si="204"/>
        <v>546.58234447298014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6.6117146564119116</v>
      </c>
      <c r="AA199" s="21">
        <f>EXP(-LN(2)/25)*AA198+(1-EXP(-LN(2)/25))/(LN(2)/25)*Calculateur!V199*Calculateur!X199*VLOOKUP('Données projet'!$B$9,Paramètres!$A$1:$I$89,3,0)*0.475*44/12</f>
        <v>0.21996018905700385</v>
      </c>
      <c r="AB199" s="21">
        <f>EXP(-LN(2)/2)*AB198+(1-EXP(-LN(2)/2))/(LN(2)/2)*V199*Y199*VLOOKUP('Données projet'!$B$9,Paramètres!$A$1:$I$89,3,0)*0.475*44/12</f>
        <v>6.2470715145597504E-25</v>
      </c>
      <c r="AC199" s="22">
        <f t="shared" si="163"/>
        <v>6.8316748454689158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267</v>
      </c>
      <c r="AJ199" s="13">
        <f>AI199*VLOOKUP('Données projet'!$B$10,Paramètres!$A$1:$I$89,3,0)*VLOOKUP('Données projet'!$B$10,Paramètres!$A$1:$I$89,5,0)</f>
        <v>241.58159999999998</v>
      </c>
      <c r="AK199" s="13">
        <f t="shared" si="164"/>
        <v>58.779689232021951</v>
      </c>
      <c r="AL199" s="20">
        <f t="shared" si="165"/>
        <v>523.12924541243819</v>
      </c>
      <c r="AM199" s="59">
        <f t="shared" si="193"/>
        <v>816.46257874577145</v>
      </c>
      <c r="AN199" s="59">
        <f ca="1">AVERAGE(OFFSET($AM$3,0,0,'Données projet'!$E$10+1,1))-AVERAGE(OFFSET($H$3,0,0,'Données projet'!$E$10+1,1))</f>
        <v>364.3481978218424</v>
      </c>
      <c r="AO199" s="59">
        <f t="shared" si="205"/>
        <v>231.36959598460686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15.197583885654158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15.197583885654158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267</v>
      </c>
      <c r="BE199" s="13">
        <f>BD199*VLOOKUP('Données projet'!$B$11,Paramètres!$A$1:$I$89,3,0)*VLOOKUP('Données projet'!$B$11,Paramètres!$A$1:$I$89,5,0)</f>
        <v>270.738</v>
      </c>
      <c r="BF199" s="13">
        <f t="shared" si="167"/>
        <v>65.005866623551711</v>
      </c>
      <c r="BG199" s="20">
        <f t="shared" si="168"/>
        <v>584.7539010360191</v>
      </c>
      <c r="BH199" s="59">
        <f t="shared" si="194"/>
        <v>878.08723436935247</v>
      </c>
      <c r="BI199" s="59">
        <f ca="1">AVERAGE(OFFSET($BH$3,0,0,'Données projet'!$E$11+1,1))-AVERAGE(OFFSET($H$3,0,0,'Données projet'!$E$11+1,1))</f>
        <v>403.50418598112844</v>
      </c>
      <c r="BJ199" s="59">
        <f t="shared" si="206"/>
        <v>254.25036207346591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17.031775044267572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17.031775044267572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636.99999999999977</v>
      </c>
      <c r="O200" s="13">
        <f>N200*VLOOKUP('Données projet'!$B$9,Paramètres!$A$1:$I$89,3,0)*VLOOKUP('Données projet'!$B$9,Paramètres!$A$1:$I$89,5,0)</f>
        <v>356.08299999999991</v>
      </c>
      <c r="P200" s="13">
        <f t="shared" si="203"/>
        <v>82.813805255716545</v>
      </c>
      <c r="Q200" s="20">
        <f t="shared" si="162"/>
        <v>764.41193582037283</v>
      </c>
      <c r="R200" s="59">
        <f t="shared" si="191"/>
        <v>1057.7452691537062</v>
      </c>
      <c r="S200" s="59">
        <f ca="1">AVERAGE(OFFSET($R$3,0,0,'Données projet'!$E$9+1,1))-AVERAGE(OFFSET($H$3,0,0,'Données projet'!$E$9+1,1))</f>
        <v>443.34220761968419</v>
      </c>
      <c r="T200" s="59">
        <f t="shared" si="204"/>
        <v>546.58234447298014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6.4820629647474135</v>
      </c>
      <c r="AA200" s="21">
        <f>EXP(-LN(2)/25)*AA199+(1-EXP(-LN(2)/25))/(LN(2)/25)*Calculateur!V200*Calculateur!X200*VLOOKUP('Données projet'!$B$9,Paramètres!$A$1:$I$89,3,0)*0.475*44/12</f>
        <v>0.21394536612003645</v>
      </c>
      <c r="AB200" s="21">
        <f>EXP(-LN(2)/2)*AB199+(1-EXP(-LN(2)/2))/(LN(2)/2)*V200*Y200*VLOOKUP('Données projet'!$B$9,Paramètres!$A$1:$I$89,3,0)*0.475*44/12</f>
        <v>4.4173466305025154E-25</v>
      </c>
      <c r="AC200" s="22">
        <f t="shared" si="163"/>
        <v>6.6960083308674498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267</v>
      </c>
      <c r="AJ200" s="13">
        <f>AI200*VLOOKUP('Données projet'!$B$10,Paramètres!$A$1:$I$89,3,0)*VLOOKUP('Données projet'!$B$10,Paramètres!$A$1:$I$89,5,0)</f>
        <v>241.58159999999998</v>
      </c>
      <c r="AK200" s="13">
        <f t="shared" si="164"/>
        <v>58.779689232021951</v>
      </c>
      <c r="AL200" s="20">
        <f t="shared" si="165"/>
        <v>523.12924541243819</v>
      </c>
      <c r="AM200" s="59">
        <f t="shared" si="193"/>
        <v>816.46257874577145</v>
      </c>
      <c r="AN200" s="59">
        <f ca="1">AVERAGE(OFFSET($AM$3,0,0,'Données projet'!$E$10+1,1))-AVERAGE(OFFSET($H$3,0,0,'Données projet'!$E$10+1,1))</f>
        <v>364.3481978218424</v>
      </c>
      <c r="AO200" s="59">
        <f t="shared" si="205"/>
        <v>231.36959598460686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14.899568535267353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14.899568535267353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267</v>
      </c>
      <c r="BE200" s="13">
        <f>BD200*VLOOKUP('Données projet'!$B$11,Paramètres!$A$1:$I$89,3,0)*VLOOKUP('Données projet'!$B$11,Paramètres!$A$1:$I$89,5,0)</f>
        <v>270.738</v>
      </c>
      <c r="BF200" s="13">
        <f t="shared" si="167"/>
        <v>65.005866623551711</v>
      </c>
      <c r="BG200" s="20">
        <f t="shared" si="168"/>
        <v>584.7539010360191</v>
      </c>
      <c r="BH200" s="59">
        <f t="shared" si="194"/>
        <v>878.08723436935247</v>
      </c>
      <c r="BI200" s="59">
        <f ca="1">AVERAGE(OFFSET($BH$3,0,0,'Données projet'!$E$11+1,1))-AVERAGE(OFFSET($H$3,0,0,'Données projet'!$E$11+1,1))</f>
        <v>403.50418598112844</v>
      </c>
      <c r="BJ200" s="59">
        <f t="shared" si="206"/>
        <v>254.25036207346591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16.697792324006496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16.697792324006496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636.99999999999977</v>
      </c>
      <c r="O201" s="13">
        <f>N201*VLOOKUP('Données projet'!$B$9,Paramètres!$A$1:$I$89,3,0)*VLOOKUP('Données projet'!$B$9,Paramètres!$A$1:$I$89,5,0)</f>
        <v>356.08299999999991</v>
      </c>
      <c r="P201" s="13">
        <f t="shared" si="203"/>
        <v>82.813805255716545</v>
      </c>
      <c r="Q201" s="20">
        <f t="shared" si="162"/>
        <v>764.41193582037283</v>
      </c>
      <c r="R201" s="59">
        <f t="shared" si="191"/>
        <v>1057.7452691537062</v>
      </c>
      <c r="S201" s="59">
        <f ca="1">AVERAGE(OFFSET($R$3,0,0,'Données projet'!$E$9+1,1))-AVERAGE(OFFSET($H$3,0,0,'Données projet'!$E$9+1,1))</f>
        <v>443.34220761968419</v>
      </c>
      <c r="T201" s="59">
        <f t="shared" si="204"/>
        <v>546.58234447298014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6.3549536636767332</v>
      </c>
      <c r="AA201" s="21">
        <f>EXP(-LN(2)/25)*AA200+(1-EXP(-LN(2)/25))/(LN(2)/25)*Calculateur!V201*Calculateur!X201*VLOOKUP('Données projet'!$B$9,Paramètres!$A$1:$I$89,3,0)*0.475*44/12</f>
        <v>0.20809501883258621</v>
      </c>
      <c r="AB201" s="21">
        <f>EXP(-LN(2)/2)*AB200+(1-EXP(-LN(2)/2))/(LN(2)/2)*V201*Y201*VLOOKUP('Données projet'!$B$9,Paramètres!$A$1:$I$89,3,0)*0.475*44/12</f>
        <v>3.1235357572798752E-25</v>
      </c>
      <c r="AC201" s="22">
        <f t="shared" si="163"/>
        <v>6.5630486825093195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267</v>
      </c>
      <c r="AJ201" s="13">
        <f>AI201*VLOOKUP('Données projet'!$B$10,Paramètres!$A$1:$I$89,3,0)*VLOOKUP('Données projet'!$B$10,Paramètres!$A$1:$I$89,5,0)</f>
        <v>241.58159999999998</v>
      </c>
      <c r="AK201" s="13">
        <f t="shared" si="164"/>
        <v>58.779689232021951</v>
      </c>
      <c r="AL201" s="20">
        <f t="shared" si="165"/>
        <v>523.12924541243819</v>
      </c>
      <c r="AM201" s="59">
        <f t="shared" si="193"/>
        <v>816.46257874577145</v>
      </c>
      <c r="AN201" s="59">
        <f ca="1">AVERAGE(OFFSET($AM$3,0,0,'Données projet'!$E$10+1,1))-AVERAGE(OFFSET($H$3,0,0,'Données projet'!$E$10+1,1))</f>
        <v>364.3481978218424</v>
      </c>
      <c r="AO201" s="59">
        <f t="shared" si="205"/>
        <v>231.36959598460686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14.607397084130216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14.607397084130216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267</v>
      </c>
      <c r="BE201" s="13">
        <f>BD201*VLOOKUP('Données projet'!$B$11,Paramètres!$A$1:$I$89,3,0)*VLOOKUP('Données projet'!$B$11,Paramètres!$A$1:$I$89,5,0)</f>
        <v>270.738</v>
      </c>
      <c r="BF201" s="13">
        <f t="shared" si="167"/>
        <v>65.005866623551711</v>
      </c>
      <c r="BG201" s="20">
        <f t="shared" si="168"/>
        <v>584.7539010360191</v>
      </c>
      <c r="BH201" s="59">
        <f t="shared" si="194"/>
        <v>878.08723436935247</v>
      </c>
      <c r="BI201" s="59">
        <f ca="1">AVERAGE(OFFSET($BH$3,0,0,'Données projet'!$E$11+1,1))-AVERAGE(OFFSET($H$3,0,0,'Données projet'!$E$11+1,1))</f>
        <v>403.50418598112844</v>
      </c>
      <c r="BJ201" s="59">
        <f t="shared" si="206"/>
        <v>254.25036207346591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16.370358801180394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16.370358801180394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636.99999999999977</v>
      </c>
      <c r="O202" s="13">
        <f>N202*VLOOKUP('Données projet'!$B$9,Paramètres!$A$1:$I$89,3,0)*VLOOKUP('Données projet'!$B$9,Paramètres!$A$1:$I$89,5,0)</f>
        <v>356.08299999999991</v>
      </c>
      <c r="P202" s="13">
        <f t="shared" si="203"/>
        <v>82.813805255716545</v>
      </c>
      <c r="Q202" s="20">
        <f t="shared" si="162"/>
        <v>764.41193582037283</v>
      </c>
      <c r="R202" s="59">
        <f t="shared" si="191"/>
        <v>1057.7452691537062</v>
      </c>
      <c r="S202" s="59">
        <f ca="1">AVERAGE(OFFSET($R$3,0,0,'Données projet'!$E$9+1,1))-AVERAGE(OFFSET($H$3,0,0,'Données projet'!$E$9+1,1))</f>
        <v>443.34220761968419</v>
      </c>
      <c r="T202" s="59">
        <f t="shared" si="204"/>
        <v>546.58234447298014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6.2303368984710303</v>
      </c>
      <c r="AA202" s="21">
        <f>EXP(-LN(2)/25)*AA201+(1-EXP(-LN(2)/25))/(LN(2)/25)*Calculateur!V202*Calculateur!X202*VLOOKUP('Données projet'!$B$9,Paramètres!$A$1:$I$89,3,0)*0.475*44/12</f>
        <v>0.20240464959936771</v>
      </c>
      <c r="AB202" s="21">
        <f>EXP(-LN(2)/2)*AB201+(1-EXP(-LN(2)/2))/(LN(2)/2)*V202*Y202*VLOOKUP('Données projet'!$B$9,Paramètres!$A$1:$I$89,3,0)*0.475*44/12</f>
        <v>2.2086733152512577E-25</v>
      </c>
      <c r="AC202" s="22">
        <f t="shared" si="163"/>
        <v>6.432741548070398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267</v>
      </c>
      <c r="AJ202" s="13">
        <f>AI202*VLOOKUP('Données projet'!$B$10,Paramètres!$A$1:$I$89,3,0)*VLOOKUP('Données projet'!$B$10,Paramètres!$A$1:$I$89,5,0)</f>
        <v>241.58159999999998</v>
      </c>
      <c r="AK202" s="13">
        <f t="shared" si="164"/>
        <v>58.779689232021951</v>
      </c>
      <c r="AL202" s="20">
        <f t="shared" si="165"/>
        <v>523.12924541243819</v>
      </c>
      <c r="AM202" s="59">
        <f t="shared" si="193"/>
        <v>816.46257874577145</v>
      </c>
      <c r="AN202" s="59">
        <f ca="1">AVERAGE(OFFSET($AM$3,0,0,'Données projet'!$E$10+1,1))-AVERAGE(OFFSET($H$3,0,0,'Données projet'!$E$10+1,1))</f>
        <v>364.3481978218424</v>
      </c>
      <c r="AO202" s="59">
        <f t="shared" si="205"/>
        <v>231.36959598460686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14.320954936942892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14.320954936942892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267</v>
      </c>
      <c r="BE202" s="13">
        <f>BD202*VLOOKUP('Données projet'!$B$11,Paramètres!$A$1:$I$89,3,0)*VLOOKUP('Données projet'!$B$11,Paramètres!$A$1:$I$89,5,0)</f>
        <v>270.738</v>
      </c>
      <c r="BF202" s="13">
        <f t="shared" si="167"/>
        <v>65.005866623551711</v>
      </c>
      <c r="BG202" s="20">
        <f t="shared" si="168"/>
        <v>584.7539010360191</v>
      </c>
      <c r="BH202" s="59">
        <f t="shared" si="194"/>
        <v>878.08723436935247</v>
      </c>
      <c r="BI202" s="59">
        <f ca="1">AVERAGE(OFFSET($BH$3,0,0,'Données projet'!$E$11+1,1))-AVERAGE(OFFSET($H$3,0,0,'Données projet'!$E$11+1,1))</f>
        <v>403.50418598112844</v>
      </c>
      <c r="BJ202" s="59">
        <f t="shared" si="206"/>
        <v>254.25036207346591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16.049346050022184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16.049346050022184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636.99999999999977</v>
      </c>
      <c r="O203" s="13">
        <f>N203*VLOOKUP('Données projet'!$B$9,Paramètres!$A$1:$I$89,3,0)*VLOOKUP('Données projet'!$B$9,Paramètres!$A$1:$I$89,5,0)</f>
        <v>356.08299999999991</v>
      </c>
      <c r="P203" s="13">
        <f t="shared" si="203"/>
        <v>82.813805255716545</v>
      </c>
      <c r="Q203" s="20">
        <f t="shared" si="162"/>
        <v>764.41193582037283</v>
      </c>
      <c r="R203" s="59">
        <f t="shared" si="191"/>
        <v>1057.7452691537062</v>
      </c>
      <c r="S203" s="59">
        <f ca="1">AVERAGE(OFFSET($R$3,0,0,'Données projet'!$E$9+1,1))-AVERAGE(OFFSET($H$3,0,0,'Données projet'!$E$9+1,1))</f>
        <v>443.34220761968419</v>
      </c>
      <c r="T203" s="59">
        <f t="shared" si="204"/>
        <v>546.58234447298014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6.1081637920222898</v>
      </c>
      <c r="AA203" s="21">
        <f>EXP(-LN(2)/25)*AA202+(1-EXP(-LN(2)/25))/(LN(2)/25)*Calculateur!V203*Calculateur!X203*VLOOKUP('Données projet'!$B$9,Paramètres!$A$1:$I$89,3,0)*0.475*44/12</f>
        <v>0.1968698838120751</v>
      </c>
      <c r="AB203" s="21">
        <f>EXP(-LN(2)/2)*AB202+(1-EXP(-LN(2)/2))/(LN(2)/2)*V203*Y203*VLOOKUP('Données projet'!$B$9,Paramètres!$A$1:$I$89,3,0)*0.475*44/12</f>
        <v>1.5617678786399376E-25</v>
      </c>
      <c r="AC203" s="22">
        <f t="shared" si="163"/>
        <v>6.3050336758343652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267</v>
      </c>
      <c r="AJ203" s="13">
        <f>AI203*VLOOKUP('Données projet'!$B$10,Paramètres!$A$1:$I$89,3,0)*VLOOKUP('Données projet'!$B$10,Paramètres!$A$1:$I$89,5,0)</f>
        <v>241.58159999999998</v>
      </c>
      <c r="AK203" s="13">
        <f t="shared" si="164"/>
        <v>58.779689232021951</v>
      </c>
      <c r="AL203" s="20">
        <f t="shared" si="165"/>
        <v>523.12924541243819</v>
      </c>
      <c r="AM203" s="59">
        <f t="shared" si="193"/>
        <v>816.46257874577145</v>
      </c>
      <c r="AN203" s="59">
        <f ca="1">AVERAGE(OFFSET($AM$3,0,0,'Données projet'!$E$10+1,1))-AVERAGE(OFFSET($H$3,0,0,'Données projet'!$E$10+1,1))</f>
        <v>364.3481978218424</v>
      </c>
      <c r="AO203" s="59">
        <f t="shared" si="205"/>
        <v>231.36959598460686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14.040129745549452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14.040129745549452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267</v>
      </c>
      <c r="BE203" s="13">
        <f>BD203*VLOOKUP('Données projet'!$B$11,Paramètres!$A$1:$I$89,3,0)*VLOOKUP('Données projet'!$B$11,Paramètres!$A$1:$I$89,5,0)</f>
        <v>270.738</v>
      </c>
      <c r="BF203" s="13">
        <f t="shared" si="167"/>
        <v>65.005866623551711</v>
      </c>
      <c r="BG203" s="20">
        <f t="shared" si="168"/>
        <v>584.7539010360191</v>
      </c>
      <c r="BH203" s="59">
        <f t="shared" si="194"/>
        <v>878.08723436935247</v>
      </c>
      <c r="BI203" s="59">
        <f ca="1">AVERAGE(OFFSET($BH$3,0,0,'Données projet'!$E$11+1,1))-AVERAGE(OFFSET($H$3,0,0,'Données projet'!$E$11+1,1))</f>
        <v>403.50418598112844</v>
      </c>
      <c r="BJ203" s="59">
        <f t="shared" si="206"/>
        <v>254.25036207346591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15.734628163115742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15.734628163115742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1.3070441688874561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1.2054868146447177</v>
      </c>
      <c r="BA205" s="81">
        <f>EXP(LN('Données projet'!B88)/'Données projet'!A88)</f>
        <v>1.2054868146447177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6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7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6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8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8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7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6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7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7" t="s">
        <v>271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9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4.7976400000000003</v>
      </c>
      <c r="C6" s="145">
        <f ca="1">IF(OR('Données projet'!B9="",'Données projet'!C9="",'Données projet'!C9=0%),0,Calculateur!S3)</f>
        <v>443.34220761968419</v>
      </c>
      <c r="D6" s="145">
        <f>IF(OR('Données projet'!B9="",'Données projet'!C9="",'Données projet'!C9=0%),0,Calculateur!T3)</f>
        <v>546.58234447298014</v>
      </c>
      <c r="E6" s="145">
        <f ca="1">MIN(C6,D6)</f>
        <v>443.34220761968419</v>
      </c>
      <c r="F6" s="145">
        <f ca="1">E6*B6</f>
        <v>2126.9963089645016</v>
      </c>
      <c r="G6" s="145">
        <f ca="1">F6*(100%-'Données projet'!$C$24)*(100%-'Données projet'!$C$25)*(100%-'Données projet'!$C$26)*(100%-'Données projet'!$C$27)</f>
        <v>1914.2966780680515</v>
      </c>
      <c r="H6" s="146">
        <f>IF(OR('Données projet'!B9="",'Données projet'!C9="",'Données projet'!C9=0%),0,AVERAGE(Calculateur!$AC$3:$AC$33)*B6)</f>
        <v>19.196846334385629</v>
      </c>
      <c r="I6" s="147">
        <f>H6*(100%-'Données projet'!$C$24)*(100%-'Données projet'!$C$25)*(100%-'Données projet'!$C$26)*(100%-'Données projet'!$C$27)</f>
        <v>17.277161700947065</v>
      </c>
      <c r="J6" s="148">
        <f>IF(OR('Données projet'!B9="",'Données projet'!C9="",'Données projet'!C9=0%),0,SUM(Calculateur!$V$3:$V$33)*VLOOKUP('Données projet'!$B$9,Paramètres!$A$1:$I$89,9,0)*B6)</f>
        <v>222.8024016</v>
      </c>
      <c r="K6" s="149">
        <f>J6*(100%-'Données projet'!$C$24)*(100%-'Données projet'!$C$25)*(100%-'Données projet'!$C$26)*(100%-'Données projet'!$C$27)</f>
        <v>200.52216143999999</v>
      </c>
      <c r="L6" s="150">
        <f ca="1">G6+I6+K6</f>
        <v>2132.0960012089986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0.39887999999999996</v>
      </c>
      <c r="C7" s="145">
        <f ca="1">IF(OR('Données projet'!B10="",'Données projet'!C10="",'Données projet'!C10=0%),0,Calculateur!AN3)</f>
        <v>364.3481978218424</v>
      </c>
      <c r="D7" s="145">
        <f>IF(OR('Données projet'!B10="",'Données projet'!C10="",'Données projet'!C10=0%),0,Calculateur!AO3)</f>
        <v>231.36959598460686</v>
      </c>
      <c r="E7" s="145">
        <f t="shared" ref="E7:E15" ca="1" si="0">MIN(C7,D7)</f>
        <v>231.36959598460686</v>
      </c>
      <c r="F7" s="145">
        <f t="shared" ref="F7:F15" ca="1" si="1">E7*B7</f>
        <v>92.288704446339977</v>
      </c>
      <c r="G7" s="145">
        <f ca="1">F7*(100%-'Données projet'!$C$24)*(100%-'Données projet'!$C$25)*(100%-'Données projet'!$C$26)*(100%-'Données projet'!$C$27)</f>
        <v>83.05983400170598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2.8918799999999996</v>
      </c>
      <c r="K7" s="149">
        <f>J7*(100%-'Données projet'!$C$24)*(100%-'Données projet'!$C$25)*(100%-'Données projet'!$C$26)*(100%-'Données projet'!$C$27)</f>
        <v>2.6026919999999998</v>
      </c>
      <c r="L7" s="150">
        <f t="shared" ref="L7:L15" ca="1" si="2">G7+I7+K7</f>
        <v>85.662526001705984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pubescent</v>
      </c>
      <c r="B8" s="152">
        <f>'Données projet'!D11</f>
        <v>0.34348000000000001</v>
      </c>
      <c r="C8" s="145">
        <f ca="1">IF(OR('Données projet'!B11="",'Données projet'!C11="",'Données projet'!C11=0%),0,Calculateur!BI3)</f>
        <v>403.50418598112844</v>
      </c>
      <c r="D8" s="145">
        <f>IF(OR('Données projet'!B11="",'Données projet'!C11="",'Données projet'!C11=0%),0,Calculateur!BJ3)</f>
        <v>254.25036207346591</v>
      </c>
      <c r="E8" s="145">
        <f t="shared" ca="1" si="0"/>
        <v>254.25036207346591</v>
      </c>
      <c r="F8" s="145">
        <f t="shared" ca="1" si="1"/>
        <v>87.329914364994067</v>
      </c>
      <c r="G8" s="145">
        <f ca="1">F8*(100%-'Données projet'!$C$24)*(100%-'Données projet'!$C$25)*(100%-'Données projet'!$C$26)*(100%-'Données projet'!$C$27)</f>
        <v>78.596922928494664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2.4902299999999999</v>
      </c>
      <c r="K8" s="149">
        <f>J8*(100%-'Données projet'!$C$24)*(100%-'Données projet'!$C$25)*(100%-'Données projet'!$C$26)*(100%-'Données projet'!$C$27)</f>
        <v>2.2412070000000002</v>
      </c>
      <c r="L8" s="150">
        <f t="shared" ca="1" si="2"/>
        <v>80.838129928494666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2306.6149277758359</v>
      </c>
      <c r="G16" s="164">
        <f t="shared" ca="1" si="3"/>
        <v>2075.9534349982519</v>
      </c>
      <c r="H16" s="165">
        <f t="shared" si="3"/>
        <v>19.196846334385629</v>
      </c>
      <c r="I16" s="165">
        <f t="shared" si="3"/>
        <v>17.277161700947065</v>
      </c>
      <c r="J16" s="166">
        <f t="shared" si="3"/>
        <v>228.18451159999998</v>
      </c>
      <c r="K16" s="166">
        <f t="shared" si="3"/>
        <v>205.36606043999998</v>
      </c>
      <c r="L16" s="167">
        <f t="shared" ca="1" si="3"/>
        <v>2298.5966571391991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89" t="s">
        <v>246</v>
      </c>
      <c r="G17" s="290"/>
      <c r="H17" s="290"/>
      <c r="I17" s="290"/>
      <c r="J17" s="290"/>
      <c r="K17" s="290"/>
      <c r="L17" s="290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6"/>
      <c r="G18" s="276"/>
      <c r="H18" s="276"/>
      <c r="I18" s="276"/>
      <c r="J18" s="276"/>
      <c r="K18" s="276"/>
      <c r="L18" s="276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3" zoomScale="80" zoomScaleNormal="80" workbookViewId="0">
      <selection activeCell="J33" sqref="J33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7" t="s">
        <v>272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291" t="s">
        <v>253</v>
      </c>
      <c r="L4" s="292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-498.98093884027105</v>
      </c>
      <c r="U10" s="176">
        <f>'Données projet'!D9</f>
        <v>4.7976400000000003</v>
      </c>
      <c r="V10" s="175">
        <f>U10*T10</f>
        <v>-2393.9309114176381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-3013.1799902305879</v>
      </c>
      <c r="U11" s="176">
        <f>'Données projet'!D10</f>
        <v>0.39887999999999996</v>
      </c>
      <c r="V11" s="175">
        <f t="shared" ref="V11" si="0">U11*T11</f>
        <v>-1201.8972345031768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pubescent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-3205.6646470278847</v>
      </c>
      <c r="U12" s="176">
        <f>'Données projet'!D11</f>
        <v>0.34348000000000001</v>
      </c>
      <c r="V12" s="175">
        <f t="shared" ref="V12:V19" si="1">U12*T12</f>
        <v>-1101.0816929611378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4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4"/>
      <c r="H16" s="188"/>
      <c r="I16" s="189"/>
      <c r="J16" s="200"/>
      <c r="K16" s="206"/>
      <c r="L16" s="291" t="s">
        <v>254</v>
      </c>
      <c r="M16" s="292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1146.69</v>
      </c>
      <c r="F17" s="228"/>
      <c r="G17" s="294"/>
      <c r="J17" s="200"/>
      <c r="K17" s="206"/>
      <c r="L17" s="264" t="s">
        <v>289</v>
      </c>
      <c r="M17" s="266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4"/>
      <c r="J18" s="200"/>
      <c r="K18" s="206"/>
      <c r="L18" s="264" t="s">
        <v>255</v>
      </c>
      <c r="M18" s="266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4"/>
      <c r="H19" s="210" t="s">
        <v>178</v>
      </c>
      <c r="I19" s="210" t="s">
        <v>287</v>
      </c>
      <c r="J19" s="91"/>
      <c r="K19" s="171"/>
      <c r="L19" s="291" t="s">
        <v>288</v>
      </c>
      <c r="M19" s="292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4"/>
      <c r="H20" s="188">
        <v>0</v>
      </c>
      <c r="I20" s="189">
        <v>451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/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/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19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/>
      <c r="I23" s="189"/>
      <c r="K23" s="206"/>
      <c r="L23" s="293" t="s">
        <v>260</v>
      </c>
      <c r="M23" s="293"/>
      <c r="N23" s="293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-7195.4498388819529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54</v>
      </c>
      <c r="C24" s="191">
        <v>20</v>
      </c>
      <c r="D24" s="180">
        <f t="shared" ref="D24:D42" si="2">B24*C24</f>
        <v>1080</v>
      </c>
      <c r="E24" s="191"/>
      <c r="F24" s="231"/>
      <c r="H24" s="188"/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41956.124732081116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54</v>
      </c>
      <c r="C25" s="191">
        <v>20</v>
      </c>
      <c r="D25" s="180">
        <f t="shared" si="2"/>
        <v>1080</v>
      </c>
      <c r="E25" s="191"/>
      <c r="F25" s="231"/>
      <c r="H25" s="188"/>
      <c r="I25" s="189"/>
      <c r="K25" s="206"/>
      <c r="L25" s="128" t="s">
        <v>285</v>
      </c>
      <c r="M25" s="128"/>
      <c r="N25" s="128"/>
      <c r="O25" s="128"/>
      <c r="P25" s="190">
        <v>350</v>
      </c>
      <c r="Q25" s="232"/>
      <c r="R25" s="23"/>
      <c r="S25" s="184" t="s">
        <v>266</v>
      </c>
      <c r="T25" s="308">
        <f ca="1">T23-T24</f>
        <v>-49151.574570963072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69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72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66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48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35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7573.3077133720426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29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350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334.9282296650718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320.5054829330831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306.70381141921825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293.49647025762522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280.85786627523942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268.76350839735841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257.18996018885969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246.11479443910025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235.51654970248828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225.37468871051516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215.66955857465564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206.38235270301979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197.49507435695674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188.99050177699215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3181.39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180.85215481051878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173.06426297657308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165.61173490581155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158.48012909647039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151.65562592963676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145.12500088960459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20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138.87559893742065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25</v>
      </c>
      <c r="B55" s="179">
        <f>'Données projet'!D63</f>
        <v>8</v>
      </c>
      <c r="C55" s="189">
        <v>30</v>
      </c>
      <c r="D55" s="177">
        <f t="shared" ref="D55:D73" si="4">B55*C55</f>
        <v>240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132.89530998796238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30</v>
      </c>
      <c r="B56" s="179">
        <f>'Données projet'!D64</f>
        <v>21</v>
      </c>
      <c r="C56" s="189">
        <v>30</v>
      </c>
      <c r="D56" s="177">
        <f t="shared" si="4"/>
        <v>630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127.17254544302619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35</v>
      </c>
      <c r="B57" s="179">
        <f>'Données projet'!D65</f>
        <v>21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121.69621573495333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40</v>
      </c>
      <c r="B58" s="179">
        <f>'Données projet'!D66</f>
        <v>21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116.45570883727592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45</v>
      </c>
      <c r="B59" s="179">
        <f>'Données projet'!D67</f>
        <v>21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111.44086970074254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50</v>
      </c>
      <c r="B60" s="179">
        <f>'Données projet'!D68</f>
        <v>21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106.64198057487323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55</v>
      </c>
      <c r="B61" s="179">
        <f>'Données projet'!D69</f>
        <v>21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102.04974217691222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21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97.655255671686319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65</v>
      </c>
      <c r="B63" s="179">
        <f>'Données projet'!D71</f>
        <v>21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93.450005427451046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70</v>
      </c>
      <c r="B64" s="179">
        <f>'Données projet'!D72</f>
        <v>21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89.425842514307206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75</v>
      </c>
      <c r="B65" s="179">
        <f>'Données projet'!D73</f>
        <v>21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85.574968913212686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80</v>
      </c>
      <c r="B66" s="179">
        <f>'Données projet'!D74</f>
        <v>21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81.889922404988226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85</v>
      </c>
      <c r="B67" s="179">
        <f>'Données projet'!D75</f>
        <v>21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78.363562110036582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90</v>
      </c>
      <c r="B68" s="179">
        <f>'Données projet'!D76</f>
        <v>21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74.98905465075272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95</v>
      </c>
      <c r="B69" s="179">
        <f>'Données projet'!D77</f>
        <v>21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71.759860909811223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100</v>
      </c>
      <c r="B70" s="179">
        <f>'Données projet'!D78</f>
        <v>21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68.669723358671035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105</v>
      </c>
      <c r="B71" s="179">
        <f>'Données projet'!D79</f>
        <v>20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65.712653931742622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110</v>
      </c>
      <c r="B72" s="179">
        <f>'Données projet'!D80</f>
        <v>19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62.88292242272022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115</v>
      </c>
      <c r="B73" s="179">
        <f>'Données projet'!D81</f>
        <v>18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60.175045380593524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57.583775483821562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55.104091372078059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pubescent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52.731187915864169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50.460466905133188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48.287528138883431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3453.73</v>
      </c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46.208160898453052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44.218335787993347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42.314196926309442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40.492054474937262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38.748377487978253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37.079787069835646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35.483049827593931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25</v>
      </c>
      <c r="B86" s="179">
        <f>'Données projet'!D89</f>
        <v>8</v>
      </c>
      <c r="C86" s="189">
        <v>30</v>
      </c>
      <c r="D86" s="177">
        <f t="shared" ref="D86:D104" si="6">B86*C86</f>
        <v>240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33.955071605353041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21</v>
      </c>
      <c r="C87" s="189">
        <v>30</v>
      </c>
      <c r="D87" s="177">
        <f t="shared" si="6"/>
        <v>630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32.492891488376131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35</v>
      </c>
      <c r="B88" s="179">
        <f>'Données projet'!D91</f>
        <v>21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31.093676065431698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40</v>
      </c>
      <c r="B89" s="179">
        <f>'Données projet'!D92</f>
        <v>21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29.754713938212159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45</v>
      </c>
      <c r="B90" s="179">
        <f>'Données projet'!D93</f>
        <v>21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28.473410467188671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50</v>
      </c>
      <c r="B91" s="179">
        <f>'Données projet'!D94</f>
        <v>21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27.247282743721222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55</v>
      </c>
      <c r="B92" s="179">
        <f>'Données projet'!D95</f>
        <v>21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26.073954778680598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60</v>
      </c>
      <c r="B93" s="179">
        <f>'Données projet'!D96</f>
        <v>21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24.951152898258947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65</v>
      </c>
      <c r="B94" s="179">
        <f>'Données projet'!D97</f>
        <v>21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70</v>
      </c>
      <c r="B95" s="179">
        <f>'Données projet'!D98</f>
        <v>21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75</v>
      </c>
      <c r="B96" s="179">
        <f>'Données projet'!D99</f>
        <v>21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80</v>
      </c>
      <c r="B97" s="179">
        <f>'Données projet'!D100</f>
        <v>21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85</v>
      </c>
      <c r="B98" s="179">
        <f>'Données projet'!D101</f>
        <v>21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90</v>
      </c>
      <c r="B99" s="179">
        <f>'Données projet'!D102</f>
        <v>21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95</v>
      </c>
      <c r="B100" s="179">
        <f>'Données projet'!D103</f>
        <v>21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100</v>
      </c>
      <c r="B101" s="179">
        <f>'Données projet'!D104</f>
        <v>21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105</v>
      </c>
      <c r="B102" s="179">
        <f>'Données projet'!D105</f>
        <v>20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110</v>
      </c>
      <c r="B103" s="179">
        <f>'Données projet'!D106</f>
        <v>19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115</v>
      </c>
      <c r="B104" s="179">
        <f>'Données projet'!D107</f>
        <v>18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Carbonapp</cp:lastModifiedBy>
  <dcterms:created xsi:type="dcterms:W3CDTF">2021-02-01T08:22:39Z</dcterms:created>
  <dcterms:modified xsi:type="dcterms:W3CDTF">2022-11-21T10:32:56Z</dcterms:modified>
</cp:coreProperties>
</file>