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Gascogne-Pyrénées\Estang (32) - LARREY\Doc final\"/>
    </mc:Choice>
  </mc:AlternateContent>
  <xr:revisionPtr revIDLastSave="0" documentId="13_ncr:1_{D7C4EC52-967E-4239-94D1-5F11FD48669F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BQ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A7" i="2"/>
  <c r="EW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FS38" i="2"/>
  <c r="HI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EW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FS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FS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H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EX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EX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FS122" i="2"/>
  <c r="HI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FS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R140" i="2" l="1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H144" i="2"/>
  <c r="FR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HH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A155" i="2"/>
  <c r="EW155" i="2"/>
  <c r="EX155" i="2"/>
  <c r="HH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G156" i="2" l="1"/>
  <c r="AB156" i="2"/>
  <c r="EX156" i="2"/>
  <c r="FS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H157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Y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A163" i="2"/>
  <c r="EV163" i="2"/>
  <c r="HG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FS164" i="2"/>
  <c r="EV164" i="2"/>
  <c r="HH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H167" i="2" l="1"/>
  <c r="EB167" i="2"/>
  <c r="FR167" i="2"/>
  <c r="EA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D171" i="2" s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B179" i="2" l="1"/>
  <c r="EV179" i="2"/>
  <c r="EA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EW185" i="2"/>
  <c r="HH185" i="2"/>
  <c r="HG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W186" i="2"/>
  <c r="FS186" i="2"/>
  <c r="ED185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V190" i="2" l="1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I191" i="2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HI192" i="2"/>
  <c r="EV192" i="2"/>
  <c r="EY192" i="2" s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AX190" i="2"/>
  <c r="FQ193" i="2" l="1"/>
  <c r="EB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DH195" i="2"/>
  <c r="EX195" i="2"/>
  <c r="HI195" i="2"/>
  <c r="FQ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C197" i="2" l="1"/>
  <c r="AA197" i="2"/>
  <c r="HH197" i="2"/>
  <c r="HG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V199" i="2" l="1"/>
  <c r="EW199" i="2"/>
  <c r="HG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H201" i="2" l="1"/>
  <c r="EA201" i="2"/>
  <c r="ED201" i="2" s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Z6" i="2"/>
  <c r="FR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53" i="2" a="1"/>
  <c r="EI153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87" i="2" a="1"/>
  <c r="EI87" i="2" s="1"/>
  <c r="EI36" i="2" a="1"/>
  <c r="EI36" i="2" s="1"/>
  <c r="EI71" i="2" a="1"/>
  <c r="EI71" i="2" s="1"/>
  <c r="EI113" i="2" a="1"/>
  <c r="EI113" i="2" s="1"/>
  <c r="EI16" i="2" a="1"/>
  <c r="EI16" i="2" s="1"/>
  <c r="EI67" i="2" a="1"/>
  <c r="EI6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68" i="2" l="1" a="1"/>
  <c r="BC68" i="2" s="1"/>
  <c r="BC18" i="2" a="1"/>
  <c r="BC18" i="2" s="1"/>
  <c r="BC38" i="2" a="1"/>
  <c r="BC38" i="2" s="1"/>
  <c r="BC185" i="2" a="1"/>
  <c r="BC185" i="2" s="1"/>
  <c r="BC143" i="2" a="1"/>
  <c r="BC143" i="2" s="1"/>
  <c r="BC55" i="2" a="1"/>
  <c r="BC55" i="2" s="1"/>
  <c r="BC130" i="2" a="1"/>
  <c r="BC130" i="2" s="1"/>
  <c r="BC58" i="2" a="1"/>
  <c r="BC58" i="2" s="1"/>
  <c r="BC151" i="2" a="1"/>
  <c r="BC151" i="2" s="1"/>
  <c r="BC7" i="2" a="1"/>
  <c r="BC7" i="2" s="1"/>
  <c r="BC65" i="2" a="1"/>
  <c r="BC65" i="2" s="1"/>
  <c r="BC114" i="2" a="1"/>
  <c r="BC114" i="2" s="1"/>
  <c r="BC47" i="2" a="1"/>
  <c r="BC47" i="2" s="1"/>
  <c r="BC192" i="2" a="1"/>
  <c r="BC192" i="2" s="1"/>
  <c r="BC181" i="2" a="1"/>
  <c r="BC181" i="2" s="1"/>
  <c r="BC83" i="2" a="1"/>
  <c r="BC83" i="2" s="1"/>
  <c r="BC126" i="2" a="1"/>
  <c r="BC126" i="2" s="1"/>
  <c r="BP203" i="2"/>
  <c r="BC82" i="2" a="1"/>
  <c r="BC82" i="2" s="1"/>
  <c r="BC31" i="2" a="1"/>
  <c r="BC31" i="2" s="1"/>
  <c r="BC34" i="2" a="1"/>
  <c r="BC34" i="2" s="1"/>
  <c r="BC84" i="2" a="1"/>
  <c r="BC84" i="2" s="1"/>
  <c r="BC32" i="2" a="1"/>
  <c r="BC32" i="2" s="1"/>
  <c r="BC164" i="2" a="1"/>
  <c r="BC164" i="2" s="1"/>
  <c r="BC117" i="2" a="1"/>
  <c r="BC117" i="2" s="1"/>
  <c r="AH151" i="2" a="1"/>
  <c r="AH151" i="2" s="1"/>
  <c r="AH62" i="2" a="1"/>
  <c r="AH62" i="2" s="1"/>
  <c r="AH92" i="2" a="1"/>
  <c r="AH92" i="2" s="1"/>
  <c r="AH90" i="2" a="1"/>
  <c r="AH90" i="2" s="1"/>
  <c r="AH166" i="2" a="1"/>
  <c r="AH166" i="2" s="1"/>
  <c r="AH163" i="2" a="1"/>
  <c r="AH163" i="2" s="1"/>
  <c r="AH199" i="2" a="1"/>
  <c r="AH199" i="2" s="1"/>
  <c r="AH19" i="2" a="1"/>
  <c r="AH19" i="2" s="1"/>
  <c r="EI170" i="2" a="1"/>
  <c r="EI170" i="2" s="1"/>
  <c r="EI57" i="2" a="1"/>
  <c r="EI57" i="2" s="1"/>
  <c r="EI106" i="2" a="1"/>
  <c r="EI106" i="2" s="1"/>
  <c r="EI128" i="2" a="1"/>
  <c r="EI128" i="2" s="1"/>
  <c r="EI178" i="2" a="1"/>
  <c r="EI178" i="2" s="1"/>
  <c r="EI198" i="2" a="1"/>
  <c r="EI198" i="2" s="1"/>
  <c r="EI37" i="2" a="1"/>
  <c r="EI37" i="2" s="1"/>
  <c r="EI20" i="2" a="1"/>
  <c r="EI20" i="2" s="1"/>
  <c r="EI38" i="2" a="1"/>
  <c r="EI38" i="2" s="1"/>
  <c r="EI145" i="2" a="1"/>
  <c r="EI145" i="2" s="1"/>
  <c r="FR203" i="2"/>
  <c r="EI109" i="2" a="1"/>
  <c r="EI109" i="2" s="1"/>
  <c r="EI34" i="2" a="1"/>
  <c r="EI34" i="2" s="1"/>
  <c r="EI162" i="2" a="1"/>
  <c r="EI162" i="2" s="1"/>
  <c r="EI35" i="2" a="1"/>
  <c r="EI35" i="2" s="1"/>
  <c r="EI139" i="2" a="1"/>
  <c r="EI139" i="2" s="1"/>
  <c r="EI165" i="2" a="1"/>
  <c r="EI165" i="2" s="1"/>
  <c r="EI150" i="2" a="1"/>
  <c r="EI150" i="2" s="1"/>
  <c r="EI195" i="2" a="1"/>
  <c r="EI195" i="2" s="1"/>
  <c r="EI29" i="2" a="1"/>
  <c r="EI29" i="2" s="1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<sst xmlns="http://schemas.openxmlformats.org/spreadsheetml/2006/main" count="1172" uniqueCount="324">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</sst>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1.7261808274585617</c:v>
                </c:pt>
                <c:pt idx="2">
                  <c:v>2.2453403907392566</c:v>
                </c:pt>
                <c:pt idx="3">
                  <c:v>2.9212817631984254</c:v>
                </c:pt>
                <c:pt idx="4">
                  <c:v>3.8015346317848171</c:v>
                </c:pt>
                <c:pt idx="5">
                  <c:v>4.9480896435298112</c:v>
                </c:pt>
                <c:pt idx="6">
                  <c:v>6.4418128656175506</c:v>
                </c:pt>
                <c:pt idx="7">
                  <c:v>8.3882119794424881</c:v>
                </c:pt>
                <c:pt idx="8">
                  <c:v>10.92496928173572</c:v>
                </c:pt>
                <c:pt idx="9">
                  <c:v>14.231784347206622</c:v>
                </c:pt>
                <c:pt idx="10">
                  <c:v>18.543236417424495</c:v>
                </c:pt>
                <c:pt idx="11">
                  <c:v>24.165595411630562</c:v>
                </c:pt>
                <c:pt idx="12">
                  <c:v>31.498796875456858</c:v>
                </c:pt>
                <c:pt idx="13">
                  <c:v>41.065171110608858</c:v>
                </c:pt>
                <c:pt idx="14">
                  <c:v>53.54700756494902</c:v>
                </c:pt>
                <c:pt idx="15">
                  <c:v>69.835678209381555</c:v>
                </c:pt>
                <c:pt idx="16">
                  <c:v>91.095885125480777</c:v>
                </c:pt>
                <c:pt idx="17">
                  <c:v>118.84969951572798</c:v>
                </c:pt>
                <c:pt idx="18">
                  <c:v>155.08650260412784</c:v>
                </c:pt>
                <c:pt idx="19">
                  <c:v>202.4068292846047</c:v>
                </c:pt>
                <c:pt idx="20">
                  <c:v>264.21059165459314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1.7363683487700341</c:v>
                </c:pt>
                <c:pt idx="2">
                  <c:v>2.258603037148994</c:v>
                </c:pt>
                <c:pt idx="3">
                  <c:v>2.9385513805992303</c:v>
                </c:pt>
                <c:pt idx="4">
                  <c:v>3.8240264670832471</c:v>
                </c:pt>
                <c:pt idx="5">
                  <c:v>4.977388825569192</c:v>
                </c:pt>
                <c:pt idx="6">
                  <c:v>6.4799873580349754</c:v>
                </c:pt>
                <c:pt idx="7">
                  <c:v>8.4379601315885555</c:v>
                </c:pt>
                <c:pt idx="8">
                  <c:v>10.989812604728996</c:v>
                </c:pt>
                <c:pt idx="9">
                  <c:v>14.316319414645799</c:v>
                </c:pt>
                <c:pt idx="10">
                  <c:v>18.653464072742064</c:v>
                </c:pt>
                <c:pt idx="11">
                  <c:v>24.309351068914669</c:v>
                </c:pt>
                <c:pt idx="12">
                  <c:v>31.686313036953205</c:v>
                </c:pt>
                <c:pt idx="13">
                  <c:v>41.309812828028335</c:v>
                </c:pt>
                <c:pt idx="14">
                  <c:v>53.86623414533927</c:v>
                </c:pt>
                <c:pt idx="15">
                  <c:v>70.25230092968151</c:v>
                </c:pt>
                <c:pt idx="16">
                  <c:v>91.639712278467528</c:v>
                </c:pt>
                <c:pt idx="17">
                  <c:v>119.55968834360483</c:v>
                </c:pt>
                <c:pt idx="18">
                  <c:v>156.01357465475527</c:v>
                </c:pt>
                <c:pt idx="19">
                  <c:v>203.6175541627041</c:v>
                </c:pt>
                <c:pt idx="20">
                  <c:v>265.79200759265478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E69" sqref="E6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14.2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112</v>
      </c>
      <c r="C9" s="35">
        <v>0.1</v>
      </c>
      <c r="D9" s="36">
        <f t="shared" ref="D9:D18" si="0">C9*$C$5</f>
        <v>1.42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36</v>
      </c>
      <c r="C10" s="35">
        <v>0.84</v>
      </c>
      <c r="D10" s="36">
        <f t="shared" si="0"/>
        <v>11.927999999999999</v>
      </c>
      <c r="E10" s="37">
        <v>38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127</v>
      </c>
      <c r="C11" s="35">
        <v>0.06</v>
      </c>
      <c r="D11" s="36">
        <f t="shared" si="0"/>
        <v>0.85199999999999998</v>
      </c>
      <c r="E11" s="37">
        <v>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14.2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Koster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236</v>
      </c>
      <c r="C36" s="63">
        <v>1</v>
      </c>
      <c r="D36" s="63">
        <v>236</v>
      </c>
      <c r="E36" s="54">
        <v>0.9</v>
      </c>
      <c r="F36" s="54">
        <v>0.05</v>
      </c>
      <c r="G36" s="54">
        <v>0.05</v>
      </c>
      <c r="H36" s="54">
        <v>0</v>
      </c>
      <c r="I36" s="52">
        <f>IFERROR(B36/A36,"")</f>
        <v>11.8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maritime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13</v>
      </c>
      <c r="B62" s="63">
        <v>75</v>
      </c>
      <c r="C62" s="63">
        <v>1</v>
      </c>
      <c r="D62" s="63">
        <v>15</v>
      </c>
      <c r="E62" s="54">
        <v>0</v>
      </c>
      <c r="F62" s="54">
        <v>0</v>
      </c>
      <c r="G62" s="54">
        <v>1</v>
      </c>
      <c r="H62" s="54">
        <v>0</v>
      </c>
      <c r="I62" s="56">
        <f>IFERROR(B62/A62,"")</f>
        <v>5.7692307692307692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19</v>
      </c>
      <c r="B63" s="63">
        <v>163</v>
      </c>
      <c r="C63" s="63">
        <v>2</v>
      </c>
      <c r="D63" s="63">
        <v>40</v>
      </c>
      <c r="E63" s="54">
        <v>0.3</v>
      </c>
      <c r="F63" s="54">
        <v>0</v>
      </c>
      <c r="G63" s="54">
        <v>0.7</v>
      </c>
      <c r="H63" s="54">
        <v>0</v>
      </c>
      <c r="I63" s="52">
        <f>IF(A63&lt;&gt;0,(B63-(B62-D62))/(A63-A62),"")</f>
        <v>17.166666666666668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25</v>
      </c>
      <c r="B64" s="63">
        <v>222</v>
      </c>
      <c r="C64" s="63">
        <v>3</v>
      </c>
      <c r="D64" s="63">
        <v>54</v>
      </c>
      <c r="E64" s="54">
        <v>0.4</v>
      </c>
      <c r="F64" s="54">
        <v>0.2</v>
      </c>
      <c r="G64" s="54">
        <v>0.4</v>
      </c>
      <c r="H64" s="54">
        <v>0</v>
      </c>
      <c r="I64" s="52">
        <f>IF(A64&lt;&gt;0,(B64-(B63-D63))/(A64-A63),"")</f>
        <v>16.5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30</v>
      </c>
      <c r="B65" s="63">
        <v>237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13.8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38</v>
      </c>
      <c r="B66" s="63">
        <v>338</v>
      </c>
      <c r="C66" s="63">
        <v>5</v>
      </c>
      <c r="D66" s="63">
        <v>338</v>
      </c>
      <c r="E66" s="54">
        <v>0.7</v>
      </c>
      <c r="F66" s="54">
        <v>0</v>
      </c>
      <c r="G66" s="54">
        <v>0.3</v>
      </c>
      <c r="H66" s="54">
        <v>0</v>
      </c>
      <c r="I66" s="52">
        <f t="shared" ref="I66:I81" si="2">IF(A66&lt;&gt;0,(B66-(B65-D65))/(A66-A65),"")</f>
        <v>12.625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I-45/51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236</v>
      </c>
      <c r="C88" s="63">
        <v>1</v>
      </c>
      <c r="D88" s="63">
        <v>236</v>
      </c>
      <c r="E88" s="54">
        <v>0.9</v>
      </c>
      <c r="F88" s="54">
        <v>0.05</v>
      </c>
      <c r="G88" s="54">
        <v>0.05</v>
      </c>
      <c r="H88" s="93"/>
      <c r="I88" s="56">
        <f>IFERROR(B88/A88,"")</f>
        <v>11.8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7" sqref="C2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0.8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0.2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Koster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maritime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Peuplier I-45/51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1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3.6666666666666665</v>
      </c>
      <c r="H3" s="70">
        <f>(B3+E3+F3)*44/12+(C3+D3)*0.475*44/12</f>
        <v>232.46666666666667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62.4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228.79999999999998</v>
      </c>
      <c r="S3" s="62">
        <f ca="1">AVERAGE(OFFSET($R$3,0,0,'Données projet'!$E$9+1,1))-AVERAGE(OFFSET($H$3,0,0,'Données projet'!$E$9+1,1))</f>
        <v>66.513705559911728</v>
      </c>
      <c r="T3" s="62">
        <f>IF('Données projet'!E9&gt;30,$R$33-$H$33,LOOKUP('Données projet'!$E$9,$A$3:$A$203,R3:R203)-LOOKUP('Données projet'!$E$9,$A$3:$A$203,$H$3:$H$203))</f>
        <v>293.21772799887617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62.4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228.79999999999998</v>
      </c>
      <c r="AN3" s="62">
        <f ca="1">AVERAGE(OFFSET($AM$3,0,0,'Données projet'!$E$10+1,1))-AVERAGE(OFFSET($H$3,0,0,'Données projet'!$E$10+1,1))</f>
        <v>210.41468975391527</v>
      </c>
      <c r="AO3" s="62">
        <f>IF('Données projet'!E10&gt;30,$AM$33-$H$33,LOOKUP('Données projet'!$E$10,$A$3:$A$203,AM3:AM203)-LOOKUP('Données projet'!$E$10,$A$3:$A$203,$H$3:$H$203))</f>
        <v>355.1268923221744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62.4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228.79999999999998</v>
      </c>
      <c r="BI3" s="62">
        <f ca="1">AVERAGE(OFFSET($BH$3,0,0,'Données projet'!$E$11+1,1))-AVERAGE(OFFSET($H$3,0,0,'Données projet'!$E$11+1,1))</f>
        <v>66.833935615974326</v>
      </c>
      <c r="BJ3" s="62">
        <f>IF('Données projet'!E11&gt;30,$BH$33-$H$33,LOOKUP('Données projet'!$E$11,$A$3:$A$203,BH3:BH203)-LOOKUP('Données projet'!$E$11,$A$3:$A$203,$H$3:$H$203))</f>
        <v>294.79914393693775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62.4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62.4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62.4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62.4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62.4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62.4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62.4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1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3.6666666666666665</v>
      </c>
      <c r="H4" s="70">
        <f t="shared" ref="H4:H67" si="1">(B4+E4+F4)*44/12+(C4+D4)*0.475*44/12</f>
        <v>232.46666666666667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62.531843008945444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11.8</v>
      </c>
      <c r="N4" s="14">
        <f>IF('Données projet'!$A$36&gt;35,N3+M4-V3,IF(A4&lt;'Données projet'!$A$36,$K$205^A4,IF(A4='Données projet'!$A$36,'Données projet'!$B$36,N3+M4-V3)))</f>
        <v>1.3141519994188957</v>
      </c>
      <c r="O4" s="14">
        <f>N4*VLOOKUP('Données projet'!$B$9,Paramètres!$A$1:$I$89,3,0)*VLOOKUP('Données projet'!$B$9,Paramètres!$A$1:$I$89,5,0)</f>
        <v>0.6683251408244737</v>
      </c>
      <c r="P4" s="14">
        <f>EXP(-1.0587+0.8836*LN(O4)+0.284)</f>
        <v>0.3227834682426432</v>
      </c>
      <c r="Q4" s="22">
        <f t="shared" ref="Q4:Q34" si="2">(O4+P4)*0.475*44/12</f>
        <v>1.7261808274585617</v>
      </c>
      <c r="R4" s="62">
        <f t="shared" si="0"/>
        <v>232.23182741581408</v>
      </c>
      <c r="S4" s="62">
        <f ca="1">AVERAGE(OFFSET($R$3,0,0,'Données projet'!$E$9+1,1))-AVERAGE(OFFSET($H$3,0,0,'Données projet'!$E$9+1,1))</f>
        <v>66.513705559911728</v>
      </c>
      <c r="T4" s="62">
        <f>$T$3</f>
        <v>293.21772799887617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62.531843008945444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5.7692307692307692</v>
      </c>
      <c r="AI4" s="14">
        <f>IF('Données projet'!$A$62&gt;35,AI3+AH4-AQ3,IF(A4&lt;'Données projet'!$A$62,$AF$205^A4,IF(A4='Données projet'!$A$62,'Données projet'!$B$62,AI3+AH4-AQ3)))</f>
        <v>1.3939124009120489</v>
      </c>
      <c r="AJ4" s="14">
        <f>AI4*VLOOKUP('Données projet'!$B$10,Paramètres!$A$1:$I$89,3,0)*VLOOKUP('Données projet'!$B$10,Paramètres!$A$1:$I$89,5,0)</f>
        <v>0.83355961574540538</v>
      </c>
      <c r="AK4" s="14">
        <f>EXP(-1.0587+0.8836*LN(AJ4)+0.284)</f>
        <v>0.39236630327500827</v>
      </c>
      <c r="AL4" s="22">
        <f t="shared" ref="AL4:AL67" si="4">(AJ4+AK4)*0.475*44/12</f>
        <v>2.1351543089605536</v>
      </c>
      <c r="AM4" s="62">
        <f t="shared" ref="AM4:AM67" si="5">AL4+(AD4+AE4)*44/12</f>
        <v>232.64080089731607</v>
      </c>
      <c r="AN4" s="62">
        <f ca="1">AVERAGE(OFFSET($AM$3,0,0,'Données projet'!$E$10+1,1))-AVERAGE(OFFSET($H$3,0,0,'Données projet'!$E$10+1,1))</f>
        <v>210.41468975391527</v>
      </c>
      <c r="AO4" s="62">
        <f>$AO$3</f>
        <v>355.1268923221744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62.531843008945444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11.8</v>
      </c>
      <c r="BD4" s="13">
        <f>IF('Données projet'!$A$88&gt;35,BD3+BC4-BL3,IF(A4&lt;'Données projet'!$A$88,$BA$205^A4,IF(A4='Données projet'!$A$88,'Données projet'!$B$88,BD3+BC4-BL3)))</f>
        <v>1.3141519994188957</v>
      </c>
      <c r="BE4" s="14">
        <f>BD4*VLOOKUP('Données projet'!$B$11,Paramètres!$A$1:$I$89,3,0)*VLOOKUP('Données projet'!$B$11,Paramètres!$A$1:$I$89,5,0)</f>
        <v>0.67242529506266058</v>
      </c>
      <c r="BF4" s="14">
        <f>EXP(-1.0587+0.8836*LN(BE4)+0.284)</f>
        <v>0.32453260853735905</v>
      </c>
      <c r="BG4" s="22">
        <f t="shared" ref="BG4:BG67" si="7">(BE4+BF4)*0.475*44/12</f>
        <v>1.7363683487700341</v>
      </c>
      <c r="BH4" s="62">
        <f t="shared" ref="BH4:BH67" si="8">BG4+(AY4+AZ4)*44/12</f>
        <v>232.24201493712556</v>
      </c>
      <c r="BI4" s="62">
        <f ca="1">AVERAGE(OFFSET($BH$3,0,0,'Données projet'!$E$11+1,1))-AVERAGE(OFFSET($H$3,0,0,'Données projet'!$E$11+1,1))</f>
        <v>66.833935615974326</v>
      </c>
      <c r="BJ4" s="62">
        <f>$BJ$3</f>
        <v>294.79914393693775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62.531843008945444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62.531843008945444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62.531843008945444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62.531843008945444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62.531843008945444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62.531843008945444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62.531843008945444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1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3.6666666666666665</v>
      </c>
      <c r="H5" s="70">
        <f t="shared" si="1"/>
        <v>232.46666666666667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62.661398836442494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11.8</v>
      </c>
      <c r="N5" s="14">
        <f>IF('Données projet'!$A$36&gt;35,N4+M5-V4,IF(A5&lt;'Données projet'!$A$36,$K$205^A5,IF(A5='Données projet'!$A$36,'Données projet'!$B$36,N4+M5-V4)))</f>
        <v>1.7269954775766814</v>
      </c>
      <c r="O5" s="14">
        <f>N5*VLOOKUP('Données projet'!$B$9,Paramètres!$A$1:$I$89,3,0)*VLOOKUP('Données projet'!$B$9,Paramètres!$A$1:$I$89,5,0)</f>
        <v>0.87828082007639718</v>
      </c>
      <c r="P5" s="14">
        <f t="shared" ref="P5:P68" si="33">EXP(-1.0587+0.8836*LN(O5)+0.284)</f>
        <v>0.41090983489351096</v>
      </c>
      <c r="Q5" s="22">
        <f t="shared" si="2"/>
        <v>2.2453403907392566</v>
      </c>
      <c r="R5" s="62">
        <f t="shared" si="0"/>
        <v>234.44824723547282</v>
      </c>
      <c r="S5" s="62">
        <f ca="1">AVERAGE(OFFSET($R$3,0,0,'Données projet'!$E$9+1,1))-AVERAGE(OFFSET($H$3,0,0,'Données projet'!$E$9+1,1))</f>
        <v>66.513705559911728</v>
      </c>
      <c r="T5" s="62">
        <f t="shared" ref="T5:T68" si="34">$T$3</f>
        <v>293.21772799887617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62.661398836442494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5.7692307692307692</v>
      </c>
      <c r="AI5" s="14">
        <f>IF('Données projet'!$A$62&gt;35,AI4+AH5-AQ4,IF(A5&lt;'Données projet'!$A$62,$AF$205^A5,IF(A5='Données projet'!$A$62,'Données projet'!$B$62,AI4+AH5-AQ4)))</f>
        <v>1.9429917814163926</v>
      </c>
      <c r="AJ5" s="14">
        <f>AI5*VLOOKUP('Données projet'!$B$10,Paramètres!$A$1:$I$89,3,0)*VLOOKUP('Données projet'!$B$10,Paramètres!$A$1:$I$89,5,0)</f>
        <v>1.1619090852870029</v>
      </c>
      <c r="AK5" s="14">
        <f t="shared" ref="AK5:AK68" si="35">EXP(-1.0587+0.8836*LN(AJ5)+0.284)</f>
        <v>0.52618464987689018</v>
      </c>
      <c r="AL5" s="22">
        <f t="shared" si="4"/>
        <v>2.9400965887437809</v>
      </c>
      <c r="AM5" s="62">
        <f t="shared" si="5"/>
        <v>235.14300343347736</v>
      </c>
      <c r="AN5" s="62">
        <f ca="1">AVERAGE(OFFSET($AM$3,0,0,'Données projet'!$E$10+1,1))-AVERAGE(OFFSET($H$3,0,0,'Données projet'!$E$10+1,1))</f>
        <v>210.41468975391527</v>
      </c>
      <c r="AO5" s="62">
        <f t="shared" ref="AO5:AO68" si="36">$AO$3</f>
        <v>355.1268923221744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62.661398836442494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11.8</v>
      </c>
      <c r="BD5" s="13">
        <f>IF('Données projet'!$A$88&gt;35,BD4+BC5-BL4,IF(A5&lt;'Données projet'!$A$88,$BA$205^A5,IF(A5='Données projet'!$A$88,'Données projet'!$B$88,BD4+BC5-BL4)))</f>
        <v>1.7269954775766814</v>
      </c>
      <c r="BE5" s="14">
        <f>BD5*VLOOKUP('Données projet'!$B$11,Paramètres!$A$1:$I$89,3,0)*VLOOKUP('Données projet'!$B$11,Paramètres!$A$1:$I$89,5,0)</f>
        <v>0.88366904596643647</v>
      </c>
      <c r="BF5" s="14">
        <f t="shared" ref="BF5:BF68" si="37">EXP(-1.0587+0.8836*LN(BE5)+0.284)</f>
        <v>0.41313652560236402</v>
      </c>
      <c r="BG5" s="22">
        <f t="shared" si="7"/>
        <v>2.258603037148994</v>
      </c>
      <c r="BH5" s="62">
        <f t="shared" si="8"/>
        <v>234.46150988188256</v>
      </c>
      <c r="BI5" s="62">
        <f ca="1">AVERAGE(OFFSET($BH$3,0,0,'Données projet'!$E$11+1,1))-AVERAGE(OFFSET($H$3,0,0,'Données projet'!$E$11+1,1))</f>
        <v>66.833935615974326</v>
      </c>
      <c r="BJ5" s="62">
        <f t="shared" ref="BJ5:BJ68" si="38">$BJ$3</f>
        <v>294.79914393693775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62.661398836442494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62.661398836442494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62.661398836442494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62.661398836442494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62.661398836442494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62.661398836442494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62.661398836442494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1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3.6666666666666665</v>
      </c>
      <c r="H6" s="70">
        <f t="shared" si="1"/>
        <v>232.46666666666667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62.788707159975914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11.8</v>
      </c>
      <c r="N6" s="14">
        <f>IF('Données projet'!$A$36&gt;35,N5+M6-V5,IF(A6&lt;'Données projet'!$A$36,$K$205^A6,IF(A6='Données projet'!$A$36,'Données projet'!$B$36,N5+M6-V5)))</f>
        <v>2.2695345598447867</v>
      </c>
      <c r="O6" s="14">
        <f>N6*VLOOKUP('Données projet'!$B$9,Paramètres!$A$1:$I$89,3,0)*VLOOKUP('Données projet'!$B$9,Paramètres!$A$1:$I$89,5,0)</f>
        <v>1.1541944957546648</v>
      </c>
      <c r="P6" s="14">
        <f t="shared" si="33"/>
        <v>0.52309646876117766</v>
      </c>
      <c r="Q6" s="22">
        <f t="shared" si="2"/>
        <v>2.9212817631984254</v>
      </c>
      <c r="R6" s="62">
        <f t="shared" si="0"/>
        <v>236.81320801644347</v>
      </c>
      <c r="S6" s="62">
        <f ca="1">AVERAGE(OFFSET($R$3,0,0,'Données projet'!$E$9+1,1))-AVERAGE(OFFSET($H$3,0,0,'Données projet'!$E$9+1,1))</f>
        <v>66.513705559911728</v>
      </c>
      <c r="T6" s="62">
        <f t="shared" si="34"/>
        <v>293.21772799887617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62.788707159975914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5.7692307692307692</v>
      </c>
      <c r="AI6" s="14">
        <f>IF('Données projet'!$A$62&gt;35,AI5+AH6-AQ5,IF(A6&lt;'Données projet'!$A$62,$AF$205^A6,IF(A6='Données projet'!$A$62,'Données projet'!$B$62,AI5+AH6-AQ5)))</f>
        <v>2.7083603389865027</v>
      </c>
      <c r="AJ6" s="14">
        <f>AI6*VLOOKUP('Données projet'!$B$10,Paramètres!$A$1:$I$89,3,0)*VLOOKUP('Données projet'!$B$10,Paramètres!$A$1:$I$89,5,0)</f>
        <v>1.6195994827139286</v>
      </c>
      <c r="AK6" s="14">
        <f t="shared" si="35"/>
        <v>0.70564236392136903</v>
      </c>
      <c r="AL6" s="22">
        <f t="shared" si="4"/>
        <v>4.0497962162231431</v>
      </c>
      <c r="AM6" s="62">
        <f t="shared" si="5"/>
        <v>237.94172246946817</v>
      </c>
      <c r="AN6" s="62">
        <f ca="1">AVERAGE(OFFSET($AM$3,0,0,'Données projet'!$E$10+1,1))-AVERAGE(OFFSET($H$3,0,0,'Données projet'!$E$10+1,1))</f>
        <v>210.41468975391527</v>
      </c>
      <c r="AO6" s="62">
        <f t="shared" si="36"/>
        <v>355.1268923221744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62.788707159975914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11.8</v>
      </c>
      <c r="BD6" s="13">
        <f>IF('Données projet'!$A$88&gt;35,BD5+BC6-BL5,IF(A6&lt;'Données projet'!$A$88,$BA$205^A6,IF(A6='Données projet'!$A$88,'Données projet'!$B$88,BD5+BC6-BL5)))</f>
        <v>2.2695345598447867</v>
      </c>
      <c r="BE6" s="14">
        <f>BD6*VLOOKUP('Données projet'!$B$11,Paramètres!$A$1:$I$89,3,0)*VLOOKUP('Données projet'!$B$11,Paramètres!$A$1:$I$89,5,0)</f>
        <v>1.1612754435813806</v>
      </c>
      <c r="BF6" s="14">
        <f t="shared" si="37"/>
        <v>0.52593109073396693</v>
      </c>
      <c r="BG6" s="22">
        <f t="shared" si="7"/>
        <v>2.9385513805992303</v>
      </c>
      <c r="BH6" s="62">
        <f t="shared" si="8"/>
        <v>236.83047763384425</v>
      </c>
      <c r="BI6" s="62">
        <f ca="1">AVERAGE(OFFSET($BH$3,0,0,'Données projet'!$E$11+1,1))-AVERAGE(OFFSET($H$3,0,0,'Données projet'!$E$11+1,1))</f>
        <v>66.833935615974326</v>
      </c>
      <c r="BJ6" s="62">
        <f t="shared" si="38"/>
        <v>294.79914393693775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62.788707159975914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62.788707159975914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62.788707159975914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62.788707159975914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62.788707159975914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62.788707159975914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62.788707159975914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1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3.6666666666666665</v>
      </c>
      <c r="H7" s="70">
        <f t="shared" si="1"/>
        <v>232.46666666666667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62.913806968714795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11.8</v>
      </c>
      <c r="N7" s="14">
        <f>IF('Données projet'!$A$36&gt;35,N6+M7-V6,IF(A7&lt;'Données projet'!$A$36,$K$205^A7,IF(A7='Données projet'!$A$36,'Données projet'!$B$36,N6+M7-V6)))</f>
        <v>2.9825133795703098</v>
      </c>
      <c r="O7" s="14">
        <f>N7*VLOOKUP('Données projet'!$B$9,Paramètres!$A$1:$I$89,3,0)*VLOOKUP('Données projet'!$B$9,Paramètres!$A$1:$I$89,5,0)</f>
        <v>1.5167870043142768</v>
      </c>
      <c r="P7" s="14">
        <f t="shared" si="33"/>
        <v>0.66591230580140781</v>
      </c>
      <c r="Q7" s="22">
        <f t="shared" si="2"/>
        <v>3.8015346317848171</v>
      </c>
      <c r="R7" s="62">
        <f t="shared" si="0"/>
        <v>239.37438240596128</v>
      </c>
      <c r="S7" s="62">
        <f ca="1">AVERAGE(OFFSET($R$3,0,0,'Données projet'!$E$9+1,1))-AVERAGE(OFFSET($H$3,0,0,'Données projet'!$E$9+1,1))</f>
        <v>66.513705559911728</v>
      </c>
      <c r="T7" s="62">
        <f t="shared" si="34"/>
        <v>293.21772799887617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62.913806968714795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5.7692307692307692</v>
      </c>
      <c r="AI7" s="14">
        <f>IF('Données projet'!$A$62&gt;35,AI6+AH7-AQ6,IF(A7&lt;'Données projet'!$A$62,$AF$205^A7,IF(A7='Données projet'!$A$62,'Données projet'!$B$62,AI6+AH7-AQ6)))</f>
        <v>3.775217062651647</v>
      </c>
      <c r="AJ7" s="14">
        <f>AI7*VLOOKUP('Données projet'!$B$10,Paramètres!$A$1:$I$89,3,0)*VLOOKUP('Données projet'!$B$10,Paramètres!$A$1:$I$89,5,0)</f>
        <v>2.2575798034656849</v>
      </c>
      <c r="AK7" s="14">
        <f t="shared" si="35"/>
        <v>0.94630496324253699</v>
      </c>
      <c r="AL7" s="22">
        <f t="shared" si="4"/>
        <v>5.5800993020168193</v>
      </c>
      <c r="AM7" s="62">
        <f t="shared" si="5"/>
        <v>241.1529470761933</v>
      </c>
      <c r="AN7" s="62">
        <f ca="1">AVERAGE(OFFSET($AM$3,0,0,'Données projet'!$E$10+1,1))-AVERAGE(OFFSET($H$3,0,0,'Données projet'!$E$10+1,1))</f>
        <v>210.41468975391527</v>
      </c>
      <c r="AO7" s="62">
        <f t="shared" si="36"/>
        <v>355.1268923221744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62.913806968714795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11.8</v>
      </c>
      <c r="BD7" s="13">
        <f>IF('Données projet'!$A$88&gt;35,BD6+BC7-BL6,IF(A7&lt;'Données projet'!$A$88,$BA$205^A7,IF(A7='Données projet'!$A$88,'Données projet'!$B$88,BD6+BC7-BL6)))</f>
        <v>2.9825133795703098</v>
      </c>
      <c r="BE7" s="14">
        <f>BD7*VLOOKUP('Données projet'!$B$11,Paramètres!$A$1:$I$89,3,0)*VLOOKUP('Données projet'!$B$11,Paramètres!$A$1:$I$89,5,0)</f>
        <v>1.5260924460585361</v>
      </c>
      <c r="BF7" s="14">
        <f t="shared" si="37"/>
        <v>0.66952083647729965</v>
      </c>
      <c r="BG7" s="22">
        <f t="shared" si="7"/>
        <v>3.8240264670832471</v>
      </c>
      <c r="BH7" s="62">
        <f t="shared" si="8"/>
        <v>239.39687424125972</v>
      </c>
      <c r="BI7" s="62">
        <f ca="1">AVERAGE(OFFSET($BH$3,0,0,'Données projet'!$E$11+1,1))-AVERAGE(OFFSET($H$3,0,0,'Données projet'!$E$11+1,1))</f>
        <v>66.833935615974326</v>
      </c>
      <c r="BJ7" s="62">
        <f t="shared" si="38"/>
        <v>294.79914393693775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62.913806968714795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62.913806968714795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62.913806968714795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62.913806968714795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62.913806968714795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62.913806968714795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62.913806968714795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1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3.6666666666666665</v>
      </c>
      <c r="H8" s="70">
        <f t="shared" si="1"/>
        <v>232.46666666666667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63.036736575453332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11.8</v>
      </c>
      <c r="N8" s="14">
        <f>IF('Données projet'!$A$36&gt;35,N7+M8-V7,IF(A8&lt;'Données projet'!$A$36,$K$205^A8,IF(A8='Données projet'!$A$36,'Données projet'!$B$36,N7+M8-V7)))</f>
        <v>3.9194759210559305</v>
      </c>
      <c r="O8" s="14">
        <f>N8*VLOOKUP('Données projet'!$B$9,Paramètres!$A$1:$I$89,3,0)*VLOOKUP('Données projet'!$B$9,Paramètres!$A$1:$I$89,5,0)</f>
        <v>1.993288674412204</v>
      </c>
      <c r="P8" s="14">
        <f t="shared" si="33"/>
        <v>0.84771973335610906</v>
      </c>
      <c r="Q8" s="22">
        <f t="shared" si="2"/>
        <v>4.9480896435298112</v>
      </c>
      <c r="R8" s="62">
        <f t="shared" si="0"/>
        <v>242.19390153130317</v>
      </c>
      <c r="S8" s="62">
        <f ca="1">AVERAGE(OFFSET($R$3,0,0,'Données projet'!$E$9+1,1))-AVERAGE(OFFSET($H$3,0,0,'Données projet'!$E$9+1,1))</f>
        <v>66.513705559911728</v>
      </c>
      <c r="T8" s="62">
        <f t="shared" si="34"/>
        <v>293.21772799887617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63.036736575453332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5.7692307692307692</v>
      </c>
      <c r="AI8" s="14">
        <f>IF('Données projet'!$A$62&gt;35,AI7+AH8-AQ7,IF(A8&lt;'Données projet'!$A$62,$AF$205^A8,IF(A8='Données projet'!$A$62,'Données projet'!$B$62,AI7+AH8-AQ7)))</f>
        <v>5.2623218797648903</v>
      </c>
      <c r="AJ8" s="14">
        <f>AI8*VLOOKUP('Données projet'!$B$10,Paramètres!$A$1:$I$89,3,0)*VLOOKUP('Données projet'!$B$10,Paramètres!$A$1:$I$89,5,0)</f>
        <v>3.1468684840994046</v>
      </c>
      <c r="AK8" s="14">
        <f t="shared" si="35"/>
        <v>1.2690466576879811</v>
      </c>
      <c r="AL8" s="22">
        <f t="shared" si="4"/>
        <v>7.6910522052796955</v>
      </c>
      <c r="AM8" s="62">
        <f t="shared" si="5"/>
        <v>244.93686409305306</v>
      </c>
      <c r="AN8" s="62">
        <f ca="1">AVERAGE(OFFSET($AM$3,0,0,'Données projet'!$E$10+1,1))-AVERAGE(OFFSET($H$3,0,0,'Données projet'!$E$10+1,1))</f>
        <v>210.41468975391527</v>
      </c>
      <c r="AO8" s="62">
        <f t="shared" si="36"/>
        <v>355.1268923221744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63.036736575453332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11.8</v>
      </c>
      <c r="BD8" s="13">
        <f>IF('Données projet'!$A$88&gt;35,BD7+BC8-BL7,IF(A8&lt;'Données projet'!$A$88,$BA$205^A8,IF(A8='Données projet'!$A$88,'Données projet'!$B$88,BD7+BC8-BL7)))</f>
        <v>3.9194759210559305</v>
      </c>
      <c r="BE8" s="14">
        <f>BD8*VLOOKUP('Données projet'!$B$11,Paramètres!$A$1:$I$89,3,0)*VLOOKUP('Données projet'!$B$11,Paramètres!$A$1:$I$89,5,0)</f>
        <v>2.005517439285899</v>
      </c>
      <c r="BF8" s="14">
        <f t="shared" si="37"/>
        <v>0.85231346534713004</v>
      </c>
      <c r="BG8" s="22">
        <f t="shared" si="7"/>
        <v>4.977388825569192</v>
      </c>
      <c r="BH8" s="62">
        <f t="shared" si="8"/>
        <v>242.22320071334255</v>
      </c>
      <c r="BI8" s="62">
        <f ca="1">AVERAGE(OFFSET($BH$3,0,0,'Données projet'!$E$11+1,1))-AVERAGE(OFFSET($H$3,0,0,'Données projet'!$E$11+1,1))</f>
        <v>66.833935615974326</v>
      </c>
      <c r="BJ8" s="62">
        <f t="shared" si="38"/>
        <v>294.79914393693775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63.036736575453332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63.036736575453332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63.036736575453332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63.036736575453332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63.036736575453332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63.036736575453332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63.036736575453332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1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3.6666666666666665</v>
      </c>
      <c r="H9" s="70">
        <f t="shared" si="1"/>
        <v>232.46666666666667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63.157533628344382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11.8</v>
      </c>
      <c r="N9" s="14">
        <f>IF('Données projet'!$A$36&gt;35,N8+M9-V8,IF(A9&lt;'Données projet'!$A$36,$K$205^A9,IF(A9='Données projet'!$A$36,'Données projet'!$B$36,N8+M9-V8)))</f>
        <v>5.1507871183298688</v>
      </c>
      <c r="O9" s="14">
        <f>N9*VLOOKUP('Données projet'!$B$9,Paramètres!$A$1:$I$89,3,0)*VLOOKUP('Données projet'!$B$9,Paramètres!$A$1:$I$89,5,0)</f>
        <v>2.6194842968978382</v>
      </c>
      <c r="P9" s="14">
        <f t="shared" si="33"/>
        <v>1.0791642383849658</v>
      </c>
      <c r="Q9" s="22">
        <f t="shared" si="2"/>
        <v>6.4418128656175506</v>
      </c>
      <c r="R9" s="62">
        <f t="shared" si="0"/>
        <v>245.35276950288028</v>
      </c>
      <c r="S9" s="62">
        <f ca="1">AVERAGE(OFFSET($R$3,0,0,'Données projet'!$E$9+1,1))-AVERAGE(OFFSET($H$3,0,0,'Données projet'!$E$9+1,1))</f>
        <v>66.513705559911728</v>
      </c>
      <c r="T9" s="62">
        <f t="shared" si="34"/>
        <v>293.21772799887617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63.157533628344382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5.7692307692307692</v>
      </c>
      <c r="AI9" s="14">
        <f>IF('Données projet'!$A$62&gt;35,AI8+AH9-AQ8,IF(A9&lt;'Données projet'!$A$62,$AF$205^A9,IF(A9='Données projet'!$A$62,'Données projet'!$B$62,AI8+AH9-AQ8)))</f>
        <v>7.3352157257950852</v>
      </c>
      <c r="AJ9" s="14">
        <f>AI9*VLOOKUP('Données projet'!$B$10,Paramètres!$A$1:$I$89,3,0)*VLOOKUP('Données projet'!$B$10,Paramètres!$A$1:$I$89,5,0)</f>
        <v>4.3864590040254612</v>
      </c>
      <c r="AK9" s="14">
        <f t="shared" si="35"/>
        <v>1.7018609031391834</v>
      </c>
      <c r="AL9" s="22">
        <f t="shared" si="4"/>
        <v>10.603823838311754</v>
      </c>
      <c r="AM9" s="62">
        <f t="shared" si="5"/>
        <v>249.51478047557447</v>
      </c>
      <c r="AN9" s="62">
        <f ca="1">AVERAGE(OFFSET($AM$3,0,0,'Données projet'!$E$10+1,1))-AVERAGE(OFFSET($H$3,0,0,'Données projet'!$E$10+1,1))</f>
        <v>210.41468975391527</v>
      </c>
      <c r="AO9" s="62">
        <f t="shared" si="36"/>
        <v>355.1268923221744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63.157533628344382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11.8</v>
      </c>
      <c r="BD9" s="13">
        <f>IF('Données projet'!$A$88&gt;35,BD8+BC9-BL8,IF(A9&lt;'Données projet'!$A$88,$BA$205^A9,IF(A9='Données projet'!$A$88,'Données projet'!$B$88,BD8+BC9-BL8)))</f>
        <v>5.1507871183298688</v>
      </c>
      <c r="BE9" s="14">
        <f>BD9*VLOOKUP('Données projet'!$B$11,Paramètres!$A$1:$I$89,3,0)*VLOOKUP('Données projet'!$B$11,Paramètres!$A$1:$I$89,5,0)</f>
        <v>2.6355547527070273</v>
      </c>
      <c r="BF9" s="14">
        <f t="shared" si="37"/>
        <v>1.0850121514278868</v>
      </c>
      <c r="BG9" s="22">
        <f t="shared" si="7"/>
        <v>6.4799873580349754</v>
      </c>
      <c r="BH9" s="62">
        <f t="shared" si="8"/>
        <v>245.3909439952977</v>
      </c>
      <c r="BI9" s="62">
        <f ca="1">AVERAGE(OFFSET($BH$3,0,0,'Données projet'!$E$11+1,1))-AVERAGE(OFFSET($H$3,0,0,'Données projet'!$E$11+1,1))</f>
        <v>66.833935615974326</v>
      </c>
      <c r="BJ9" s="62">
        <f t="shared" si="38"/>
        <v>294.79914393693775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63.157533628344382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63.157533628344382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63.157533628344382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63.157533628344382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63.157533628344382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63.157533628344382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63.157533628344382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1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3.6666666666666665</v>
      </c>
      <c r="H10" s="70">
        <f t="shared" si="1"/>
        <v>232.46666666666667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63.276235122429526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11.8</v>
      </c>
      <c r="N10" s="14">
        <f>IF('Données projet'!$A$36&gt;35,N9+M10-V9,IF(A10&lt;'Données projet'!$A$36,$K$205^A10,IF(A10='Données projet'!$A$36,'Données projet'!$B$36,N9+M10-V9)))</f>
        <v>6.7689171901342906</v>
      </c>
      <c r="O10" s="14">
        <f>N10*VLOOKUP('Données projet'!$B$9,Paramètres!$A$1:$I$89,3,0)*VLOOKUP('Données projet'!$B$9,Paramètres!$A$1:$I$89,5,0)</f>
        <v>3.4424005262146955</v>
      </c>
      <c r="P10" s="14">
        <f t="shared" si="33"/>
        <v>1.3737977394939109</v>
      </c>
      <c r="Q10" s="22">
        <f t="shared" si="2"/>
        <v>8.3882119794424881</v>
      </c>
      <c r="R10" s="62">
        <f t="shared" si="0"/>
        <v>248.95662965057295</v>
      </c>
      <c r="S10" s="62">
        <f ca="1">AVERAGE(OFFSET($R$3,0,0,'Données projet'!$E$9+1,1))-AVERAGE(OFFSET($H$3,0,0,'Données projet'!$E$9+1,1))</f>
        <v>66.513705559911728</v>
      </c>
      <c r="T10" s="62">
        <f t="shared" si="34"/>
        <v>293.21772799887617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63.276235122429526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5.7692307692307692</v>
      </c>
      <c r="AI10" s="14">
        <f>IF('Données projet'!$A$62&gt;35,AI9+AH10-AQ9,IF(A10&lt;'Données projet'!$A$62,$AF$205^A10,IF(A10='Données projet'!$A$62,'Données projet'!$B$62,AI9+AH10-AQ9)))</f>
        <v>10.224648163550844</v>
      </c>
      <c r="AJ10" s="14">
        <f>AI10*VLOOKUP('Données projet'!$B$10,Paramètres!$A$1:$I$89,3,0)*VLOOKUP('Données projet'!$B$10,Paramètres!$A$1:$I$89,5,0)</f>
        <v>6.1143396018034055</v>
      </c>
      <c r="AK10" s="14">
        <f t="shared" si="35"/>
        <v>2.2822884533736612</v>
      </c>
      <c r="AL10" s="22">
        <f t="shared" si="4"/>
        <v>14.624127196100055</v>
      </c>
      <c r="AM10" s="62">
        <f t="shared" si="5"/>
        <v>255.19254486723051</v>
      </c>
      <c r="AN10" s="62">
        <f ca="1">AVERAGE(OFFSET($AM$3,0,0,'Données projet'!$E$10+1,1))-AVERAGE(OFFSET($H$3,0,0,'Données projet'!$E$10+1,1))</f>
        <v>210.41468975391527</v>
      </c>
      <c r="AO10" s="62">
        <f t="shared" si="36"/>
        <v>355.1268923221744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63.276235122429526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11.8</v>
      </c>
      <c r="BD10" s="13">
        <f>IF('Données projet'!$A$88&gt;35,BD9+BC10-BL9,IF(A10&lt;'Données projet'!$A$88,$BA$205^A10,IF(A10='Données projet'!$A$88,'Données projet'!$B$88,BD9+BC10-BL9)))</f>
        <v>6.7689171901342906</v>
      </c>
      <c r="BE10" s="14">
        <f>BD10*VLOOKUP('Données projet'!$B$11,Paramètres!$A$1:$I$89,3,0)*VLOOKUP('Données projet'!$B$11,Paramètres!$A$1:$I$89,5,0)</f>
        <v>3.4635195478479139</v>
      </c>
      <c r="BF10" s="14">
        <f t="shared" si="37"/>
        <v>1.3812422501933617</v>
      </c>
      <c r="BG10" s="22">
        <f t="shared" si="7"/>
        <v>8.4379601315885555</v>
      </c>
      <c r="BH10" s="62">
        <f t="shared" si="8"/>
        <v>249.00637780271902</v>
      </c>
      <c r="BI10" s="62">
        <f ca="1">AVERAGE(OFFSET($BH$3,0,0,'Données projet'!$E$11+1,1))-AVERAGE(OFFSET($H$3,0,0,'Données projet'!$E$11+1,1))</f>
        <v>66.833935615974326</v>
      </c>
      <c r="BJ10" s="62">
        <f t="shared" si="38"/>
        <v>294.79914393693775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63.276235122429526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63.276235122429526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63.276235122429526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63.276235122429526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63.276235122429526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63.276235122429526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63.276235122429526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1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3.6666666666666665</v>
      </c>
      <c r="H11" s="70">
        <f t="shared" si="1"/>
        <v>232.46666666666667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63.392877410969078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11.8</v>
      </c>
      <c r="N11" s="14">
        <f>IF('Données projet'!$A$36&gt;35,N10+M11-V10,IF(A11&lt;'Données projet'!$A$36,$K$205^A11,IF(A11='Données projet'!$A$36,'Données projet'!$B$36,N10+M11-V10)))</f>
        <v>8.8953860593159106</v>
      </c>
      <c r="O11" s="14">
        <f>N11*VLOOKUP('Données projet'!$B$9,Paramètres!$A$1:$I$89,3,0)*VLOOKUP('Données projet'!$B$9,Paramètres!$A$1:$I$89,5,0)</f>
        <v>4.5238375343256996</v>
      </c>
      <c r="P11" s="14">
        <f t="shared" si="33"/>
        <v>1.7488721011206478</v>
      </c>
      <c r="Q11" s="22">
        <f t="shared" si="2"/>
        <v>10.92496928173572</v>
      </c>
      <c r="R11" s="62">
        <f t="shared" si="0"/>
        <v>253.14329756640012</v>
      </c>
      <c r="S11" s="62">
        <f ca="1">AVERAGE(OFFSET($R$3,0,0,'Données projet'!$E$9+1,1))-AVERAGE(OFFSET($H$3,0,0,'Données projet'!$E$9+1,1))</f>
        <v>66.513705559911728</v>
      </c>
      <c r="T11" s="62">
        <f t="shared" si="34"/>
        <v>293.21772799887617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63.392877410969078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5.7692307692307692</v>
      </c>
      <c r="AI11" s="14">
        <f>IF('Données projet'!$A$62&gt;35,AI10+AH11-AQ10,IF(A11&lt;'Données projet'!$A$62,$AF$205^A11,IF(A11='Données projet'!$A$62,'Données projet'!$B$62,AI10+AH11-AQ10)))</f>
        <v>14.252263870136129</v>
      </c>
      <c r="AJ11" s="14">
        <f>AI11*VLOOKUP('Données projet'!$B$10,Paramètres!$A$1:$I$89,3,0)*VLOOKUP('Données projet'!$B$10,Paramètres!$A$1:$I$89,5,0)</f>
        <v>8.5228537943414064</v>
      </c>
      <c r="AK11" s="14">
        <f t="shared" si="35"/>
        <v>3.0606735102702713</v>
      </c>
      <c r="AL11" s="22">
        <f t="shared" si="4"/>
        <v>20.174643388865338</v>
      </c>
      <c r="AM11" s="62">
        <f t="shared" si="5"/>
        <v>262.39297167352976</v>
      </c>
      <c r="AN11" s="62">
        <f ca="1">AVERAGE(OFFSET($AM$3,0,0,'Données projet'!$E$10+1,1))-AVERAGE(OFFSET($H$3,0,0,'Données projet'!$E$10+1,1))</f>
        <v>210.41468975391527</v>
      </c>
      <c r="AO11" s="62">
        <f t="shared" si="36"/>
        <v>355.1268923221744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63.392877410969078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11.8</v>
      </c>
      <c r="BD11" s="13">
        <f>IF('Données projet'!$A$88&gt;35,BD10+BC11-BL10,IF(A11&lt;'Données projet'!$A$88,$BA$205^A11,IF(A11='Données projet'!$A$88,'Données projet'!$B$88,BD10+BC11-BL10)))</f>
        <v>8.8953860593159106</v>
      </c>
      <c r="BE11" s="14">
        <f>BD11*VLOOKUP('Données projet'!$B$11,Paramètres!$A$1:$I$89,3,0)*VLOOKUP('Données projet'!$B$11,Paramètres!$A$1:$I$89,5,0)</f>
        <v>4.5515911388307657</v>
      </c>
      <c r="BF11" s="14">
        <f t="shared" si="37"/>
        <v>1.7583491126882753</v>
      </c>
      <c r="BG11" s="22">
        <f t="shared" si="7"/>
        <v>10.989812604728996</v>
      </c>
      <c r="BH11" s="62">
        <f t="shared" si="8"/>
        <v>253.20814088939341</v>
      </c>
      <c r="BI11" s="62">
        <f ca="1">AVERAGE(OFFSET($BH$3,0,0,'Données projet'!$E$11+1,1))-AVERAGE(OFFSET($H$3,0,0,'Données projet'!$E$11+1,1))</f>
        <v>66.833935615974326</v>
      </c>
      <c r="BJ11" s="62">
        <f t="shared" si="38"/>
        <v>294.79914393693775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63.392877410969078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63.392877410969078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63.392877410969078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63.392877410969078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63.392877410969078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63.392877410969078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63.392877410969078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1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3.6666666666666665</v>
      </c>
      <c r="H12" s="70">
        <f t="shared" si="1"/>
        <v>232.46666666666667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63.507496216575554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11.8</v>
      </c>
      <c r="N12" s="14">
        <f>IF('Données projet'!$A$36&gt;35,N11+M12-V11,IF(A12&lt;'Données projet'!$A$36,$K$205^A12,IF(A12='Données projet'!$A$36,'Données projet'!$B$36,N11+M12-V11)))</f>
        <v>11.689889375452976</v>
      </c>
      <c r="O12" s="14">
        <f>N12*VLOOKUP('Données projet'!$B$9,Paramètres!$A$1:$I$89,3,0)*VLOOKUP('Données projet'!$B$9,Paramètres!$A$1:$I$89,5,0)</f>
        <v>5.9450101407803659</v>
      </c>
      <c r="P12" s="14">
        <f t="shared" si="33"/>
        <v>2.2263492930224795</v>
      </c>
      <c r="Q12" s="22">
        <f t="shared" si="2"/>
        <v>14.231784347206622</v>
      </c>
      <c r="R12" s="62">
        <f t="shared" si="0"/>
        <v>258.09260380798366</v>
      </c>
      <c r="S12" s="62">
        <f ca="1">AVERAGE(OFFSET($R$3,0,0,'Données projet'!$E$9+1,1))-AVERAGE(OFFSET($H$3,0,0,'Données projet'!$E$9+1,1))</f>
        <v>66.513705559911728</v>
      </c>
      <c r="T12" s="62">
        <f t="shared" si="34"/>
        <v>293.21772799887617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63.507496216575554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5.7692307692307692</v>
      </c>
      <c r="AI12" s="14">
        <f>IF('Données projet'!$A$62&gt;35,AI11+AH12-AQ11,IF(A12&lt;'Données projet'!$A$62,$AF$205^A12,IF(A12='Données projet'!$A$62,'Données projet'!$B$62,AI11+AH12-AQ11)))</f>
        <v>19.866407349653503</v>
      </c>
      <c r="AJ12" s="14">
        <f>AI12*VLOOKUP('Données projet'!$B$10,Paramètres!$A$1:$I$89,3,0)*VLOOKUP('Données projet'!$B$10,Paramètres!$A$1:$I$89,5,0)</f>
        <v>11.880111595092796</v>
      </c>
      <c r="AK12" s="14">
        <f t="shared" si="35"/>
        <v>4.1045303991363813</v>
      </c>
      <c r="AL12" s="22">
        <f t="shared" si="4"/>
        <v>27.839918139949148</v>
      </c>
      <c r="AM12" s="62">
        <f t="shared" si="5"/>
        <v>271.7007376007262</v>
      </c>
      <c r="AN12" s="62">
        <f ca="1">AVERAGE(OFFSET($AM$3,0,0,'Données projet'!$E$10+1,1))-AVERAGE(OFFSET($H$3,0,0,'Données projet'!$E$10+1,1))</f>
        <v>210.41468975391527</v>
      </c>
      <c r="AO12" s="62">
        <f t="shared" si="36"/>
        <v>355.1268923221744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63.507496216575554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11.8</v>
      </c>
      <c r="BD12" s="13">
        <f>IF('Données projet'!$A$88&gt;35,BD11+BC12-BL11,IF(A12&lt;'Données projet'!$A$88,$BA$205^A12,IF(A12='Données projet'!$A$88,'Données projet'!$B$88,BD11+BC12-BL11)))</f>
        <v>11.689889375452976</v>
      </c>
      <c r="BE12" s="14">
        <f>BD12*VLOOKUP('Données projet'!$B$11,Paramètres!$A$1:$I$89,3,0)*VLOOKUP('Données projet'!$B$11,Paramètres!$A$1:$I$89,5,0)</f>
        <v>5.9814825956317792</v>
      </c>
      <c r="BF12" s="14">
        <f t="shared" si="37"/>
        <v>2.2384137189973887</v>
      </c>
      <c r="BG12" s="22">
        <f t="shared" si="7"/>
        <v>14.316319414645799</v>
      </c>
      <c r="BH12" s="62">
        <f t="shared" si="8"/>
        <v>258.17713887542288</v>
      </c>
      <c r="BI12" s="62">
        <f ca="1">AVERAGE(OFFSET($BH$3,0,0,'Données projet'!$E$11+1,1))-AVERAGE(OFFSET($H$3,0,0,'Données projet'!$E$11+1,1))</f>
        <v>66.833935615974326</v>
      </c>
      <c r="BJ12" s="62">
        <f t="shared" si="38"/>
        <v>294.79914393693775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63.507496216575554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63.507496216575554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63.507496216575554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63.507496216575554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63.507496216575554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63.507496216575554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63.507496216575554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1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3.6666666666666665</v>
      </c>
      <c r="H13" s="70">
        <f t="shared" si="1"/>
        <v>232.46666666666667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63.620126642154027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11.8</v>
      </c>
      <c r="N13" s="14">
        <f>IF('Données projet'!$A$36&gt;35,N12+M13-V12,IF(A13&lt;'Données projet'!$A$36,$K$205^A13,IF(A13='Données projet'!$A$36,'Données projet'!$B$36,N12+M13-V12)))</f>
        <v>15.362291495737235</v>
      </c>
      <c r="O13" s="14">
        <f>N13*VLOOKUP('Données projet'!$B$9,Paramètres!$A$1:$I$89,3,0)*VLOOKUP('Données projet'!$B$9,Paramètres!$A$1:$I$89,5,0)</f>
        <v>7.8126469630721287</v>
      </c>
      <c r="P13" s="14">
        <f t="shared" si="33"/>
        <v>2.8341873435830851</v>
      </c>
      <c r="Q13" s="22">
        <f t="shared" si="2"/>
        <v>18.543236417424495</v>
      </c>
      <c r="R13" s="62">
        <f t="shared" si="0"/>
        <v>264.03925632754482</v>
      </c>
      <c r="S13" s="62">
        <f ca="1">AVERAGE(OFFSET($R$3,0,0,'Données projet'!$E$9+1,1))-AVERAGE(OFFSET($H$3,0,0,'Données projet'!$E$9+1,1))</f>
        <v>66.513705559911728</v>
      </c>
      <c r="T13" s="62">
        <f t="shared" si="34"/>
        <v>293.21772799887617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63.620126642154027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5.7692307692307692</v>
      </c>
      <c r="AI13" s="14">
        <f>IF('Données projet'!$A$62&gt;35,AI12+AH13-AQ12,IF(A13&lt;'Données projet'!$A$62,$AF$205^A13,IF(A13='Données projet'!$A$62,'Données projet'!$B$62,AI12+AH13-AQ12)))</f>
        <v>27.69203156625229</v>
      </c>
      <c r="AJ13" s="14">
        <f>AI13*VLOOKUP('Données projet'!$B$10,Paramètres!$A$1:$I$89,3,0)*VLOOKUP('Données projet'!$B$10,Paramètres!$A$1:$I$89,5,0)</f>
        <v>16.559834876618869</v>
      </c>
      <c r="AK13" s="14">
        <f t="shared" si="35"/>
        <v>5.5043995188977117</v>
      </c>
      <c r="AL13" s="22">
        <f t="shared" si="4"/>
        <v>38.428541572191371</v>
      </c>
      <c r="AM13" s="62">
        <f t="shared" si="5"/>
        <v>283.92456148231173</v>
      </c>
      <c r="AN13" s="62">
        <f ca="1">AVERAGE(OFFSET($AM$3,0,0,'Données projet'!$E$10+1,1))-AVERAGE(OFFSET($H$3,0,0,'Données projet'!$E$10+1,1))</f>
        <v>210.41468975391527</v>
      </c>
      <c r="AO13" s="62">
        <f t="shared" si="36"/>
        <v>355.1268923221744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63.620126642154027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11.8</v>
      </c>
      <c r="BD13" s="13">
        <f>IF('Données projet'!$A$88&gt;35,BD12+BC13-BL12,IF(A13&lt;'Données projet'!$A$88,$BA$205^A13,IF(A13='Données projet'!$A$88,'Données projet'!$B$88,BD12+BC13-BL12)))</f>
        <v>15.362291495737235</v>
      </c>
      <c r="BE13" s="14">
        <f>BD13*VLOOKUP('Données projet'!$B$11,Paramètres!$A$1:$I$89,3,0)*VLOOKUP('Données projet'!$B$11,Paramètres!$A$1:$I$89,5,0)</f>
        <v>7.8605773125388296</v>
      </c>
      <c r="BF13" s="14">
        <f t="shared" si="37"/>
        <v>2.8495456000403454</v>
      </c>
      <c r="BG13" s="22">
        <f t="shared" si="7"/>
        <v>18.653464072742064</v>
      </c>
      <c r="BH13" s="62">
        <f t="shared" si="8"/>
        <v>264.14948398286242</v>
      </c>
      <c r="BI13" s="62">
        <f ca="1">AVERAGE(OFFSET($BH$3,0,0,'Données projet'!$E$11+1,1))-AVERAGE(OFFSET($H$3,0,0,'Données projet'!$E$11+1,1))</f>
        <v>66.833935615974326</v>
      </c>
      <c r="BJ13" s="62">
        <f t="shared" si="38"/>
        <v>294.79914393693775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63.620126642154027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63.620126642154027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63.620126642154027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63.620126642154027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63.620126642154027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63.620126642154027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63.620126642154027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1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3.6666666666666665</v>
      </c>
      <c r="H14" s="70">
        <f t="shared" si="1"/>
        <v>232.46666666666667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63.730803181652618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11.8</v>
      </c>
      <c r="N14" s="14">
        <f>IF('Données projet'!$A$36&gt;35,N13+M14-V13,IF(A14&lt;'Données projet'!$A$36,$K$205^A14,IF(A14='Données projet'!$A$36,'Données projet'!$B$36,N13+M14-V13)))</f>
        <v>20.188386084778987</v>
      </c>
      <c r="O14" s="14">
        <f>N14*VLOOKUP('Données projet'!$B$9,Paramètres!$A$1:$I$89,3,0)*VLOOKUP('Données projet'!$B$9,Paramètres!$A$1:$I$89,5,0)</f>
        <v>10.267005627275202</v>
      </c>
      <c r="P14" s="14">
        <f t="shared" si="33"/>
        <v>3.6079773841873228</v>
      </c>
      <c r="Q14" s="22">
        <f t="shared" si="2"/>
        <v>24.165595411630562</v>
      </c>
      <c r="R14" s="62">
        <f t="shared" si="0"/>
        <v>271.28965152213459</v>
      </c>
      <c r="S14" s="62">
        <f ca="1">AVERAGE(OFFSET($R$3,0,0,'Données projet'!$E$9+1,1))-AVERAGE(OFFSET($H$3,0,0,'Données projet'!$E$9+1,1))</f>
        <v>66.513705559911728</v>
      </c>
      <c r="T14" s="62">
        <f t="shared" si="34"/>
        <v>293.21772799887617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63.730803181652618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5.7692307692307692</v>
      </c>
      <c r="AI14" s="14">
        <f>IF('Données projet'!$A$62&gt;35,AI13+AH14-AQ13,IF(A14&lt;'Données projet'!$A$62,$AF$205^A14,IF(A14='Données projet'!$A$62,'Données projet'!$B$62,AI13+AH14-AQ13)))</f>
        <v>38.600266206646971</v>
      </c>
      <c r="AJ14" s="14">
        <f>AI14*VLOOKUP('Données projet'!$B$10,Paramètres!$A$1:$I$89,3,0)*VLOOKUP('Données projet'!$B$10,Paramètres!$A$1:$I$89,5,0)</f>
        <v>23.08295919157489</v>
      </c>
      <c r="AK14" s="14">
        <f t="shared" si="35"/>
        <v>7.3817004912465372</v>
      </c>
      <c r="AL14" s="22">
        <f t="shared" si="4"/>
        <v>53.059282280913983</v>
      </c>
      <c r="AM14" s="62">
        <f t="shared" si="5"/>
        <v>300.18333839141803</v>
      </c>
      <c r="AN14" s="62">
        <f ca="1">AVERAGE(OFFSET($AM$3,0,0,'Données projet'!$E$10+1,1))-AVERAGE(OFFSET($H$3,0,0,'Données projet'!$E$10+1,1))</f>
        <v>210.41468975391527</v>
      </c>
      <c r="AO14" s="62">
        <f t="shared" si="36"/>
        <v>355.1268923221744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63.730803181652618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11.8</v>
      </c>
      <c r="BD14" s="13">
        <f>IF('Données projet'!$A$88&gt;35,BD13+BC14-BL13,IF(A14&lt;'Données projet'!$A$88,$BA$205^A14,IF(A14='Données projet'!$A$88,'Données projet'!$B$88,BD13+BC14-BL13)))</f>
        <v>20.188386084778987</v>
      </c>
      <c r="BE14" s="14">
        <f>BD14*VLOOKUP('Données projet'!$B$11,Paramètres!$A$1:$I$89,3,0)*VLOOKUP('Données projet'!$B$11,Paramètres!$A$1:$I$89,5,0)</f>
        <v>10.329993391859713</v>
      </c>
      <c r="BF14" s="14">
        <f t="shared" si="37"/>
        <v>3.6275287529716786</v>
      </c>
      <c r="BG14" s="22">
        <f t="shared" si="7"/>
        <v>24.309351068914669</v>
      </c>
      <c r="BH14" s="62">
        <f t="shared" si="8"/>
        <v>271.43340717941874</v>
      </c>
      <c r="BI14" s="62">
        <f ca="1">AVERAGE(OFFSET($BH$3,0,0,'Données projet'!$E$11+1,1))-AVERAGE(OFFSET($H$3,0,0,'Données projet'!$E$11+1,1))</f>
        <v>66.833935615974326</v>
      </c>
      <c r="BJ14" s="62">
        <f t="shared" si="38"/>
        <v>294.79914393693775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63.730803181652618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63.730803181652618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63.730803181652618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63.730803181652618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63.730803181652618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63.730803181652618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63.730803181652618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1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3.6666666666666665</v>
      </c>
      <c r="H15" s="70">
        <f t="shared" si="1"/>
        <v>232.46666666666667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63.839559730626576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11.8</v>
      </c>
      <c r="N15" s="14">
        <f>IF('Données projet'!$A$36&gt;35,N14+M15-V14,IF(A15&lt;'Données projet'!$A$36,$K$205^A15,IF(A15='Données projet'!$A$36,'Données projet'!$B$36,N14+M15-V14)))</f>
        <v>26.530607938352919</v>
      </c>
      <c r="O15" s="14">
        <f>N15*VLOOKUP('Données projet'!$B$9,Paramètres!$A$1:$I$89,3,0)*VLOOKUP('Données projet'!$B$9,Paramètres!$A$1:$I$89,5,0)</f>
        <v>13.49240597312876</v>
      </c>
      <c r="P15" s="14">
        <f t="shared" si="33"/>
        <v>4.5930276395737426</v>
      </c>
      <c r="Q15" s="22">
        <f t="shared" si="2"/>
        <v>31.498796875456858</v>
      </c>
      <c r="R15" s="62">
        <f t="shared" si="0"/>
        <v>280.24384922108766</v>
      </c>
      <c r="S15" s="62">
        <f ca="1">AVERAGE(OFFSET($R$3,0,0,'Données projet'!$E$9+1,1))-AVERAGE(OFFSET($H$3,0,0,'Données projet'!$E$9+1,1))</f>
        <v>66.513705559911728</v>
      </c>
      <c r="T15" s="62">
        <f t="shared" si="34"/>
        <v>293.21772799887617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63.839559730626576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5.7692307692307692</v>
      </c>
      <c r="AI15" s="14">
        <f>IF('Données projet'!$A$62&gt;35,AI14+AH15-AQ14,IF(A15&lt;'Données projet'!$A$62,$AF$205^A15,IF(A15='Données projet'!$A$62,'Données projet'!$B$62,AI14+AH15-AQ14)))</f>
        <v>53.805389743951515</v>
      </c>
      <c r="AJ15" s="14">
        <f>AI15*VLOOKUP('Données projet'!$B$10,Paramètres!$A$1:$I$89,3,0)*VLOOKUP('Données projet'!$B$10,Paramètres!$A$1:$I$89,5,0)</f>
        <v>32.175623066883006</v>
      </c>
      <c r="AK15" s="14">
        <f t="shared" si="35"/>
        <v>9.8992636627112418</v>
      </c>
      <c r="AL15" s="22">
        <f t="shared" si="4"/>
        <v>73.28042772070998</v>
      </c>
      <c r="AM15" s="62">
        <f t="shared" si="5"/>
        <v>322.02548006634078</v>
      </c>
      <c r="AN15" s="62">
        <f ca="1">AVERAGE(OFFSET($AM$3,0,0,'Données projet'!$E$10+1,1))-AVERAGE(OFFSET($H$3,0,0,'Données projet'!$E$10+1,1))</f>
        <v>210.41468975391527</v>
      </c>
      <c r="AO15" s="62">
        <f t="shared" si="36"/>
        <v>355.1268923221744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63.839559730626576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11.8</v>
      </c>
      <c r="BD15" s="13">
        <f>IF('Données projet'!$A$88&gt;35,BD14+BC15-BL14,IF(A15&lt;'Données projet'!$A$88,$BA$205^A15,IF(A15='Données projet'!$A$88,'Données projet'!$B$88,BD14+BC15-BL14)))</f>
        <v>26.530607938352919</v>
      </c>
      <c r="BE15" s="14">
        <f>BD15*VLOOKUP('Données projet'!$B$11,Paramètres!$A$1:$I$89,3,0)*VLOOKUP('Données projet'!$B$11,Paramètres!$A$1:$I$89,5,0)</f>
        <v>13.575181469896421</v>
      </c>
      <c r="BF15" s="14">
        <f t="shared" si="37"/>
        <v>4.6179169245264733</v>
      </c>
      <c r="BG15" s="22">
        <f t="shared" si="7"/>
        <v>31.686313036953205</v>
      </c>
      <c r="BH15" s="62">
        <f t="shared" si="8"/>
        <v>280.43136538258398</v>
      </c>
      <c r="BI15" s="62">
        <f ca="1">AVERAGE(OFFSET($BH$3,0,0,'Données projet'!$E$11+1,1))-AVERAGE(OFFSET($H$3,0,0,'Données projet'!$E$11+1,1))</f>
        <v>66.833935615974326</v>
      </c>
      <c r="BJ15" s="62">
        <f t="shared" si="38"/>
        <v>294.79914393693775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63.839559730626576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63.839559730626576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63.839559730626576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63.839559730626576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63.839559730626576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63.839559730626576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63.839559730626576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1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3.6666666666666665</v>
      </c>
      <c r="H16" s="70">
        <f t="shared" si="1"/>
        <v>232.46666666666667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63.946429596619062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11.8</v>
      </c>
      <c r="N16" s="14">
        <f>IF('Données projet'!$A$36&gt;35,N15+M16-V15,IF(A16&lt;'Données projet'!$A$36,$K$205^A16,IF(A16='Données projet'!$A$36,'Données projet'!$B$36,N15+M16-V15)))</f>
        <v>34.86525146798531</v>
      </c>
      <c r="O16" s="14">
        <f>N16*VLOOKUP('Données projet'!$B$9,Paramètres!$A$1:$I$89,3,0)*VLOOKUP('Données projet'!$B$9,Paramètres!$A$1:$I$89,5,0)</f>
        <v>17.731072286558611</v>
      </c>
      <c r="P16" s="14">
        <f t="shared" si="33"/>
        <v>5.8470163893890623</v>
      </c>
      <c r="Q16" s="22">
        <f t="shared" si="2"/>
        <v>41.065171110608858</v>
      </c>
      <c r="R16" s="62">
        <f t="shared" si="0"/>
        <v>291.42430185376764</v>
      </c>
      <c r="S16" s="62">
        <f ca="1">AVERAGE(OFFSET($R$3,0,0,'Données projet'!$E$9+1,1))-AVERAGE(OFFSET($H$3,0,0,'Données projet'!$E$9+1,1))</f>
        <v>66.513705559911728</v>
      </c>
      <c r="T16" s="62">
        <f t="shared" si="34"/>
        <v>293.21772799887617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63.946429596619062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75</v>
      </c>
      <c r="AG16" s="13">
        <f>VLOOKUP(A16,'Données projet'!$A$61:$I$81,9,0)</f>
        <v>5.7692307692307692</v>
      </c>
      <c r="AH16" s="13">
        <f t="array" ref="AH16">INDEX(AG:AG,MIN(IF(ISNUMBER(AG16:AG212),ROW(AG16:AG212),"")))</f>
        <v>5.7692307692307692</v>
      </c>
      <c r="AI16" s="14">
        <f>IF('Données projet'!$A$62&gt;35,AI15+AH16-AQ15,IF(A16&lt;'Données projet'!$A$62,$AF$205^A16,IF(A16='Données projet'!$A$62,'Données projet'!$B$62,AI15+AH16-AQ15)))</f>
        <v>75</v>
      </c>
      <c r="AJ16" s="14">
        <f>AI16*VLOOKUP('Données projet'!$B$10,Paramètres!$A$1:$I$89,3,0)*VLOOKUP('Données projet'!$B$10,Paramètres!$A$1:$I$89,5,0)</f>
        <v>44.85</v>
      </c>
      <c r="AK16" s="14">
        <f t="shared" si="35"/>
        <v>13.275453424327006</v>
      </c>
      <c r="AL16" s="22">
        <f t="shared" si="4"/>
        <v>101.2351647140362</v>
      </c>
      <c r="AM16" s="62">
        <f t="shared" si="5"/>
        <v>351.59429545719496</v>
      </c>
      <c r="AN16" s="62">
        <f ca="1">AVERAGE(OFFSET($AM$3,0,0,'Données projet'!$E$10+1,1))-AVERAGE(OFFSET($H$3,0,0,'Données projet'!$E$10+1,1))</f>
        <v>210.41468975391527</v>
      </c>
      <c r="AO16" s="62">
        <f t="shared" si="36"/>
        <v>355.1268923221744</v>
      </c>
      <c r="AP16" s="16">
        <f>IF(ISNA(VLOOKUP(A16,'Données projet'!$A$61:$I$81,3,0)),0,VLOOKUP(A16,'Données projet'!$A$61:$I$81,3,0))</f>
        <v>1</v>
      </c>
      <c r="AQ16" s="16">
        <f>IF(ISNA(VLOOKUP(A16,'Données projet'!$A$61:$I$81,4,0)),0,VLOOKUP(A16,'Données projet'!$A$61:$I$81,4,0))</f>
        <v>15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1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10.1561237088124</v>
      </c>
      <c r="AX16" s="23">
        <f t="shared" si="6"/>
        <v>10.1561237088124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63.946429596619062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11.8</v>
      </c>
      <c r="BD16" s="13">
        <f>IF('Données projet'!$A$88&gt;35,BD15+BC16-BL15,IF(A16&lt;'Données projet'!$A$88,$BA$205^A16,IF(A16='Données projet'!$A$88,'Données projet'!$B$88,BD15+BC16-BL15)))</f>
        <v>34.86525146798531</v>
      </c>
      <c r="BE16" s="14">
        <f>BD16*VLOOKUP('Données projet'!$B$11,Paramètres!$A$1:$I$89,3,0)*VLOOKUP('Données projet'!$B$11,Paramètres!$A$1:$I$89,5,0)</f>
        <v>17.839851871138727</v>
      </c>
      <c r="BF16" s="14">
        <f t="shared" si="37"/>
        <v>5.8787009487818507</v>
      </c>
      <c r="BG16" s="22">
        <f t="shared" si="7"/>
        <v>41.309812828028335</v>
      </c>
      <c r="BH16" s="62">
        <f t="shared" si="8"/>
        <v>291.66894357118713</v>
      </c>
      <c r="BI16" s="62">
        <f ca="1">AVERAGE(OFFSET($BH$3,0,0,'Données projet'!$E$11+1,1))-AVERAGE(OFFSET($H$3,0,0,'Données projet'!$E$11+1,1))</f>
        <v>66.833935615974326</v>
      </c>
      <c r="BJ16" s="62">
        <f t="shared" si="38"/>
        <v>294.79914393693775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63.946429596619062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63.946429596619062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63.946429596619062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63.946429596619062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63.946429596619062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63.946429596619062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63.946429596619062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1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3.6666666666666665</v>
      </c>
      <c r="H17" s="70">
        <f t="shared" si="1"/>
        <v>232.46666666666667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64.051445509361798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11.8</v>
      </c>
      <c r="N17" s="14">
        <f>IF('Données projet'!$A$36&gt;35,N16+M17-V16,IF(A17&lt;'Données projet'!$A$36,$K$205^A17,IF(A17='Données projet'!$A$36,'Données projet'!$B$36,N16+M17-V16)))</f>
        <v>45.818239926895487</v>
      </c>
      <c r="O17" s="14">
        <f>N17*VLOOKUP('Données projet'!$B$9,Paramètres!$A$1:$I$89,3,0)*VLOOKUP('Données projet'!$B$9,Paramètres!$A$1:$I$89,5,0)</f>
        <v>23.301324097221972</v>
      </c>
      <c r="P17" s="14">
        <f t="shared" si="33"/>
        <v>7.4433692415047368</v>
      </c>
      <c r="Q17" s="22">
        <f t="shared" si="2"/>
        <v>53.54700756494902</v>
      </c>
      <c r="R17" s="62">
        <f t="shared" si="0"/>
        <v>305.51341887705343</v>
      </c>
      <c r="S17" s="62">
        <f ca="1">AVERAGE(OFFSET($R$3,0,0,'Données projet'!$E$9+1,1))-AVERAGE(OFFSET($H$3,0,0,'Données projet'!$E$9+1,1))</f>
        <v>66.513705559911728</v>
      </c>
      <c r="T17" s="62">
        <f t="shared" si="34"/>
        <v>293.21772799887617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64.051445509361798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17.166666666666668</v>
      </c>
      <c r="AI17" s="14">
        <f>IF('Données projet'!$A$62&gt;35,AI16+AH17-AQ16,IF(A17&lt;'Données projet'!$A$62,$AF$205^A17,IF(A17='Données projet'!$A$62,'Données projet'!$B$62,AI16+AH17-AQ16)))</f>
        <v>77.166666666666671</v>
      </c>
      <c r="AJ17" s="14">
        <f>AI17*VLOOKUP('Données projet'!$B$10,Paramètres!$A$1:$I$89,3,0)*VLOOKUP('Données projet'!$B$10,Paramètres!$A$1:$I$89,5,0)</f>
        <v>46.145666666666671</v>
      </c>
      <c r="AK17" s="14">
        <f t="shared" si="35"/>
        <v>13.613761874667908</v>
      </c>
      <c r="AL17" s="22">
        <f t="shared" si="4"/>
        <v>104.08100470949104</v>
      </c>
      <c r="AM17" s="62">
        <f t="shared" si="5"/>
        <v>356.04741602159544</v>
      </c>
      <c r="AN17" s="62">
        <f ca="1">AVERAGE(OFFSET($AM$3,0,0,'Données projet'!$E$10+1,1))-AVERAGE(OFFSET($H$3,0,0,'Données projet'!$E$10+1,1))</f>
        <v>210.41468975391527</v>
      </c>
      <c r="AO17" s="62">
        <f t="shared" si="36"/>
        <v>355.1268923221744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7.1814639450707176</v>
      </c>
      <c r="AX17" s="23">
        <f t="shared" si="6"/>
        <v>7.1814639450707176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64.051445509361798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11.8</v>
      </c>
      <c r="BD17" s="13">
        <f>IF('Données projet'!$A$88&gt;35,BD16+BC17-BL16,IF(A17&lt;'Données projet'!$A$88,$BA$205^A17,IF(A17='Données projet'!$A$88,'Données projet'!$B$88,BD16+BC17-BL16)))</f>
        <v>45.818239926895487</v>
      </c>
      <c r="BE17" s="14">
        <f>BD17*VLOOKUP('Données projet'!$B$11,Paramètres!$A$1:$I$89,3,0)*VLOOKUP('Données projet'!$B$11,Paramètres!$A$1:$I$89,5,0)</f>
        <v>23.444277005793886</v>
      </c>
      <c r="BF17" s="14">
        <f t="shared" si="37"/>
        <v>7.4837043216736419</v>
      </c>
      <c r="BG17" s="22">
        <f t="shared" si="7"/>
        <v>53.86623414533927</v>
      </c>
      <c r="BH17" s="62">
        <f t="shared" si="8"/>
        <v>305.83264545744368</v>
      </c>
      <c r="BI17" s="62">
        <f ca="1">AVERAGE(OFFSET($BH$3,0,0,'Données projet'!$E$11+1,1))-AVERAGE(OFFSET($H$3,0,0,'Données projet'!$E$11+1,1))</f>
        <v>66.833935615974326</v>
      </c>
      <c r="BJ17" s="62">
        <f t="shared" si="38"/>
        <v>294.79914393693775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64.051445509361798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64.051445509361798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64.051445509361798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64.051445509361798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64.051445509361798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64.051445509361798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64.051445509361798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1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3.6666666666666665</v>
      </c>
      <c r="H18" s="70">
        <f t="shared" si="1"/>
        <v>232.46666666666667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64.154639630798869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11.8</v>
      </c>
      <c r="N18" s="14">
        <f>IF('Données projet'!$A$36&gt;35,N17+M18-V17,IF(A18&lt;'Données projet'!$A$36,$K$205^A18,IF(A18='Données projet'!$A$36,'Données projet'!$B$36,N17+M18-V17)))</f>
        <v>60.212131609784393</v>
      </c>
      <c r="O18" s="14">
        <f>N18*VLOOKUP('Données projet'!$B$9,Paramètres!$A$1:$I$89,3,0)*VLOOKUP('Données projet'!$B$9,Paramètres!$A$1:$I$89,5,0)</f>
        <v>30.621481651471949</v>
      </c>
      <c r="P18" s="14">
        <f t="shared" si="33"/>
        <v>9.4755584687471295</v>
      </c>
      <c r="Q18" s="22">
        <f t="shared" si="2"/>
        <v>69.835678209381555</v>
      </c>
      <c r="R18" s="62">
        <f t="shared" si="0"/>
        <v>323.40269018897737</v>
      </c>
      <c r="S18" s="62">
        <f ca="1">AVERAGE(OFFSET($R$3,0,0,'Données projet'!$E$9+1,1))-AVERAGE(OFFSET($H$3,0,0,'Données projet'!$E$9+1,1))</f>
        <v>66.513705559911728</v>
      </c>
      <c r="T18" s="62">
        <f t="shared" si="34"/>
        <v>293.21772799887617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64.154639630798869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17.166666666666668</v>
      </c>
      <c r="AI18" s="14">
        <f>IF('Données projet'!$A$62&gt;35,AI17+AH18-AQ17,IF(A18&lt;'Données projet'!$A$62,$AF$205^A18,IF(A18='Données projet'!$A$62,'Données projet'!$B$62,AI17+AH18-AQ17)))</f>
        <v>94.333333333333343</v>
      </c>
      <c r="AJ18" s="14">
        <f>AI18*VLOOKUP('Données projet'!$B$10,Paramètres!$A$1:$I$89,3,0)*VLOOKUP('Données projet'!$B$10,Paramètres!$A$1:$I$89,5,0)</f>
        <v>56.411333333333339</v>
      </c>
      <c r="AK18" s="14">
        <f t="shared" si="35"/>
        <v>16.257710461388346</v>
      </c>
      <c r="AL18" s="22">
        <f t="shared" si="4"/>
        <v>126.56525127580693</v>
      </c>
      <c r="AM18" s="62">
        <f t="shared" si="5"/>
        <v>380.13226325540279</v>
      </c>
      <c r="AN18" s="62">
        <f ca="1">AVERAGE(OFFSET($AM$3,0,0,'Données projet'!$E$10+1,1))-AVERAGE(OFFSET($H$3,0,0,'Données projet'!$E$10+1,1))</f>
        <v>210.41468975391527</v>
      </c>
      <c r="AO18" s="62">
        <f t="shared" si="36"/>
        <v>355.1268923221744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5.0780618544062008</v>
      </c>
      <c r="AX18" s="23">
        <f t="shared" si="6"/>
        <v>5.0780618544062008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64.154639630798869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11.8</v>
      </c>
      <c r="BD18" s="13">
        <f>IF('Données projet'!$A$88&gt;35,BD17+BC18-BL17,IF(A18&lt;'Données projet'!$A$88,$BA$205^A18,IF(A18='Données projet'!$A$88,'Données projet'!$B$88,BD17+BC18-BL17)))</f>
        <v>60.212131609784393</v>
      </c>
      <c r="BE18" s="14">
        <f>BD18*VLOOKUP('Données projet'!$B$11,Paramètres!$A$1:$I$89,3,0)*VLOOKUP('Données projet'!$B$11,Paramètres!$A$1:$I$89,5,0)</f>
        <v>30.809343502094478</v>
      </c>
      <c r="BF18" s="14">
        <f t="shared" si="37"/>
        <v>9.5269058355216938</v>
      </c>
      <c r="BG18" s="22">
        <f t="shared" si="7"/>
        <v>70.25230092968151</v>
      </c>
      <c r="BH18" s="62">
        <f t="shared" si="8"/>
        <v>323.81931290927736</v>
      </c>
      <c r="BI18" s="62">
        <f ca="1">AVERAGE(OFFSET($BH$3,0,0,'Données projet'!$E$11+1,1))-AVERAGE(OFFSET($H$3,0,0,'Données projet'!$E$11+1,1))</f>
        <v>66.833935615974326</v>
      </c>
      <c r="BJ18" s="62">
        <f t="shared" si="38"/>
        <v>294.79914393693775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64.154639630798869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64.154639630798869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64.154639630798869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64.154639630798869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64.154639630798869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64.154639630798869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64.154639630798869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1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3.6666666666666665</v>
      </c>
      <c r="H19" s="70">
        <f t="shared" si="1"/>
        <v>232.46666666666667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64.25604356493649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11.8</v>
      </c>
      <c r="N19" s="14">
        <f>IF('Données projet'!$A$36&gt;35,N18+M19-V18,IF(A19&lt;'Données projet'!$A$36,$K$205^A19,IF(A19='Données projet'!$A$36,'Données projet'!$B$36,N18+M19-V18)))</f>
        <v>79.127893144271852</v>
      </c>
      <c r="O19" s="14">
        <f>N19*VLOOKUP('Données projet'!$B$9,Paramètres!$A$1:$I$89,3,0)*VLOOKUP('Données projet'!$B$9,Paramètres!$A$1:$I$89,5,0)</f>
        <v>40.241281337450893</v>
      </c>
      <c r="P19" s="14">
        <f t="shared" si="33"/>
        <v>12.062576150863432</v>
      </c>
      <c r="Q19" s="22">
        <f t="shared" si="2"/>
        <v>91.095885125480777</v>
      </c>
      <c r="R19" s="62">
        <f t="shared" si="0"/>
        <v>346.2569337524701</v>
      </c>
      <c r="S19" s="62">
        <f ca="1">AVERAGE(OFFSET($R$3,0,0,'Données projet'!$E$9+1,1))-AVERAGE(OFFSET($H$3,0,0,'Données projet'!$E$9+1,1))</f>
        <v>66.513705559911728</v>
      </c>
      <c r="T19" s="62">
        <f t="shared" si="34"/>
        <v>293.21772799887617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64.25604356493649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17.166666666666668</v>
      </c>
      <c r="AI19" s="14">
        <f>IF('Données projet'!$A$62&gt;35,AI18+AH19-AQ18,IF(A19&lt;'Données projet'!$A$62,$AF$205^A19,IF(A19='Données projet'!$A$62,'Données projet'!$B$62,AI18+AH19-AQ18)))</f>
        <v>111.50000000000001</v>
      </c>
      <c r="AJ19" s="14">
        <f>AI19*VLOOKUP('Données projet'!$B$10,Paramètres!$A$1:$I$89,3,0)*VLOOKUP('Données projet'!$B$10,Paramètres!$A$1:$I$89,5,0)</f>
        <v>66.677000000000007</v>
      </c>
      <c r="AK19" s="14">
        <f t="shared" si="35"/>
        <v>18.845918291779732</v>
      </c>
      <c r="AL19" s="22">
        <f t="shared" si="4"/>
        <v>148.95241602484973</v>
      </c>
      <c r="AM19" s="62">
        <f t="shared" si="5"/>
        <v>404.11346465183908</v>
      </c>
      <c r="AN19" s="62">
        <f ca="1">AVERAGE(OFFSET($AM$3,0,0,'Données projet'!$E$10+1,1))-AVERAGE(OFFSET($H$3,0,0,'Données projet'!$E$10+1,1))</f>
        <v>210.41468975391527</v>
      </c>
      <c r="AO19" s="62">
        <f t="shared" si="36"/>
        <v>355.1268923221744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3.5907319725353593</v>
      </c>
      <c r="AX19" s="23">
        <f t="shared" si="6"/>
        <v>3.5907319725353593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64.25604356493649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11.8</v>
      </c>
      <c r="BD19" s="13">
        <f>IF('Données projet'!$A$88&gt;35,BD18+BC19-BL18,IF(A19&lt;'Données projet'!$A$88,$BA$205^A19,IF(A19='Données projet'!$A$88,'Données projet'!$B$88,BD18+BC19-BL18)))</f>
        <v>79.127893144271852</v>
      </c>
      <c r="BE19" s="14">
        <f>BD19*VLOOKUP('Données projet'!$B$11,Paramètres!$A$1:$I$89,3,0)*VLOOKUP('Données projet'!$B$11,Paramètres!$A$1:$I$89,5,0)</f>
        <v>40.488160364061024</v>
      </c>
      <c r="BF19" s="14">
        <f t="shared" si="37"/>
        <v>12.127942379556695</v>
      </c>
      <c r="BG19" s="22">
        <f t="shared" si="7"/>
        <v>91.639712278467528</v>
      </c>
      <c r="BH19" s="62">
        <f t="shared" si="8"/>
        <v>346.80076090545685</v>
      </c>
      <c r="BI19" s="62">
        <f ca="1">AVERAGE(OFFSET($BH$3,0,0,'Données projet'!$E$11+1,1))-AVERAGE(OFFSET($H$3,0,0,'Données projet'!$E$11+1,1))</f>
        <v>66.833935615974326</v>
      </c>
      <c r="BJ19" s="62">
        <f t="shared" si="38"/>
        <v>294.79914393693775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64.25604356493649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64.25604356493649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64.25604356493649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64.25604356493649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64.25604356493649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64.25604356493649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64.25604356493649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1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3.6666666666666665</v>
      </c>
      <c r="H20" s="70">
        <f t="shared" si="1"/>
        <v>232.46666666666667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64.355688367522049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11.8</v>
      </c>
      <c r="N20" s="14">
        <f>IF('Données projet'!$A$36&gt;35,N19+M20-V19,IF(A20&lt;'Données projet'!$A$36,$K$205^A20,IF(A20='Données projet'!$A$36,'Données projet'!$B$36,N19+M20-V19)))</f>
        <v>103.98607898534958</v>
      </c>
      <c r="O20" s="14">
        <f>N20*VLOOKUP('Données projet'!$B$9,Paramètres!$A$1:$I$89,3,0)*VLOOKUP('Données projet'!$B$9,Paramètres!$A$1:$I$89,5,0)</f>
        <v>52.883160328789387</v>
      </c>
      <c r="P20" s="14">
        <f t="shared" si="33"/>
        <v>15.355901594116618</v>
      </c>
      <c r="Q20" s="22">
        <f t="shared" si="2"/>
        <v>118.84969951572798</v>
      </c>
      <c r="R20" s="62">
        <f t="shared" si="0"/>
        <v>375.59833464108664</v>
      </c>
      <c r="S20" s="62">
        <f ca="1">AVERAGE(OFFSET($R$3,0,0,'Données projet'!$E$9+1,1))-AVERAGE(OFFSET($H$3,0,0,'Données projet'!$E$9+1,1))</f>
        <v>66.513705559911728</v>
      </c>
      <c r="T20" s="62">
        <f t="shared" si="34"/>
        <v>293.21772799887617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64.355688367522049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17.166666666666668</v>
      </c>
      <c r="AI20" s="14">
        <f>IF('Données projet'!$A$62&gt;35,AI19+AH20-AQ19,IF(A20&lt;'Données projet'!$A$62,$AF$205^A20,IF(A20='Données projet'!$A$62,'Données projet'!$B$62,AI19+AH20-AQ19)))</f>
        <v>128.66666666666669</v>
      </c>
      <c r="AJ20" s="14">
        <f>AI20*VLOOKUP('Données projet'!$B$10,Paramètres!$A$1:$I$89,3,0)*VLOOKUP('Données projet'!$B$10,Paramètres!$A$1:$I$89,5,0)</f>
        <v>76.942666666666682</v>
      </c>
      <c r="AK20" s="14">
        <f t="shared" si="35"/>
        <v>21.387963426287346</v>
      </c>
      <c r="AL20" s="22">
        <f t="shared" si="4"/>
        <v>171.25918074522826</v>
      </c>
      <c r="AM20" s="62">
        <f t="shared" si="5"/>
        <v>428.00781587058691</v>
      </c>
      <c r="AN20" s="62">
        <f ca="1">AVERAGE(OFFSET($AM$3,0,0,'Données projet'!$E$10+1,1))-AVERAGE(OFFSET($H$3,0,0,'Données projet'!$E$10+1,1))</f>
        <v>210.41468975391527</v>
      </c>
      <c r="AO20" s="62">
        <f t="shared" si="36"/>
        <v>355.1268923221744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2.5390309272031004</v>
      </c>
      <c r="AX20" s="23">
        <f t="shared" si="6"/>
        <v>2.5390309272031004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64.355688367522049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11.8</v>
      </c>
      <c r="BD20" s="13">
        <f>IF('Données projet'!$A$88&gt;35,BD19+BC20-BL19,IF(A20&lt;'Données projet'!$A$88,$BA$205^A20,IF(A20='Données projet'!$A$88,'Données projet'!$B$88,BD19+BC20-BL19)))</f>
        <v>103.98607898534958</v>
      </c>
      <c r="BE20" s="14">
        <f>BD20*VLOOKUP('Données projet'!$B$11,Paramètres!$A$1:$I$89,3,0)*VLOOKUP('Données projet'!$B$11,Paramètres!$A$1:$I$89,5,0)</f>
        <v>53.207596895223674</v>
      </c>
      <c r="BF20" s="14">
        <f t="shared" si="37"/>
        <v>15.439114115458539</v>
      </c>
      <c r="BG20" s="22">
        <f t="shared" si="7"/>
        <v>119.55968834360483</v>
      </c>
      <c r="BH20" s="62">
        <f t="shared" si="8"/>
        <v>376.30832346896347</v>
      </c>
      <c r="BI20" s="62">
        <f ca="1">AVERAGE(OFFSET($BH$3,0,0,'Données projet'!$E$11+1,1))-AVERAGE(OFFSET($H$3,0,0,'Données projet'!$E$11+1,1))</f>
        <v>66.833935615974326</v>
      </c>
      <c r="BJ20" s="62">
        <f t="shared" si="38"/>
        <v>294.79914393693775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64.355688367522049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64.355688367522049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64.355688367522049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64.355688367522049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64.355688367522049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64.355688367522049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64.355688367522049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1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3.6666666666666665</v>
      </c>
      <c r="H21" s="70">
        <f t="shared" si="1"/>
        <v>232.46666666666667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64.453604555555174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11.8</v>
      </c>
      <c r="N21" s="14">
        <f>IF('Données projet'!$A$36&gt;35,N20+M21-V20,IF(A21&lt;'Données projet'!$A$36,$K$205^A21,IF(A21='Données projet'!$A$36,'Données projet'!$B$36,N20+M21-V20)))</f>
        <v>136.65351361032839</v>
      </c>
      <c r="O21" s="14">
        <f>N21*VLOOKUP('Données projet'!$B$9,Paramètres!$A$1:$I$89,3,0)*VLOOKUP('Données projet'!$B$9,Paramètres!$A$1:$I$89,5,0)</f>
        <v>69.496510881668613</v>
      </c>
      <c r="P21" s="14">
        <f t="shared" si="33"/>
        <v>19.548370996299532</v>
      </c>
      <c r="Q21" s="22">
        <f t="shared" si="2"/>
        <v>155.08650260412784</v>
      </c>
      <c r="R21" s="62">
        <f t="shared" si="0"/>
        <v>413.41638597449685</v>
      </c>
      <c r="S21" s="62">
        <f ca="1">AVERAGE(OFFSET($R$3,0,0,'Données projet'!$E$9+1,1))-AVERAGE(OFFSET($H$3,0,0,'Données projet'!$E$9+1,1))</f>
        <v>66.513705559911728</v>
      </c>
      <c r="T21" s="62">
        <f t="shared" si="34"/>
        <v>293.21772799887617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64.453604555555174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17.166666666666668</v>
      </c>
      <c r="AI21" s="14">
        <f>IF('Données projet'!$A$62&gt;35,AI20+AH21-AQ20,IF(A21&lt;'Données projet'!$A$62,$AF$205^A21,IF(A21='Données projet'!$A$62,'Données projet'!$B$62,AI20+AH21-AQ20)))</f>
        <v>145.83333333333334</v>
      </c>
      <c r="AJ21" s="14">
        <f>AI21*VLOOKUP('Données projet'!$B$10,Paramètres!$A$1:$I$89,3,0)*VLOOKUP('Données projet'!$B$10,Paramètres!$A$1:$I$89,5,0)</f>
        <v>87.208333333333343</v>
      </c>
      <c r="AK21" s="14">
        <f t="shared" si="35"/>
        <v>23.890712489742075</v>
      </c>
      <c r="AL21" s="22">
        <f t="shared" si="4"/>
        <v>193.49750480852299</v>
      </c>
      <c r="AM21" s="62">
        <f t="shared" si="5"/>
        <v>451.82738817889197</v>
      </c>
      <c r="AN21" s="62">
        <f ca="1">AVERAGE(OFFSET($AM$3,0,0,'Données projet'!$E$10+1,1))-AVERAGE(OFFSET($H$3,0,0,'Données projet'!$E$10+1,1))</f>
        <v>210.41468975391527</v>
      </c>
      <c r="AO21" s="62">
        <f t="shared" si="36"/>
        <v>355.1268923221744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1.7953659862676796</v>
      </c>
      <c r="AX21" s="23">
        <f t="shared" si="6"/>
        <v>1.7953659862676796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64.453604555555174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11.8</v>
      </c>
      <c r="BD21" s="13">
        <f>IF('Données projet'!$A$88&gt;35,BD20+BC21-BL20,IF(A21&lt;'Données projet'!$A$88,$BA$205^A21,IF(A21='Données projet'!$A$88,'Données projet'!$B$88,BD20+BC21-BL20)))</f>
        <v>136.65351361032839</v>
      </c>
      <c r="BE21" s="14">
        <f>BD21*VLOOKUP('Données projet'!$B$11,Paramètres!$A$1:$I$89,3,0)*VLOOKUP('Données projet'!$B$11,Paramètres!$A$1:$I$89,5,0)</f>
        <v>69.922869844132833</v>
      </c>
      <c r="BF21" s="14">
        <f t="shared" si="37"/>
        <v>19.654302206444349</v>
      </c>
      <c r="BG21" s="22">
        <f t="shared" si="7"/>
        <v>156.01357465475527</v>
      </c>
      <c r="BH21" s="62">
        <f t="shared" si="8"/>
        <v>414.34345802512428</v>
      </c>
      <c r="BI21" s="62">
        <f ca="1">AVERAGE(OFFSET($BH$3,0,0,'Données projet'!$E$11+1,1))-AVERAGE(OFFSET($H$3,0,0,'Données projet'!$E$11+1,1))</f>
        <v>66.833935615974326</v>
      </c>
      <c r="BJ21" s="62">
        <f t="shared" si="38"/>
        <v>294.79914393693775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64.453604555555174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64.453604555555174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64.453604555555174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64.453604555555174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64.453604555555174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64.453604555555174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64.453604555555174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1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3.6666666666666665</v>
      </c>
      <c r="H22" s="70">
        <f t="shared" si="1"/>
        <v>232.46666666666667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64.549822116633706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11.8</v>
      </c>
      <c r="N22" s="14">
        <f>IF('Données projet'!$A$36&gt;35,N21+M22-V21,IF(A22&lt;'Données projet'!$A$36,$K$205^A22,IF(A22='Données projet'!$A$36,'Données projet'!$B$36,N21+M22-V21)))</f>
        <v>179.58348813863034</v>
      </c>
      <c r="O22" s="14">
        <f>N22*VLOOKUP('Données projet'!$B$9,Paramètres!$A$1:$I$89,3,0)*VLOOKUP('Données projet'!$B$9,Paramètres!$A$1:$I$89,5,0)</f>
        <v>91.328978727781845</v>
      </c>
      <c r="P22" s="14">
        <f t="shared" si="33"/>
        <v>24.885468708354818</v>
      </c>
      <c r="Q22" s="22">
        <f t="shared" si="2"/>
        <v>202.4068292846047</v>
      </c>
      <c r="R22" s="62">
        <f t="shared" si="0"/>
        <v>462.31173260115054</v>
      </c>
      <c r="S22" s="62">
        <f ca="1">AVERAGE(OFFSET($R$3,0,0,'Données projet'!$E$9+1,1))-AVERAGE(OFFSET($H$3,0,0,'Données projet'!$E$9+1,1))</f>
        <v>66.513705559911728</v>
      </c>
      <c r="T22" s="62">
        <f t="shared" si="34"/>
        <v>293.21772799887617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64.549822116633706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>
        <f>VLOOKUP(A22,'Données projet'!$A$61:$I$81,2,0)</f>
        <v>163</v>
      </c>
      <c r="AG22" s="13">
        <f>VLOOKUP(A22,'Données projet'!$A$61:$I$81,9,0)</f>
        <v>17.166666666666668</v>
      </c>
      <c r="AH22" s="13">
        <f t="array" ref="AH22">INDEX(AG:AG,MIN(IF(ISNUMBER(AG22:AG218),ROW(AG22:AG218),"")))</f>
        <v>17.166666666666668</v>
      </c>
      <c r="AI22" s="14">
        <f>IF('Données projet'!$A$62&gt;35,AI21+AH22-AQ21,IF(A22&lt;'Données projet'!$A$62,$AF$205^A22,IF(A22='Données projet'!$A$62,'Données projet'!$B$62,AI21+AH22-AQ21)))</f>
        <v>163</v>
      </c>
      <c r="AJ22" s="14">
        <f>AI22*VLOOKUP('Données projet'!$B$10,Paramètres!$A$1:$I$89,3,0)*VLOOKUP('Données projet'!$B$10,Paramètres!$A$1:$I$89,5,0)</f>
        <v>97.474000000000004</v>
      </c>
      <c r="AK22" s="14">
        <f t="shared" si="35"/>
        <v>26.359319748929014</v>
      </c>
      <c r="AL22" s="22">
        <f t="shared" si="4"/>
        <v>215.67636522938469</v>
      </c>
      <c r="AM22" s="62">
        <f t="shared" si="5"/>
        <v>475.58126854593047</v>
      </c>
      <c r="AN22" s="62">
        <f ca="1">AVERAGE(OFFSET($AM$3,0,0,'Données projet'!$E$10+1,1))-AVERAGE(OFFSET($H$3,0,0,'Données projet'!$E$10+1,1))</f>
        <v>210.41468975391527</v>
      </c>
      <c r="AO22" s="62">
        <f t="shared" si="36"/>
        <v>355.1268923221744</v>
      </c>
      <c r="AP22" s="16">
        <f>IF(ISNA(VLOOKUP(A22,'Données projet'!$A$61:$I$81,3,0)),0,VLOOKUP(A22,'Données projet'!$A$61:$I$81,3,0))</f>
        <v>2</v>
      </c>
      <c r="AQ22" s="16">
        <f>IF(ISNA(VLOOKUP(A22,'Données projet'!$A$61:$I$81,4,0)),0,VLOOKUP(A22,'Données projet'!$A$61:$I$81,4,0))</f>
        <v>40</v>
      </c>
      <c r="AR22" s="17">
        <f>IF(ISNA(VLOOKUP(A22,'Données projet'!$A$61:$I$81,5,0)),0%,VLOOKUP(A22,'Données projet'!$A$61:$I$81,5,0)*VLOOKUP('Données projet'!$B$10,Paramètres!$A$1:$I$89,7,0))</f>
        <v>0.13500000000000001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0.7</v>
      </c>
      <c r="AU22" s="23">
        <f>EXP(-LN(2)/35)*AU21+(1-EXP(-LN(2)/35))/(LN(2)/35)*AQ22*AR22*VLOOKUP('Données projet'!$B$10,Paramètres!$A$1:$I$89,3,0)*0.475*44/12</f>
        <v>4.2837419395053642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20.227613053384697</v>
      </c>
      <c r="AX22" s="23">
        <f t="shared" si="6"/>
        <v>24.511354992890062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64.549822116633706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11.8</v>
      </c>
      <c r="BD22" s="13">
        <f>IF('Données projet'!$A$88&gt;35,BD21+BC22-BL21,IF(A22&lt;'Données projet'!$A$88,$BA$205^A22,IF(A22='Données projet'!$A$88,'Données projet'!$B$88,BD21+BC22-BL21)))</f>
        <v>179.58348813863034</v>
      </c>
      <c r="BE22" s="14">
        <f>BD22*VLOOKUP('Données projet'!$B$11,Paramètres!$A$1:$I$89,3,0)*VLOOKUP('Données projet'!$B$11,Paramètres!$A$1:$I$89,5,0)</f>
        <v>91.88927921077439</v>
      </c>
      <c r="BF22" s="14">
        <f t="shared" si="37"/>
        <v>25.020321265419334</v>
      </c>
      <c r="BG22" s="22">
        <f t="shared" si="7"/>
        <v>203.6175541627041</v>
      </c>
      <c r="BH22" s="62">
        <f t="shared" si="8"/>
        <v>463.52245747924991</v>
      </c>
      <c r="BI22" s="62">
        <f ca="1">AVERAGE(OFFSET($BH$3,0,0,'Données projet'!$E$11+1,1))-AVERAGE(OFFSET($H$3,0,0,'Données projet'!$E$11+1,1))</f>
        <v>66.833935615974326</v>
      </c>
      <c r="BJ22" s="62">
        <f t="shared" si="38"/>
        <v>294.79914393693775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64.549822116633706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64.549822116633706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64.549822116633706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64.549822116633706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64.549822116633706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64.549822116633706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64.549822116633706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1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3.6666666666666665</v>
      </c>
      <c r="H23" s="70">
        <f t="shared" si="1"/>
        <v>232.46666666666667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64.644370518137777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236</v>
      </c>
      <c r="L23" s="13">
        <f>VLOOKUP(A23,'Données projet'!$A$35:$I$55,9,0)</f>
        <v>11.8</v>
      </c>
      <c r="M23" s="13">
        <f t="array" ref="M23">INDEX(L:L,MIN(IF(ISNUMBER(L23:L219),ROW(L23:L219),"")))</f>
        <v>11.8</v>
      </c>
      <c r="N23" s="14">
        <f>IF('Données projet'!$A$36&gt;35,N22+M23-V22,IF(A23&lt;'Données projet'!$A$36,$K$205^A23,IF(A23='Données projet'!$A$36,'Données projet'!$B$36,N22+M23-V22)))</f>
        <v>236</v>
      </c>
      <c r="O23" s="14">
        <f>N23*VLOOKUP('Données projet'!$B$9,Paramètres!$A$1:$I$89,3,0)*VLOOKUP('Données projet'!$B$9,Paramètres!$A$1:$I$89,5,0)</f>
        <v>120.02016000000002</v>
      </c>
      <c r="P23" s="14">
        <f t="shared" si="33"/>
        <v>31.679701237086977</v>
      </c>
      <c r="Q23" s="22">
        <f t="shared" si="2"/>
        <v>264.21059165459314</v>
      </c>
      <c r="R23" s="62">
        <f t="shared" si="0"/>
        <v>525.68439466554287</v>
      </c>
      <c r="S23" s="62">
        <f ca="1">AVERAGE(OFFSET($R$3,0,0,'Données projet'!$E$9+1,1))-AVERAGE(OFFSET($H$3,0,0,'Données projet'!$E$9+1,1))</f>
        <v>66.513705559911728</v>
      </c>
      <c r="T23" s="62">
        <f t="shared" si="34"/>
        <v>293.21772799887617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236</v>
      </c>
      <c r="W23" s="17">
        <f>IF(ISNA(VLOOKUP(A23,'Données projet'!$A$35:$I$55,5,0)),0%,VLOOKUP(A23,'Données projet'!$A$35:$I$55,5,0)*VLOOKUP('Données projet'!$B$9,Paramètres!$A$1:$I$89,7,0))</f>
        <v>0.54</v>
      </c>
      <c r="X23" s="78">
        <f>IF(ISNA(VLOOKUP(A23,'Données projet'!$A$35:$I$55,6,0)),0%,VLOOKUP(A23,'Données projet'!$A$35:$I$55,6,0)*VLOOKUP('Données projet'!$B$9,Paramètres!$A$1:$I$89,7,0))</f>
        <v>0.03</v>
      </c>
      <c r="Y23" s="17">
        <f>IF(ISNA(VLOOKUP(A23,'Données projet'!$A$35:$I$55,7,0)),0%,VLOOKUP(A23,'Données projet'!$A$35:$I$55,7,0))</f>
        <v>0.05</v>
      </c>
      <c r="Z23" s="23">
        <f>EXP(-LN(2)/35)*Z22+(1-EXP(-LN(2)/35))/(LN(2)/35)*V23*W23*VLOOKUP('Données projet'!$B$9,Paramètres!$A$1:$I$89,3,0)*0.475*44/12</f>
        <v>71.646515186474929</v>
      </c>
      <c r="AA23" s="23">
        <f>EXP(-LN(2)/25)*AA22+(1-EXP(-LN(2)/25))/(LN(2)/25)*Calculateur!V23*Calculateur!X23*VLOOKUP('Données projet'!$B$9,Paramètres!$A$1:$I$89,3,0)*0.475*44/12</f>
        <v>3.964689753151291</v>
      </c>
      <c r="AB23" s="23">
        <f>EXP(-LN(2)/2)*AB22+(1-EXP(-LN(2)/2))/(LN(2)/2)*V23*Y23*VLOOKUP('Données projet'!$B$9,Paramètres!$A$1:$I$89,3,0)*0.475*44/12</f>
        <v>5.6621125627622524</v>
      </c>
      <c r="AC23" s="24">
        <f t="shared" si="3"/>
        <v>81.273317502388466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64.644370518137777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16.5</v>
      </c>
      <c r="AI23" s="14">
        <f>IF('Données projet'!$A$62&gt;35,AI22+AH23-AQ22,IF(A23&lt;'Données projet'!$A$62,$AF$205^A23,IF(A23='Données projet'!$A$62,'Données projet'!$B$62,AI22+AH23-AQ22)))</f>
        <v>139.5</v>
      </c>
      <c r="AJ23" s="14">
        <f>AI23*VLOOKUP('Données projet'!$B$10,Paramètres!$A$1:$I$89,3,0)*VLOOKUP('Données projet'!$B$10,Paramètres!$A$1:$I$89,5,0)</f>
        <v>83.421000000000006</v>
      </c>
      <c r="AK23" s="14">
        <f t="shared" si="35"/>
        <v>22.97158706718762</v>
      </c>
      <c r="AL23" s="22">
        <f t="shared" si="4"/>
        <v>185.30042247535178</v>
      </c>
      <c r="AM23" s="62">
        <f t="shared" si="5"/>
        <v>446.77422548630148</v>
      </c>
      <c r="AN23" s="62">
        <f ca="1">AVERAGE(OFFSET($AM$3,0,0,'Données projet'!$E$10+1,1))-AVERAGE(OFFSET($H$3,0,0,'Données projet'!$E$10+1,1))</f>
        <v>210.41468975391527</v>
      </c>
      <c r="AO23" s="62">
        <f t="shared" si="36"/>
        <v>355.1268923221744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4.1997403728962519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14.303082357265847</v>
      </c>
      <c r="AX23" s="23">
        <f t="shared" si="6"/>
        <v>18.502822730162098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64.644370518137777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236</v>
      </c>
      <c r="BB23" s="13">
        <f>VLOOKUP(A23,'Données projet'!$A$87:$I$107,9,0)</f>
        <v>11.8</v>
      </c>
      <c r="BC23" s="13">
        <f t="array" ref="BC23">INDEX(BB:BB,MIN(IF(ISNUMBER(BB23:BB219),ROW(BB23:BB219),"")))</f>
        <v>11.8</v>
      </c>
      <c r="BD23" s="13">
        <f>IF('Données projet'!$A$88&gt;35,BD22+BC23-BL22,IF(A23&lt;'Données projet'!$A$88,$BA$205^A23,IF(A23='Données projet'!$A$88,'Données projet'!$B$88,BD22+BC23-BL22)))</f>
        <v>236</v>
      </c>
      <c r="BE23" s="14">
        <f>BD23*VLOOKUP('Données projet'!$B$11,Paramètres!$A$1:$I$89,3,0)*VLOOKUP('Données projet'!$B$11,Paramètres!$A$1:$I$89,5,0)</f>
        <v>120.75648000000001</v>
      </c>
      <c r="BF23" s="14">
        <f t="shared" si="37"/>
        <v>31.851371249371148</v>
      </c>
      <c r="BG23" s="22">
        <f t="shared" si="7"/>
        <v>265.79200759265478</v>
      </c>
      <c r="BH23" s="62">
        <f t="shared" si="8"/>
        <v>527.26581060360445</v>
      </c>
      <c r="BI23" s="62">
        <f ca="1">AVERAGE(OFFSET($BH$3,0,0,'Données projet'!$E$11+1,1))-AVERAGE(OFFSET($H$3,0,0,'Données projet'!$E$11+1,1))</f>
        <v>66.833935615974326</v>
      </c>
      <c r="BJ23" s="62">
        <f t="shared" si="38"/>
        <v>294.79914393693775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236</v>
      </c>
      <c r="BM23" s="17">
        <f>IF(ISNA(VLOOKUP(A23,'Données projet'!$A$87:$I$107,5,0)),0%,VLOOKUP(A23,'Données projet'!$A$87:$I$107,5,0)*VLOOKUP('Données projet'!$B$11,Paramètres!$A$1:$I$89,7,0))</f>
        <v>0.54</v>
      </c>
      <c r="BN23" s="17">
        <f>IF(ISNA(VLOOKUP(A23,'Données projet'!$A$87:$I$107,6,0)),0%,VLOOKUP(A23,'Données projet'!$A$87:$I$107,6,0)*VLOOKUP('Données projet'!$B$11,Paramètres!$A$1:$I$89,7,0))</f>
        <v>0.03</v>
      </c>
      <c r="BO23" s="17">
        <f>IF(ISNA(VLOOKUP(A23,'Données projet'!$A$87:$I$107,7,0)),0%,VLOOKUP(A23,'Données projet'!$A$87:$I$107,7,0))</f>
        <v>0.05</v>
      </c>
      <c r="BP23" s="23">
        <f>EXP(-LN(2)/35)*BP22+(1-EXP(-LN(2)/35))/(LN(2)/35)*BL23*BM23*VLOOKUP('Données projet'!$B$11,Paramètres!$A$1:$I$89,3,0)*0.475*44/12</f>
        <v>72.086064359398094</v>
      </c>
      <c r="BQ23" s="23">
        <f>EXP(-LN(2)/25)*BQ22+(1-EXP(-LN(2)/25))/(LN(2)/25)*Calculateur!BL23*Calculateur!BN23*VLOOKUP('Données projet'!$B$11,Paramètres!$A$1:$I$89,3,0)*0.475*44/12</f>
        <v>3.9890130031706241</v>
      </c>
      <c r="BR23" s="23">
        <f>EXP(-LN(2)/2)*BR22+(1-EXP(-LN(2)/2))/(LN(2)/2)*BL23*BO23*VLOOKUP('Données projet'!$B$11,Paramètres!$A$1:$I$89,3,0)*0.475*44/12</f>
        <v>5.6968494496503643</v>
      </c>
      <c r="BS23" s="24">
        <f t="shared" si="9"/>
        <v>81.771926812219078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64.644370518137777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64.644370518137777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64.644370518137777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64.644370518137777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64.644370518137777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64.644370518137777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64.644370518137777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1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3.6666666666666665</v>
      </c>
      <c r="H24" s="70">
        <f t="shared" si="1"/>
        <v>232.46666666666667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64.737278716254309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66.513705559911728</v>
      </c>
      <c r="T24" s="62">
        <f t="shared" si="34"/>
        <v>293.21772799887617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70.241570723727392</v>
      </c>
      <c r="AA24" s="23">
        <f>EXP(-LN(2)/25)*AA23+(1-EXP(-LN(2)/25))/(LN(2)/25)*Calculateur!V24*Calculateur!X24*VLOOKUP('Données projet'!$B$9,Paramètres!$A$1:$I$89,3,0)*0.475*44/12</f>
        <v>3.8562751033573961</v>
      </c>
      <c r="AB24" s="23">
        <f>EXP(-LN(2)/2)*AB23+(1-EXP(-LN(2)/2))/(LN(2)/2)*V24*Y24*VLOOKUP('Données projet'!$B$9,Paramètres!$A$1:$I$89,3,0)*0.475*44/12</f>
        <v>4.0037181889707298</v>
      </c>
      <c r="AC24" s="24">
        <f t="shared" si="3"/>
        <v>78.101564016055505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64.737278716254309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16.5</v>
      </c>
      <c r="AI24" s="14">
        <f>IF('Données projet'!$A$62&gt;35,AI23+AH24-AQ23,IF(A24&lt;'Données projet'!$A$62,$AF$205^A24,IF(A24='Données projet'!$A$62,'Données projet'!$B$62,AI23+AH24-AQ23)))</f>
        <v>156</v>
      </c>
      <c r="AJ24" s="14">
        <f>AI24*VLOOKUP('Données projet'!$B$10,Paramètres!$A$1:$I$89,3,0)*VLOOKUP('Données projet'!$B$10,Paramètres!$A$1:$I$89,5,0)</f>
        <v>93.288000000000011</v>
      </c>
      <c r="AK24" s="14">
        <f t="shared" si="35"/>
        <v>25.356547829040977</v>
      </c>
      <c r="AL24" s="22">
        <f t="shared" si="4"/>
        <v>206.63925413557971</v>
      </c>
      <c r="AM24" s="62">
        <f t="shared" si="5"/>
        <v>469.67594276184548</v>
      </c>
      <c r="AN24" s="62">
        <f ca="1">AVERAGE(OFFSET($AM$3,0,0,'Données projet'!$E$10+1,1))-AVERAGE(OFFSET($H$3,0,0,'Données projet'!$E$10+1,1))</f>
        <v>210.41468975391527</v>
      </c>
      <c r="AO24" s="62">
        <f t="shared" si="36"/>
        <v>355.1268923221744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4.1173860257724479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10.11380652669235</v>
      </c>
      <c r="AX24" s="23">
        <f t="shared" si="6"/>
        <v>14.231192552464798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64.737278716254309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66.833935615974326</v>
      </c>
      <c r="BJ24" s="62">
        <f t="shared" si="38"/>
        <v>294.79914393693775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70.672500605468059</v>
      </c>
      <c r="BQ24" s="23">
        <f>EXP(-LN(2)/25)*BQ23+(1-EXP(-LN(2)/25))/(LN(2)/25)*Calculateur!BL24*Calculateur!BN24*VLOOKUP('Données projet'!$B$11,Paramètres!$A$1:$I$89,3,0)*0.475*44/12</f>
        <v>3.8799332328258465</v>
      </c>
      <c r="BR24" s="23">
        <f>EXP(-LN(2)/2)*BR23+(1-EXP(-LN(2)/2))/(LN(2)/2)*BL24*BO24*VLOOKUP('Données projet'!$B$11,Paramètres!$A$1:$I$89,3,0)*0.475*44/12</f>
        <v>4.0282808772466243</v>
      </c>
      <c r="BS24" s="24">
        <f t="shared" si="9"/>
        <v>78.580714715540537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64.737278716254309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64.737278716254309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64.737278716254309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64.737278716254309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64.737278716254309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64.737278716254309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64.737278716254309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1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3.6666666666666665</v>
      </c>
      <c r="H25" s="70">
        <f t="shared" si="1"/>
        <v>232.46666666666667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64.828575164845134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66.513705559911728</v>
      </c>
      <c r="T25" s="62">
        <f t="shared" si="34"/>
        <v>293.21772799887617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68.86417636496283</v>
      </c>
      <c r="AA25" s="23">
        <f>EXP(-LN(2)/25)*AA24+(1-EXP(-LN(2)/25))/(LN(2)/25)*Calculateur!V25*Calculateur!X25*VLOOKUP('Données projet'!$B$9,Paramètres!$A$1:$I$89,3,0)*0.475*44/12</f>
        <v>3.7508250578633939</v>
      </c>
      <c r="AB25" s="23">
        <f>EXP(-LN(2)/2)*AB24+(1-EXP(-LN(2)/2))/(LN(2)/2)*V25*Y25*VLOOKUP('Données projet'!$B$9,Paramètres!$A$1:$I$89,3,0)*0.475*44/12</f>
        <v>2.8310562813811262</v>
      </c>
      <c r="AC25" s="24">
        <f t="shared" si="3"/>
        <v>75.446057704207348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64.828575164845134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16.5</v>
      </c>
      <c r="AI25" s="14">
        <f>IF('Données projet'!$A$62&gt;35,AI24+AH25-AQ24,IF(A25&lt;'Données projet'!$A$62,$AF$205^A25,IF(A25='Données projet'!$A$62,'Données projet'!$B$62,AI24+AH25-AQ24)))</f>
        <v>172.5</v>
      </c>
      <c r="AJ25" s="14">
        <f>AI25*VLOOKUP('Données projet'!$B$10,Paramètres!$A$1:$I$89,3,0)*VLOOKUP('Données projet'!$B$10,Paramètres!$A$1:$I$89,5,0)</f>
        <v>103.15500000000002</v>
      </c>
      <c r="AK25" s="14">
        <f t="shared" si="35"/>
        <v>27.71226857071613</v>
      </c>
      <c r="AL25" s="22">
        <f t="shared" si="4"/>
        <v>227.92715942733059</v>
      </c>
      <c r="AM25" s="62">
        <f t="shared" si="5"/>
        <v>492.52082392065159</v>
      </c>
      <c r="AN25" s="62">
        <f ca="1">AVERAGE(OFFSET($AM$3,0,0,'Données projet'!$E$10+1,1))-AVERAGE(OFFSET($H$3,0,0,'Données projet'!$E$10+1,1))</f>
        <v>210.41468975391527</v>
      </c>
      <c r="AO25" s="62">
        <f t="shared" si="36"/>
        <v>355.1268923221744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4.03664659716455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7.1515411786329244</v>
      </c>
      <c r="AX25" s="23">
        <f t="shared" si="6"/>
        <v>11.188187775797473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64.828575164845134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66.833935615974326</v>
      </c>
      <c r="BJ25" s="62">
        <f t="shared" si="38"/>
        <v>294.79914393693775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69.286655974563843</v>
      </c>
      <c r="BQ25" s="23">
        <f>EXP(-LN(2)/25)*BQ24+(1-EXP(-LN(2)/25))/(LN(2)/25)*Calculateur!BL25*Calculateur!BN25*VLOOKUP('Données projet'!$B$11,Paramètres!$A$1:$I$89,3,0)*0.475*44/12</f>
        <v>3.7738362545374025</v>
      </c>
      <c r="BR25" s="23">
        <f>EXP(-LN(2)/2)*BR24+(1-EXP(-LN(2)/2))/(LN(2)/2)*BL25*BO25*VLOOKUP('Données projet'!$B$11,Paramètres!$A$1:$I$89,3,0)*0.475*44/12</f>
        <v>2.8484247248251826</v>
      </c>
      <c r="BS25" s="24">
        <f t="shared" si="9"/>
        <v>75.908916953926422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64.828575164845134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64.828575164845134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64.828575164845134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64.828575164845134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64.828575164845134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64.828575164845134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64.828575164845134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1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3.6666666666666665</v>
      </c>
      <c r="H26" s="70">
        <f t="shared" si="1"/>
        <v>232.46666666666667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64.918287824161183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66.513705559911728</v>
      </c>
      <c r="T26" s="62">
        <f t="shared" si="34"/>
        <v>293.21772799887617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67.513791869446038</v>
      </c>
      <c r="AA26" s="23">
        <f>EXP(-LN(2)/25)*AA25+(1-EXP(-LN(2)/25))/(LN(2)/25)*Calculateur!V26*Calculateur!X26*VLOOKUP('Données projet'!$B$9,Paramètres!$A$1:$I$89,3,0)*0.475*44/12</f>
        <v>3.6482585494088022</v>
      </c>
      <c r="AB26" s="23">
        <f>EXP(-LN(2)/2)*AB25+(1-EXP(-LN(2)/2))/(LN(2)/2)*V26*Y26*VLOOKUP('Données projet'!$B$9,Paramètres!$A$1:$I$89,3,0)*0.475*44/12</f>
        <v>2.0018590944853649</v>
      </c>
      <c r="AC26" s="24">
        <f t="shared" si="3"/>
        <v>73.163909513340215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64.918287824161183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16.5</v>
      </c>
      <c r="AI26" s="14">
        <f>IF('Données projet'!$A$62&gt;35,AI25+AH26-AQ25,IF(A26&lt;'Données projet'!$A$62,$AF$205^A26,IF(A26='Données projet'!$A$62,'Données projet'!$B$62,AI25+AH26-AQ25)))</f>
        <v>189</v>
      </c>
      <c r="AJ26" s="14">
        <f>AI26*VLOOKUP('Données projet'!$B$10,Paramètres!$A$1:$I$89,3,0)*VLOOKUP('Données projet'!$B$10,Paramètres!$A$1:$I$89,5,0)</f>
        <v>113.02200000000001</v>
      </c>
      <c r="AK26" s="14">
        <f t="shared" si="35"/>
        <v>30.041864379091852</v>
      </c>
      <c r="AL26" s="22">
        <f t="shared" si="4"/>
        <v>249.16956379358496</v>
      </c>
      <c r="AM26" s="62">
        <f t="shared" si="5"/>
        <v>515.31439692662036</v>
      </c>
      <c r="AN26" s="62">
        <f ca="1">AVERAGE(OFFSET($AM$3,0,0,'Données projet'!$E$10+1,1))-AVERAGE(OFFSET($H$3,0,0,'Données projet'!$E$10+1,1))</f>
        <v>210.41468975391527</v>
      </c>
      <c r="AO26" s="62">
        <f t="shared" si="36"/>
        <v>355.1268923221744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3.9574904195054641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5.0569032633461761</v>
      </c>
      <c r="AX26" s="23">
        <f t="shared" si="6"/>
        <v>9.0143936828516402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64.918287824161183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66.833935615974326</v>
      </c>
      <c r="BJ26" s="62">
        <f t="shared" si="38"/>
        <v>294.79914393693775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67.927986911589898</v>
      </c>
      <c r="BQ26" s="23">
        <f>EXP(-LN(2)/25)*BQ25+(1-EXP(-LN(2)/25))/(LN(2)/25)*Calculateur!BL26*Calculateur!BN26*VLOOKUP('Données projet'!$B$11,Paramètres!$A$1:$I$89,3,0)*0.475*44/12</f>
        <v>3.6706405036996537</v>
      </c>
      <c r="BR26" s="23">
        <f>EXP(-LN(2)/2)*BR25+(1-EXP(-LN(2)/2))/(LN(2)/2)*BL26*BO26*VLOOKUP('Données projet'!$B$11,Paramètres!$A$1:$I$89,3,0)*0.475*44/12</f>
        <v>2.0141404386233126</v>
      </c>
      <c r="BS26" s="24">
        <f t="shared" si="9"/>
        <v>73.612767853912871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64.918287824161183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64.918287824161183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64.918287824161183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64.918287824161183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64.918287824161183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64.918287824161183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64.918287824161183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1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3.6666666666666665</v>
      </c>
      <c r="H27" s="70">
        <f t="shared" si="1"/>
        <v>232.46666666666667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65.006444169405569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66.513705559911728</v>
      </c>
      <c r="T27" s="62">
        <f t="shared" si="34"/>
        <v>293.21772799887617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66.189887590233113</v>
      </c>
      <c r="AA27" s="23">
        <f>EXP(-LN(2)/25)*AA26+(1-EXP(-LN(2)/25))/(LN(2)/25)*Calculateur!V27*Calculateur!X27*VLOOKUP('Données projet'!$B$9,Paramètres!$A$1:$I$89,3,0)*0.475*44/12</f>
        <v>3.5484967275216395</v>
      </c>
      <c r="AB27" s="23">
        <f>EXP(-LN(2)/2)*AB26+(1-EXP(-LN(2)/2))/(LN(2)/2)*V27*Y27*VLOOKUP('Données projet'!$B$9,Paramètres!$A$1:$I$89,3,0)*0.475*44/12</f>
        <v>1.4155281406905631</v>
      </c>
      <c r="AC27" s="24">
        <f t="shared" si="3"/>
        <v>71.153912458445319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65.006444169405569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16.5</v>
      </c>
      <c r="AI27" s="14">
        <f>IF('Données projet'!$A$62&gt;35,AI26+AH27-AQ26,IF(A27&lt;'Données projet'!$A$62,$AF$205^A27,IF(A27='Données projet'!$A$62,'Données projet'!$B$62,AI26+AH27-AQ26)))</f>
        <v>205.5</v>
      </c>
      <c r="AJ27" s="14">
        <f>AI27*VLOOKUP('Données projet'!$B$10,Paramètres!$A$1:$I$89,3,0)*VLOOKUP('Données projet'!$B$10,Paramètres!$A$1:$I$89,5,0)</f>
        <v>122.88900000000001</v>
      </c>
      <c r="AK27" s="14">
        <f t="shared" si="35"/>
        <v>32.347875332170432</v>
      </c>
      <c r="AL27" s="22">
        <f t="shared" si="4"/>
        <v>270.37089120353011</v>
      </c>
      <c r="AM27" s="62">
        <f t="shared" si="5"/>
        <v>538.06118649135055</v>
      </c>
      <c r="AN27" s="62">
        <f ca="1">AVERAGE(OFFSET($AM$3,0,0,'Données projet'!$E$10+1,1))-AVERAGE(OFFSET($H$3,0,0,'Données projet'!$E$10+1,1))</f>
        <v>210.41468975391527</v>
      </c>
      <c r="AO27" s="62">
        <f t="shared" si="36"/>
        <v>355.1268923221744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3.8798864462097717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3.5757705893164631</v>
      </c>
      <c r="AX27" s="23">
        <f t="shared" si="6"/>
        <v>7.4556570355262348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65.006444169405569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66.833935615974326</v>
      </c>
      <c r="BJ27" s="62">
        <f t="shared" si="38"/>
        <v>294.79914393693775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66.59596052023457</v>
      </c>
      <c r="BQ27" s="23">
        <f>EXP(-LN(2)/25)*BQ26+(1-EXP(-LN(2)/25))/(LN(2)/25)*Calculateur!BL27*Calculateur!BN27*VLOOKUP('Données projet'!$B$11,Paramètres!$A$1:$I$89,3,0)*0.475*44/12</f>
        <v>3.570266646095392</v>
      </c>
      <c r="BR27" s="23">
        <f>EXP(-LN(2)/2)*BR26+(1-EXP(-LN(2)/2))/(LN(2)/2)*BL27*BO27*VLOOKUP('Données projet'!$B$11,Paramètres!$A$1:$I$89,3,0)*0.475*44/12</f>
        <v>1.4242123624125917</v>
      </c>
      <c r="BS27" s="24">
        <f t="shared" si="9"/>
        <v>71.59043952874255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65.006444169405569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65.006444169405569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65.006444169405569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65.006444169405569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65.006444169405569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65.006444169405569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65.006444169405569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1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3.6666666666666665</v>
      </c>
      <c r="H28" s="70">
        <f t="shared" si="1"/>
        <v>232.46666666666667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65.093071199148028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66.513705559911728</v>
      </c>
      <c r="T28" s="62">
        <f t="shared" si="34"/>
        <v>293.21772799887617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64.891944266433683</v>
      </c>
      <c r="AA28" s="23">
        <f>EXP(-LN(2)/25)*AA27+(1-EXP(-LN(2)/25))/(LN(2)/25)*Calculateur!V28*Calculateur!X28*VLOOKUP('Données projet'!$B$9,Paramètres!$A$1:$I$89,3,0)*0.475*44/12</f>
        <v>3.4514628979002278</v>
      </c>
      <c r="AB28" s="23">
        <f>EXP(-LN(2)/2)*AB27+(1-EXP(-LN(2)/2))/(LN(2)/2)*V28*Y28*VLOOKUP('Données projet'!$B$9,Paramètres!$A$1:$I$89,3,0)*0.475*44/12</f>
        <v>1.0009295472426825</v>
      </c>
      <c r="AC28" s="24">
        <f t="shared" si="3"/>
        <v>69.344336711576588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65.093071199148028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222</v>
      </c>
      <c r="AG28" s="13">
        <f>VLOOKUP(A28,'Données projet'!$A$61:$I$81,9,0)</f>
        <v>16.5</v>
      </c>
      <c r="AH28" s="13">
        <f t="array" ref="AH28">INDEX(AG:AG,MIN(IF(ISNUMBER(AG28:AG224),ROW(AG28:AG224),"")))</f>
        <v>16.5</v>
      </c>
      <c r="AI28" s="14">
        <f>IF('Données projet'!$A$62&gt;35,AI27+AH28-AQ27,IF(A28&lt;'Données projet'!$A$62,$AF$205^A28,IF(A28='Données projet'!$A$62,'Données projet'!$B$62,AI27+AH28-AQ27)))</f>
        <v>222</v>
      </c>
      <c r="AJ28" s="14">
        <f>AI28*VLOOKUP('Données projet'!$B$10,Paramètres!$A$1:$I$89,3,0)*VLOOKUP('Données projet'!$B$10,Paramètres!$A$1:$I$89,5,0)</f>
        <v>132.756</v>
      </c>
      <c r="AK28" s="14">
        <f t="shared" si="35"/>
        <v>34.632410397339967</v>
      </c>
      <c r="AL28" s="22">
        <f t="shared" si="4"/>
        <v>291.53481477536712</v>
      </c>
      <c r="AM28" s="62">
        <f t="shared" si="5"/>
        <v>560.76496472779877</v>
      </c>
      <c r="AN28" s="62">
        <f ca="1">AVERAGE(OFFSET($AM$3,0,0,'Données projet'!$E$10+1,1))-AVERAGE(OFFSET($H$3,0,0,'Données projet'!$E$10+1,1))</f>
        <v>210.41468975391527</v>
      </c>
      <c r="AO28" s="62">
        <f t="shared" si="36"/>
        <v>355.1268923221744</v>
      </c>
      <c r="AP28" s="16">
        <f>IF(ISNA(VLOOKUP(A28,'Données projet'!$A$61:$I$81,3,0)),0,VLOOKUP(A28,'Données projet'!$A$61:$I$81,3,0))</f>
        <v>3</v>
      </c>
      <c r="AQ28" s="16">
        <f>IF(ISNA(VLOOKUP(A28,'Données projet'!$A$61:$I$81,4,0)),0,VLOOKUP(A28,'Données projet'!$A$61:$I$81,4,0))</f>
        <v>54</v>
      </c>
      <c r="AR28" s="17">
        <f>IF(ISNA(VLOOKUP(A28,'Données projet'!$A$61:$I$81,5,0)),0%,VLOOKUP(A28,'Données projet'!$A$61:$I$81,5,0)*VLOOKUP('Données projet'!$B$10,Paramètres!$A$1:$I$89,7,0))</f>
        <v>0.18000000000000002</v>
      </c>
      <c r="AS28" s="17">
        <f>IF(ISNA(VLOOKUP(A28,'Données projet'!$A$61:$I$81,6,0)),0%,VLOOKUP(A28,'Données projet'!$A$61:$I$81,6,0)*VLOOKUP('Données projet'!$B$10,Paramètres!$A$1:$I$89,7,0))</f>
        <v>9.0000000000000011E-2</v>
      </c>
      <c r="AT28" s="17">
        <f>IF(ISNA(VLOOKUP(A28,'Données projet'!$A$61:$I$81,7,0)),0%,VLOOKUP(A28,'Données projet'!$A$61:$I$81,7,0))</f>
        <v>0.4</v>
      </c>
      <c r="AU28" s="23">
        <f>EXP(-LN(2)/35)*AU27+(1-EXP(-LN(2)/35))/(LN(2)/35)*AQ28*AR28*VLOOKUP('Données projet'!$B$10,Paramètres!$A$1:$I$89,3,0)*0.475*44/12</f>
        <v>11.514539730606312</v>
      </c>
      <c r="AV28" s="23">
        <f>EXP(-LN(2)/25)*AV27+(1-EXP(-LN(2)/25))/(LN(2)/25)*Calculateur!AQ28*Calculateur!AS28*VLOOKUP('Données projet'!$B$10,Paramètres!$A$1:$I$89,3,0)*0.475*44/12</f>
        <v>3.8401876937302988</v>
      </c>
      <c r="AW28" s="23">
        <f>EXP(-LN(2)/2)*AW27+(1-EXP(-LN(2)/2))/(LN(2)/2)*AQ28*AT28*VLOOKUP('Données projet'!$B$10,Paramètres!$A$1:$I$89,3,0)*0.475*44/12</f>
        <v>17.153269772362943</v>
      </c>
      <c r="AX28" s="23">
        <f t="shared" si="6"/>
        <v>32.507997196699556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65.093071199148028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66.833935615974326</v>
      </c>
      <c r="BJ28" s="62">
        <f t="shared" si="38"/>
        <v>294.79914393693775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65.290054353957842</v>
      </c>
      <c r="BQ28" s="23">
        <f>EXP(-LN(2)/25)*BQ27+(1-EXP(-LN(2)/25))/(LN(2)/25)*Calculateur!BL28*Calculateur!BN28*VLOOKUP('Données projet'!$B$11,Paramètres!$A$1:$I$89,3,0)*0.475*44/12</f>
        <v>3.4726375169057504</v>
      </c>
      <c r="BR28" s="23">
        <f>EXP(-LN(2)/2)*BR27+(1-EXP(-LN(2)/2))/(LN(2)/2)*BL28*BO28*VLOOKUP('Données projet'!$B$11,Paramètres!$A$1:$I$89,3,0)*0.475*44/12</f>
        <v>1.0070702193116565</v>
      </c>
      <c r="BS28" s="24">
        <f t="shared" si="9"/>
        <v>69.769762090175249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65.093071199148028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65.093071199148028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65.093071199148028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65.093071199148028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65.093071199148028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65.093071199148028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65.093071199148028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1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3.6666666666666665</v>
      </c>
      <c r="H29" s="70">
        <f t="shared" si="1"/>
        <v>232.46666666666667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65.178195443593467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66.513705559911728</v>
      </c>
      <c r="T29" s="62">
        <f t="shared" si="34"/>
        <v>293.21772799887617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63.619452819546702</v>
      </c>
      <c r="AA29" s="23">
        <f>EXP(-LN(2)/25)*AA28+(1-EXP(-LN(2)/25))/(LN(2)/25)*Calculateur!V29*Calculateur!X29*VLOOKUP('Données projet'!$B$9,Paramètres!$A$1:$I$89,3,0)*0.475*44/12</f>
        <v>3.3570824634526009</v>
      </c>
      <c r="AB29" s="23">
        <f>EXP(-LN(2)/2)*AB28+(1-EXP(-LN(2)/2))/(LN(2)/2)*V29*Y29*VLOOKUP('Données projet'!$B$9,Paramètres!$A$1:$I$89,3,0)*0.475*44/12</f>
        <v>0.70776407034528155</v>
      </c>
      <c r="AC29" s="24">
        <f t="shared" si="3"/>
        <v>67.684299353344585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65.178195443593467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13.8</v>
      </c>
      <c r="AI29" s="14">
        <f>IF('Données projet'!$A$62&gt;35,AI28+AH29-AQ28,IF(A29&lt;'Données projet'!$A$62,$AF$205^A29,IF(A29='Données projet'!$A$62,'Données projet'!$B$62,AI28+AH29-AQ28)))</f>
        <v>181.8</v>
      </c>
      <c r="AJ29" s="14">
        <f>AI29*VLOOKUP('Données projet'!$B$10,Paramètres!$A$1:$I$89,3,0)*VLOOKUP('Données projet'!$B$10,Paramètres!$A$1:$I$89,5,0)</f>
        <v>108.71640000000002</v>
      </c>
      <c r="AK29" s="14">
        <f t="shared" si="35"/>
        <v>29.028352113364011</v>
      </c>
      <c r="AL29" s="22">
        <f t="shared" si="4"/>
        <v>239.90544326410898</v>
      </c>
      <c r="AM29" s="62">
        <f t="shared" si="5"/>
        <v>510.66993766839619</v>
      </c>
      <c r="AN29" s="62">
        <f ca="1">AVERAGE(OFFSET($AM$3,0,0,'Données projet'!$E$10+1,1))-AVERAGE(OFFSET($H$3,0,0,'Données projet'!$E$10+1,1))</f>
        <v>210.41468975391527</v>
      </c>
      <c r="AO29" s="62">
        <f t="shared" si="36"/>
        <v>355.1268923221744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11.288746629664876</v>
      </c>
      <c r="AV29" s="23">
        <f>EXP(-LN(2)/25)*AV28+(1-EXP(-LN(2)/25))/(LN(2)/25)*Calculateur!AQ29*Calculateur!AS29*VLOOKUP('Données projet'!$B$10,Paramètres!$A$1:$I$89,3,0)*0.475*44/12</f>
        <v>3.7351775592985499</v>
      </c>
      <c r="AW29" s="23">
        <f>EXP(-LN(2)/2)*AW28+(1-EXP(-LN(2)/2))/(LN(2)/2)*AQ29*AT29*VLOOKUP('Données projet'!$B$10,Paramètres!$A$1:$I$89,3,0)*0.475*44/12</f>
        <v>12.129193375560064</v>
      </c>
      <c r="AX29" s="23">
        <f t="shared" si="6"/>
        <v>27.153117564523491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65.178195443593467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66.833935615974326</v>
      </c>
      <c r="BJ29" s="62">
        <f t="shared" si="38"/>
        <v>294.79914393693775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64.009756211077686</v>
      </c>
      <c r="BQ29" s="23">
        <f>EXP(-LN(2)/25)*BQ28+(1-EXP(-LN(2)/25))/(LN(2)/25)*Calculateur!BL29*Calculateur!BN29*VLOOKUP('Données projet'!$B$11,Paramètres!$A$1:$I$89,3,0)*0.475*44/12</f>
        <v>3.3776780613878925</v>
      </c>
      <c r="BR29" s="23">
        <f>EXP(-LN(2)/2)*BR28+(1-EXP(-LN(2)/2))/(LN(2)/2)*BL29*BO29*VLOOKUP('Données projet'!$B$11,Paramètres!$A$1:$I$89,3,0)*0.475*44/12</f>
        <v>0.71210618120629599</v>
      </c>
      <c r="BS29" s="24">
        <f t="shared" si="9"/>
        <v>68.099540453671878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65.178195443593467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65.178195443593467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65.178195443593467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65.178195443593467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65.178195443593467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65.178195443593467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65.178195443593467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1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3.6666666666666665</v>
      </c>
      <c r="H30" s="70">
        <f t="shared" si="1"/>
        <v>232.46666666666667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65.261842972707086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66.513705559911728</v>
      </c>
      <c r="T30" s="62">
        <f t="shared" si="34"/>
        <v>293.21772799887617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62.37191415379003</v>
      </c>
      <c r="AA30" s="23">
        <f>EXP(-LN(2)/25)*AA29+(1-EXP(-LN(2)/25))/(LN(2)/25)*Calculateur!V30*Calculateur!X30*VLOOKUP('Données projet'!$B$9,Paramètres!$A$1:$I$89,3,0)*0.475*44/12</f>
        <v>3.2652828669481955</v>
      </c>
      <c r="AB30" s="23">
        <f>EXP(-LN(2)/2)*AB29+(1-EXP(-LN(2)/2))/(LN(2)/2)*V30*Y30*VLOOKUP('Données projet'!$B$9,Paramètres!$A$1:$I$89,3,0)*0.475*44/12</f>
        <v>0.50046477362134123</v>
      </c>
      <c r="AC30" s="24">
        <f t="shared" si="3"/>
        <v>66.137661794359573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65.261842972707086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13.8</v>
      </c>
      <c r="AI30" s="14">
        <f>IF('Données projet'!$A$62&gt;35,AI29+AH30-AQ29,IF(A30&lt;'Données projet'!$A$62,$AF$205^A30,IF(A30='Données projet'!$A$62,'Données projet'!$B$62,AI29+AH30-AQ29)))</f>
        <v>195.60000000000002</v>
      </c>
      <c r="AJ30" s="14">
        <f>AI30*VLOOKUP('Données projet'!$B$10,Paramètres!$A$1:$I$89,3,0)*VLOOKUP('Données projet'!$B$10,Paramètres!$A$1:$I$89,5,0)</f>
        <v>116.96880000000002</v>
      </c>
      <c r="AK30" s="14">
        <f t="shared" si="35"/>
        <v>30.966972418998537</v>
      </c>
      <c r="AL30" s="22">
        <f t="shared" si="4"/>
        <v>257.6548036297558</v>
      </c>
      <c r="AM30" s="62">
        <f t="shared" si="5"/>
        <v>529.94822786301506</v>
      </c>
      <c r="AN30" s="62">
        <f ca="1">AVERAGE(OFFSET($AM$3,0,0,'Données projet'!$E$10+1,1))-AVERAGE(OFFSET($H$3,0,0,'Données projet'!$E$10+1,1))</f>
        <v>210.41468975391527</v>
      </c>
      <c r="AO30" s="62">
        <f t="shared" si="36"/>
        <v>355.1268923221744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11.067381193712711</v>
      </c>
      <c r="AV30" s="23">
        <f>EXP(-LN(2)/25)*AV29+(1-EXP(-LN(2)/25))/(LN(2)/25)*Calculateur!AQ30*Calculateur!AS30*VLOOKUP('Données projet'!$B$10,Paramètres!$A$1:$I$89,3,0)*0.475*44/12</f>
        <v>3.6330389325150803</v>
      </c>
      <c r="AW30" s="23">
        <f>EXP(-LN(2)/2)*AW29+(1-EXP(-LN(2)/2))/(LN(2)/2)*AQ30*AT30*VLOOKUP('Données projet'!$B$10,Paramètres!$A$1:$I$89,3,0)*0.475*44/12</f>
        <v>8.5766348861814716</v>
      </c>
      <c r="AX30" s="23">
        <f t="shared" si="6"/>
        <v>23.277055012409264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65.261842972707086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66.833935615974326</v>
      </c>
      <c r="BJ30" s="62">
        <f t="shared" si="38"/>
        <v>294.79914393693775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62.754563933874657</v>
      </c>
      <c r="BQ30" s="23">
        <f>EXP(-LN(2)/25)*BQ29+(1-EXP(-LN(2)/25))/(LN(2)/25)*Calculateur!BL30*Calculateur!BN30*VLOOKUP('Données projet'!$B$11,Paramètres!$A$1:$I$89,3,0)*0.475*44/12</f>
        <v>3.2853152771748713</v>
      </c>
      <c r="BR30" s="23">
        <f>EXP(-LN(2)/2)*BR29+(1-EXP(-LN(2)/2))/(LN(2)/2)*BL30*BO30*VLOOKUP('Données projet'!$B$11,Paramètres!$A$1:$I$89,3,0)*0.475*44/12</f>
        <v>0.50353510965582837</v>
      </c>
      <c r="BS30" s="24">
        <f t="shared" si="9"/>
        <v>66.543414320705352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65.261842972707086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65.261842972707086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65.261842972707086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65.261842972707086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65.261842972707086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65.261842972707086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65.261842972707086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1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3.6666666666666665</v>
      </c>
      <c r="H31" s="70">
        <f t="shared" si="1"/>
        <v>232.46666666666667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65.34403940419844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66.513705559911728</v>
      </c>
      <c r="T31" s="62">
        <f t="shared" si="34"/>
        <v>293.21772799887617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61.148838960345394</v>
      </c>
      <c r="AA31" s="23">
        <f>EXP(-LN(2)/25)*AA30+(1-EXP(-LN(2)/25))/(LN(2)/25)*Calculateur!V31*Calculateur!X31*VLOOKUP('Données projet'!$B$9,Paramètres!$A$1:$I$89,3,0)*0.475*44/12</f>
        <v>3.1759935352377342</v>
      </c>
      <c r="AB31" s="23">
        <f>EXP(-LN(2)/2)*AB30+(1-EXP(-LN(2)/2))/(LN(2)/2)*V31*Y31*VLOOKUP('Données projet'!$B$9,Paramètres!$A$1:$I$89,3,0)*0.475*44/12</f>
        <v>0.35388203517264077</v>
      </c>
      <c r="AC31" s="24">
        <f t="shared" si="3"/>
        <v>64.678714530755769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65.34403940419844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13.8</v>
      </c>
      <c r="AI31" s="14">
        <f>IF('Données projet'!$A$62&gt;35,AI30+AH31-AQ30,IF(A31&lt;'Données projet'!$A$62,$AF$205^A31,IF(A31='Données projet'!$A$62,'Données projet'!$B$62,AI30+AH31-AQ30)))</f>
        <v>209.40000000000003</v>
      </c>
      <c r="AJ31" s="14">
        <f>AI31*VLOOKUP('Données projet'!$B$10,Paramètres!$A$1:$I$89,3,0)*VLOOKUP('Données projet'!$B$10,Paramètres!$A$1:$I$89,5,0)</f>
        <v>125.22120000000004</v>
      </c>
      <c r="AK31" s="14">
        <f t="shared" si="35"/>
        <v>32.889723553463881</v>
      </c>
      <c r="AL31" s="22">
        <f t="shared" si="4"/>
        <v>275.37652518894964</v>
      </c>
      <c r="AM31" s="62">
        <f t="shared" si="5"/>
        <v>549.19355855989943</v>
      </c>
      <c r="AN31" s="62">
        <f ca="1">AVERAGE(OFFSET($AM$3,0,0,'Données projet'!$E$10+1,1))-AVERAGE(OFFSET($H$3,0,0,'Données projet'!$E$10+1,1))</f>
        <v>210.41468975391527</v>
      </c>
      <c r="AO31" s="62">
        <f t="shared" si="36"/>
        <v>355.1268923221744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10.850356598939982</v>
      </c>
      <c r="AV31" s="23">
        <f>EXP(-LN(2)/25)*AV30+(1-EXP(-LN(2)/25))/(LN(2)/25)*Calculateur!AQ31*Calculateur!AS31*VLOOKUP('Données projet'!$B$10,Paramètres!$A$1:$I$89,3,0)*0.475*44/12</f>
        <v>3.5336932918522415</v>
      </c>
      <c r="AW31" s="23">
        <f>EXP(-LN(2)/2)*AW30+(1-EXP(-LN(2)/2))/(LN(2)/2)*AQ31*AT31*VLOOKUP('Données projet'!$B$10,Paramètres!$A$1:$I$89,3,0)*0.475*44/12</f>
        <v>6.0645966877800319</v>
      </c>
      <c r="AX31" s="23">
        <f t="shared" si="6"/>
        <v>20.448646578572255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65.34403940419844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66.833935615974326</v>
      </c>
      <c r="BJ31" s="62">
        <f t="shared" si="38"/>
        <v>294.79914393693775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61.523985211635882</v>
      </c>
      <c r="BQ31" s="23">
        <f>EXP(-LN(2)/25)*BQ30+(1-EXP(-LN(2)/25))/(LN(2)/25)*Calculateur!BL31*Calculateur!BN31*VLOOKUP('Données projet'!$B$11,Paramètres!$A$1:$I$89,3,0)*0.475*44/12</f>
        <v>3.1954781581533025</v>
      </c>
      <c r="BR31" s="23">
        <f>EXP(-LN(2)/2)*BR30+(1-EXP(-LN(2)/2))/(LN(2)/2)*BL31*BO31*VLOOKUP('Données projet'!$B$11,Paramètres!$A$1:$I$89,3,0)*0.475*44/12</f>
        <v>0.35605309060314805</v>
      </c>
      <c r="BS31" s="24">
        <f t="shared" si="9"/>
        <v>65.075516460392336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65.34403940419844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65.34403940419844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65.34403940419844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65.34403940419844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65.34403940419844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65.34403940419844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65.34403940419844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1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3.6666666666666665</v>
      </c>
      <c r="H32" s="70">
        <f t="shared" si="1"/>
        <v>232.46666666666667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65.424809911367106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66.513705559911728</v>
      </c>
      <c r="T32" s="62">
        <f t="shared" si="34"/>
        <v>293.21772799887617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59.949747525442</v>
      </c>
      <c r="AA32" s="23">
        <f>EXP(-LN(2)/25)*AA31+(1-EXP(-LN(2)/25))/(LN(2)/25)*Calculateur!V32*Calculateur!X32*VLOOKUP('Données projet'!$B$9,Paramètres!$A$1:$I$89,3,0)*0.475*44/12</f>
        <v>3.0891458249984174</v>
      </c>
      <c r="AB32" s="23">
        <f>EXP(-LN(2)/2)*AB31+(1-EXP(-LN(2)/2))/(LN(2)/2)*V32*Y32*VLOOKUP('Données projet'!$B$9,Paramètres!$A$1:$I$89,3,0)*0.475*44/12</f>
        <v>0.25023238681067062</v>
      </c>
      <c r="AC32" s="24">
        <f t="shared" si="3"/>
        <v>63.289125737251091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65.424809911367106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13.8</v>
      </c>
      <c r="AI32" s="14">
        <f>IF('Données projet'!$A$62&gt;35,AI31+AH32-AQ31,IF(A32&lt;'Données projet'!$A$62,$AF$205^A32,IF(A32='Données projet'!$A$62,'Données projet'!$B$62,AI31+AH32-AQ31)))</f>
        <v>223.20000000000005</v>
      </c>
      <c r="AJ32" s="14">
        <f>AI32*VLOOKUP('Données projet'!$B$10,Paramètres!$A$1:$I$89,3,0)*VLOOKUP('Données projet'!$B$10,Paramètres!$A$1:$I$89,5,0)</f>
        <v>133.47360000000003</v>
      </c>
      <c r="AK32" s="14">
        <f t="shared" si="35"/>
        <v>34.79777034418013</v>
      </c>
      <c r="AL32" s="22">
        <f t="shared" si="4"/>
        <v>293.0726366827804</v>
      </c>
      <c r="AM32" s="62">
        <f t="shared" si="5"/>
        <v>568.40805080223754</v>
      </c>
      <c r="AN32" s="62">
        <f ca="1">AVERAGE(OFFSET($AM$3,0,0,'Données projet'!$E$10+1,1))-AVERAGE(OFFSET($H$3,0,0,'Données projet'!$E$10+1,1))</f>
        <v>210.41468975391527</v>
      </c>
      <c r="AO32" s="62">
        <f t="shared" si="36"/>
        <v>355.1268923221744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10.637587724098815</v>
      </c>
      <c r="AV32" s="23">
        <f>EXP(-LN(2)/25)*AV31+(1-EXP(-LN(2)/25))/(LN(2)/25)*Calculateur!AQ32*Calculateur!AS32*VLOOKUP('Données projet'!$B$10,Paramètres!$A$1:$I$89,3,0)*0.475*44/12</f>
        <v>3.437064262957688</v>
      </c>
      <c r="AW32" s="23">
        <f>EXP(-LN(2)/2)*AW31+(1-EXP(-LN(2)/2))/(LN(2)/2)*AQ32*AT32*VLOOKUP('Données projet'!$B$10,Paramètres!$A$1:$I$89,3,0)*0.475*44/12</f>
        <v>4.2883174430907358</v>
      </c>
      <c r="AX32" s="23">
        <f t="shared" si="6"/>
        <v>18.362969430147238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65.424809911367106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66.833935615974326</v>
      </c>
      <c r="BJ32" s="62">
        <f t="shared" si="38"/>
        <v>294.79914393693775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60.317537387561302</v>
      </c>
      <c r="BQ32" s="23">
        <f>EXP(-LN(2)/25)*BQ31+(1-EXP(-LN(2)/25))/(LN(2)/25)*Calculateur!BL32*Calculateur!BN32*VLOOKUP('Données projet'!$B$11,Paramètres!$A$1:$I$89,3,0)*0.475*44/12</f>
        <v>3.1080976398757074</v>
      </c>
      <c r="BR32" s="23">
        <f>EXP(-LN(2)/2)*BR31+(1-EXP(-LN(2)/2))/(LN(2)/2)*BL32*BO32*VLOOKUP('Données projet'!$B$11,Paramètres!$A$1:$I$89,3,0)*0.475*44/12</f>
        <v>0.25176755482791419</v>
      </c>
      <c r="BS32" s="24">
        <f t="shared" si="9"/>
        <v>63.677402582264925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65.424809911367106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65.424809911367106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65.424809911367106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65.424809911367106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65.424809911367106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65.424809911367106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65.424809911367106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1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3.6666666666666665</v>
      </c>
      <c r="H33" s="70">
        <f t="shared" si="1"/>
        <v>232.46666666666667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65.504179230812213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66.513705559911728</v>
      </c>
      <c r="T33" s="62">
        <f t="shared" si="34"/>
        <v>293.21772799887617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58.774169542203509</v>
      </c>
      <c r="AA33" s="23">
        <f>EXP(-LN(2)/25)*AA32+(1-EXP(-LN(2)/25))/(LN(2)/25)*Calculateur!V33*Calculateur!X33*VLOOKUP('Données projet'!$B$9,Paramètres!$A$1:$I$89,3,0)*0.475*44/12</f>
        <v>3.004672969962717</v>
      </c>
      <c r="AB33" s="23">
        <f>EXP(-LN(2)/2)*AB32+(1-EXP(-LN(2)/2))/(LN(2)/2)*V33*Y33*VLOOKUP('Données projet'!$B$9,Paramètres!$A$1:$I$89,3,0)*0.475*44/12</f>
        <v>0.17694101758632039</v>
      </c>
      <c r="AC33" s="24">
        <f t="shared" si="3"/>
        <v>61.955783529752551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65.504179230812213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237</v>
      </c>
      <c r="AG33" s="13">
        <f>VLOOKUP(A33,'Données projet'!$A$61:$I$81,9,0)</f>
        <v>13.8</v>
      </c>
      <c r="AH33" s="13">
        <f t="array" ref="AH33">INDEX(AG:AG,MIN(IF(ISNUMBER(AG33:AG229),ROW(AG33:AG229),"")))</f>
        <v>13.8</v>
      </c>
      <c r="AI33" s="14">
        <f>IF('Données projet'!$A$62&gt;35,AI32+AH33-AQ32,IF(A33&lt;'Données projet'!$A$62,$AF$205^A33,IF(A33='Données projet'!$A$62,'Données projet'!$B$62,AI32+AH33-AQ32)))</f>
        <v>237.00000000000006</v>
      </c>
      <c r="AJ33" s="14">
        <f>AI33*VLOOKUP('Données projet'!$B$10,Paramètres!$A$1:$I$89,3,0)*VLOOKUP('Données projet'!$B$10,Paramètres!$A$1:$I$89,5,0)</f>
        <v>141.72600000000003</v>
      </c>
      <c r="AK33" s="14">
        <f t="shared" si="35"/>
        <v>36.692125440686915</v>
      </c>
      <c r="AL33" s="22">
        <f t="shared" si="4"/>
        <v>310.74490180919639</v>
      </c>
      <c r="AM33" s="62">
        <f t="shared" si="5"/>
        <v>587.5935589888411</v>
      </c>
      <c r="AN33" s="62">
        <f ca="1">AVERAGE(OFFSET($AM$3,0,0,'Données projet'!$E$10+1,1))-AVERAGE(OFFSET($H$3,0,0,'Données projet'!$E$10+1,1))</f>
        <v>210.41468975391527</v>
      </c>
      <c r="AO33" s="62">
        <f t="shared" si="36"/>
        <v>355.1268923221744</v>
      </c>
      <c r="AP33" s="16">
        <f>IF(ISNA(VLOOKUP(A33,'Données projet'!$A$61:$I$81,3,0)),0,VLOOKUP(A33,'Données projet'!$A$61:$I$81,3,0))</f>
        <v>4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10.428991117117084</v>
      </c>
      <c r="AV33" s="23">
        <f>EXP(-LN(2)/25)*AV32+(1-EXP(-LN(2)/25))/(LN(2)/25)*Calculateur!AQ33*Calculateur!AS33*VLOOKUP('Données projet'!$B$10,Paramètres!$A$1:$I$89,3,0)*0.475*44/12</f>
        <v>3.343077559939756</v>
      </c>
      <c r="AW33" s="23">
        <f>EXP(-LN(2)/2)*AW32+(1-EXP(-LN(2)/2))/(LN(2)/2)*AQ33*AT33*VLOOKUP('Données projet'!$B$10,Paramètres!$A$1:$I$89,3,0)*0.475*44/12</f>
        <v>3.032298343890016</v>
      </c>
      <c r="AX33" s="23">
        <f t="shared" si="6"/>
        <v>16.804367020946856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65.504179230812213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66.833935615974326</v>
      </c>
      <c r="BJ33" s="62">
        <f t="shared" si="38"/>
        <v>294.79914393693775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59.134747269456312</v>
      </c>
      <c r="BQ33" s="23">
        <f>EXP(-LN(2)/25)*BQ32+(1-EXP(-LN(2)/25))/(LN(2)/25)*Calculateur!BL33*Calculateur!BN33*VLOOKUP('Données projet'!$B$11,Paramètres!$A$1:$I$89,3,0)*0.475*44/12</f>
        <v>3.0231065464655549</v>
      </c>
      <c r="BR33" s="23">
        <f>EXP(-LN(2)/2)*BR32+(1-EXP(-LN(2)/2))/(LN(2)/2)*BL33*BO33*VLOOKUP('Données projet'!$B$11,Paramètres!$A$1:$I$89,3,0)*0.475*44/12</f>
        <v>0.17802654530157402</v>
      </c>
      <c r="BS33" s="24">
        <f t="shared" si="9"/>
        <v>62.335880361223445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65.504179230812213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65.504179230812213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65.504179230812213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65.504179230812213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65.504179230812213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65.504179230812213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65.504179230812213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1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3.6666666666666665</v>
      </c>
      <c r="H34" s="70">
        <f t="shared" si="1"/>
        <v>232.46666666666667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65.582171670008151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66.513705559911728</v>
      </c>
      <c r="T34" s="62">
        <f t="shared" si="34"/>
        <v>293.21772799887617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57.621643926184554</v>
      </c>
      <c r="AA34" s="23">
        <f>EXP(-LN(2)/25)*AA33+(1-EXP(-LN(2)/25))/(LN(2)/25)*Calculateur!V34*Calculateur!X34*VLOOKUP('Données projet'!$B$9,Paramètres!$A$1:$I$89,3,0)*0.475*44/12</f>
        <v>2.9225100295902022</v>
      </c>
      <c r="AB34" s="23">
        <f>EXP(-LN(2)/2)*AB33+(1-EXP(-LN(2)/2))/(LN(2)/2)*V34*Y34*VLOOKUP('Données projet'!$B$9,Paramètres!$A$1:$I$89,3,0)*0.475*44/12</f>
        <v>0.12511619340533531</v>
      </c>
      <c r="AC34" s="24">
        <f t="shared" si="3"/>
        <v>60.669270149180086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65.582171670008151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12.625</v>
      </c>
      <c r="AI34" s="14">
        <f>IF('Données projet'!$A$62&gt;35,AI33+AH34-AQ33,IF(A34&lt;'Données projet'!$A$62,$AF$205^A34,IF(A34='Données projet'!$A$62,'Données projet'!$B$62,AI33+AH34-AQ33)))</f>
        <v>249.62500000000006</v>
      </c>
      <c r="AJ34" s="14">
        <f>AI34*VLOOKUP('Données projet'!$B$10,Paramètres!$A$1:$I$89,3,0)*VLOOKUP('Données projet'!$B$10,Paramètres!$A$1:$I$89,5,0)</f>
        <v>149.27575000000004</v>
      </c>
      <c r="AK34" s="14">
        <f t="shared" si="35"/>
        <v>38.413950875340568</v>
      </c>
      <c r="AL34" s="22">
        <f t="shared" si="4"/>
        <v>326.89289569121826</v>
      </c>
      <c r="AM34" s="62">
        <f t="shared" si="5"/>
        <v>604.02752514791484</v>
      </c>
      <c r="AN34" s="62">
        <f ca="1">AVERAGE(OFFSET($AM$3,0,0,'Données projet'!$E$10+1,1))-AVERAGE(OFFSET($H$3,0,0,'Données projet'!$E$10+1,1))</f>
        <v>210.41468975391527</v>
      </c>
      <c r="AO34" s="62">
        <f t="shared" si="36"/>
        <v>355.1268923221744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10.224484962366898</v>
      </c>
      <c r="AV34" s="23">
        <f>EXP(-LN(2)/25)*AV33+(1-EXP(-LN(2)/25))/(LN(2)/25)*Calculateur!AQ34*Calculateur!AS34*VLOOKUP('Données projet'!$B$10,Paramètres!$A$1:$I$89,3,0)*0.475*44/12</f>
        <v>3.2516609282583953</v>
      </c>
      <c r="AW34" s="23">
        <f>EXP(-LN(2)/2)*AW33+(1-EXP(-LN(2)/2))/(LN(2)/2)*AQ34*AT34*VLOOKUP('Données projet'!$B$10,Paramètres!$A$1:$I$89,3,0)*0.475*44/12</f>
        <v>2.1441587215453679</v>
      </c>
      <c r="AX34" s="23">
        <f t="shared" si="6"/>
        <v>15.620304612170662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65.582171670008151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66.833935615974326</v>
      </c>
      <c r="BJ34" s="62">
        <f t="shared" si="38"/>
        <v>294.79914393693775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57.97515094413663</v>
      </c>
      <c r="BQ34" s="23">
        <f>EXP(-LN(2)/25)*BQ33+(1-EXP(-LN(2)/25))/(LN(2)/25)*Calculateur!BL34*Calculateur!BN34*VLOOKUP('Données projet'!$B$11,Paramètres!$A$1:$I$89,3,0)*0.475*44/12</f>
        <v>2.9404395389741902</v>
      </c>
      <c r="BR34" s="23">
        <f>EXP(-LN(2)/2)*BR33+(1-EXP(-LN(2)/2))/(LN(2)/2)*BL34*BO34*VLOOKUP('Données projet'!$B$11,Paramètres!$A$1:$I$89,3,0)*0.475*44/12</f>
        <v>0.12588377741395709</v>
      </c>
      <c r="BS34" s="24">
        <f t="shared" si="9"/>
        <v>61.041474260524772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65.582171670008151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65.582171670008151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65.582171670008151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65.582171670008151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65.582171670008151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65.582171670008151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65.582171670008151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1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3.6666666666666665</v>
      </c>
      <c r="H35" s="70">
        <f t="shared" si="1"/>
        <v>232.46666666666667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65.658811114749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66.513705559911728</v>
      </c>
      <c r="T35" s="62">
        <f t="shared" si="34"/>
        <v>293.21772799887617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56.491718634524517</v>
      </c>
      <c r="AA35" s="23">
        <f>EXP(-LN(2)/25)*AA34+(1-EXP(-LN(2)/25))/(LN(2)/25)*Calculateur!V35*Calculateur!X35*VLOOKUP('Données projet'!$B$9,Paramètres!$A$1:$I$89,3,0)*0.475*44/12</f>
        <v>2.8425938391429351</v>
      </c>
      <c r="AB35" s="23">
        <f>EXP(-LN(2)/2)*AB34+(1-EXP(-LN(2)/2))/(LN(2)/2)*V35*Y35*VLOOKUP('Données projet'!$B$9,Paramètres!$A$1:$I$89,3,0)*0.475*44/12</f>
        <v>8.8470508793160194E-2</v>
      </c>
      <c r="AC35" s="24">
        <f t="shared" si="3"/>
        <v>59.42278298246061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65.658811114749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12.625</v>
      </c>
      <c r="AI35" s="14">
        <f>IF('Données projet'!$A$62&gt;35,AI34+AH35-AQ34,IF(A35&lt;'Données projet'!$A$62,$AF$205^A35,IF(A35='Données projet'!$A$62,'Données projet'!$B$62,AI34+AH35-AQ34)))</f>
        <v>262.25000000000006</v>
      </c>
      <c r="AJ35" s="14">
        <f>AI35*VLOOKUP('Données projet'!$B$10,Paramètres!$A$1:$I$89,3,0)*VLOOKUP('Données projet'!$B$10,Paramètres!$A$1:$I$89,5,0)</f>
        <v>156.82550000000006</v>
      </c>
      <c r="AK35" s="14">
        <f t="shared" si="35"/>
        <v>40.12566509846944</v>
      </c>
      <c r="AL35" s="22">
        <f t="shared" si="4"/>
        <v>343.02327921316777</v>
      </c>
      <c r="AM35" s="62">
        <f t="shared" si="5"/>
        <v>620.43891996724744</v>
      </c>
      <c r="AN35" s="62">
        <f ca="1">AVERAGE(OFFSET($AM$3,0,0,'Données projet'!$E$10+1,1))-AVERAGE(OFFSET($H$3,0,0,'Données projet'!$E$10+1,1))</f>
        <v>210.41468975391527</v>
      </c>
      <c r="AO35" s="62">
        <f t="shared" si="36"/>
        <v>355.1268923221744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10.023989048574924</v>
      </c>
      <c r="AV35" s="23">
        <f>EXP(-LN(2)/25)*AV34+(1-EXP(-LN(2)/25))/(LN(2)/25)*Calculateur!AQ35*Calculateur!AS35*VLOOKUP('Données projet'!$B$10,Paramètres!$A$1:$I$89,3,0)*0.475*44/12</f>
        <v>3.1627440891777532</v>
      </c>
      <c r="AW35" s="23">
        <f>EXP(-LN(2)/2)*AW34+(1-EXP(-LN(2)/2))/(LN(2)/2)*AQ35*AT35*VLOOKUP('Données projet'!$B$10,Paramètres!$A$1:$I$89,3,0)*0.475*44/12</f>
        <v>1.516149171945008</v>
      </c>
      <c r="AX35" s="23">
        <f t="shared" si="6"/>
        <v>14.702882309697685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65.658811114749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66.833935615974326</v>
      </c>
      <c r="BJ35" s="62">
        <f t="shared" si="38"/>
        <v>294.79914393693775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56.838293595472543</v>
      </c>
      <c r="BQ35" s="23">
        <f>EXP(-LN(2)/25)*BQ34+(1-EXP(-LN(2)/25))/(LN(2)/25)*Calculateur!BL35*Calculateur!BN35*VLOOKUP('Données projet'!$B$11,Paramètres!$A$1:$I$89,3,0)*0.475*44/12</f>
        <v>2.8600330651499459</v>
      </c>
      <c r="BR35" s="23">
        <f>EXP(-LN(2)/2)*BR34+(1-EXP(-LN(2)/2))/(LN(2)/2)*BL35*BO35*VLOOKUP('Données projet'!$B$11,Paramètres!$A$1:$I$89,3,0)*0.475*44/12</f>
        <v>8.9013272650787012E-2</v>
      </c>
      <c r="BS35" s="24">
        <f t="shared" si="9"/>
        <v>59.78733993327328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65.658811114749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65.658811114749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65.658811114749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65.658811114749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65.658811114749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65.658811114749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65.658811114749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1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3.6666666666666665</v>
      </c>
      <c r="H36" s="70">
        <f t="shared" si="1"/>
        <v>232.46666666666667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65.734121036463748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66.513705559911728</v>
      </c>
      <c r="T36" s="62">
        <f t="shared" si="34"/>
        <v>293.21772799887617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55.383950488647557</v>
      </c>
      <c r="AA36" s="23">
        <f>EXP(-LN(2)/25)*AA35+(1-EXP(-LN(2)/25))/(LN(2)/25)*Calculateur!V36*Calculateur!X36*VLOOKUP('Données projet'!$B$9,Paramètres!$A$1:$I$89,3,0)*0.475*44/12</f>
        <v>2.7648629611260582</v>
      </c>
      <c r="AB36" s="23">
        <f>EXP(-LN(2)/2)*AB35+(1-EXP(-LN(2)/2))/(LN(2)/2)*V36*Y36*VLOOKUP('Données projet'!$B$9,Paramètres!$A$1:$I$89,3,0)*0.475*44/12</f>
        <v>6.2558096702667654E-2</v>
      </c>
      <c r="AC36" s="24">
        <f t="shared" si="3"/>
        <v>58.211371546476279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65.734121036463748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12.625</v>
      </c>
      <c r="AI36" s="14">
        <f>IF('Données projet'!$A$62&gt;35,AI35+AH36-AQ35,IF(A36&lt;'Données projet'!$A$62,$AF$205^A36,IF(A36='Données projet'!$A$62,'Données projet'!$B$62,AI35+AH36-AQ35)))</f>
        <v>274.87500000000006</v>
      </c>
      <c r="AJ36" s="14">
        <f>AI36*VLOOKUP('Données projet'!$B$10,Paramètres!$A$1:$I$89,3,0)*VLOOKUP('Données projet'!$B$10,Paramètres!$A$1:$I$89,5,0)</f>
        <v>164.37525000000005</v>
      </c>
      <c r="AK36" s="14">
        <f t="shared" si="35"/>
        <v>41.827810443115574</v>
      </c>
      <c r="AL36" s="22">
        <f t="shared" si="4"/>
        <v>359.13699693842636</v>
      </c>
      <c r="AM36" s="62">
        <f t="shared" si="5"/>
        <v>636.82877407212686</v>
      </c>
      <c r="AN36" s="62">
        <f ca="1">AVERAGE(OFFSET($AM$3,0,0,'Données projet'!$E$10+1,1))-AVERAGE(OFFSET($H$3,0,0,'Données projet'!$E$10+1,1))</f>
        <v>210.41468975391527</v>
      </c>
      <c r="AO36" s="62">
        <f t="shared" si="36"/>
        <v>355.1268923221744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9.8274247373619783</v>
      </c>
      <c r="AV36" s="23">
        <f>EXP(-LN(2)/25)*AV35+(1-EXP(-LN(2)/25))/(LN(2)/25)*Calculateur!AQ36*Calculateur!AS36*VLOOKUP('Données projet'!$B$10,Paramètres!$A$1:$I$89,3,0)*0.475*44/12</f>
        <v>3.0762586857377046</v>
      </c>
      <c r="AW36" s="23">
        <f>EXP(-LN(2)/2)*AW35+(1-EXP(-LN(2)/2))/(LN(2)/2)*AQ36*AT36*VLOOKUP('Données projet'!$B$10,Paramètres!$A$1:$I$89,3,0)*0.475*44/12</f>
        <v>1.072079360772684</v>
      </c>
      <c r="AX36" s="23">
        <f t="shared" si="6"/>
        <v>13.975762783872366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65.734121036463748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66.833935615974326</v>
      </c>
      <c r="BJ36" s="62">
        <f t="shared" si="38"/>
        <v>294.79914393693775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55.723729326001248</v>
      </c>
      <c r="BQ36" s="23">
        <f>EXP(-LN(2)/25)*BQ35+(1-EXP(-LN(2)/25))/(LN(2)/25)*Calculateur!BL36*Calculateur!BN36*VLOOKUP('Données projet'!$B$11,Paramètres!$A$1:$I$89,3,0)*0.475*44/12</f>
        <v>2.7818253105808184</v>
      </c>
      <c r="BR36" s="23">
        <f>EXP(-LN(2)/2)*BR35+(1-EXP(-LN(2)/2))/(LN(2)/2)*BL36*BO36*VLOOKUP('Données projet'!$B$11,Paramètres!$A$1:$I$89,3,0)*0.475*44/12</f>
        <v>6.2941888706978547E-2</v>
      </c>
      <c r="BS36" s="24">
        <f t="shared" si="9"/>
        <v>58.568496525289049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65.734121036463748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65.734121036463748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65.734121036463748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65.734121036463748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65.734121036463748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65.734121036463748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65.734121036463748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1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3.6666666666666665</v>
      </c>
      <c r="H37" s="70">
        <f t="shared" si="1"/>
        <v>232.46666666666667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65.808124499404499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66.513705559911728</v>
      </c>
      <c r="T37" s="62">
        <f t="shared" si="34"/>
        <v>293.21772799887617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54.297905000439393</v>
      </c>
      <c r="AA37" s="23">
        <f>EXP(-LN(2)/25)*AA36+(1-EXP(-LN(2)/25))/(LN(2)/25)*Calculateur!V37*Calculateur!X37*VLOOKUP('Données projet'!$B$9,Paramètres!$A$1:$I$89,3,0)*0.475*44/12</f>
        <v>2.6892576380562421</v>
      </c>
      <c r="AB37" s="23">
        <f>EXP(-LN(2)/2)*AB36+(1-EXP(-LN(2)/2))/(LN(2)/2)*V37*Y37*VLOOKUP('Données projet'!$B$9,Paramètres!$A$1:$I$89,3,0)*0.475*44/12</f>
        <v>4.4235254396580097E-2</v>
      </c>
      <c r="AC37" s="24">
        <f t="shared" si="3"/>
        <v>57.031397892892215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65.808124499404499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12.625</v>
      </c>
      <c r="AI37" s="14">
        <f>IF('Données projet'!$A$62&gt;35,AI36+AH37-AQ36,IF(A37&lt;'Données projet'!$A$62,$AF$205^A37,IF(A37='Données projet'!$A$62,'Données projet'!$B$62,AI36+AH37-AQ36)))</f>
        <v>287.50000000000006</v>
      </c>
      <c r="AJ37" s="14">
        <f>AI37*VLOOKUP('Données projet'!$B$10,Paramètres!$A$1:$I$89,3,0)*VLOOKUP('Données projet'!$B$10,Paramètres!$A$1:$I$89,5,0)</f>
        <v>171.92500000000004</v>
      </c>
      <c r="AK37" s="14">
        <f t="shared" si="35"/>
        <v>43.520876607827979</v>
      </c>
      <c r="AL37" s="22">
        <f t="shared" si="4"/>
        <v>375.23490175863373</v>
      </c>
      <c r="AM37" s="62">
        <f t="shared" si="5"/>
        <v>653.19802492311692</v>
      </c>
      <c r="AN37" s="62">
        <f ca="1">AVERAGE(OFFSET($AM$3,0,0,'Données projet'!$E$10+1,1))-AVERAGE(OFFSET($H$3,0,0,'Données projet'!$E$10+1,1))</f>
        <v>210.41468975391527</v>
      </c>
      <c r="AO37" s="62">
        <f t="shared" si="36"/>
        <v>355.1268923221744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9.6347149323995271</v>
      </c>
      <c r="AV37" s="23">
        <f>EXP(-LN(2)/25)*AV36+(1-EXP(-LN(2)/25))/(LN(2)/25)*Calculateur!AQ37*Calculateur!AS37*VLOOKUP('Données projet'!$B$10,Paramètres!$A$1:$I$89,3,0)*0.475*44/12</f>
        <v>2.9921382302027935</v>
      </c>
      <c r="AW37" s="23">
        <f>EXP(-LN(2)/2)*AW36+(1-EXP(-LN(2)/2))/(LN(2)/2)*AQ37*AT37*VLOOKUP('Données projet'!$B$10,Paramètres!$A$1:$I$89,3,0)*0.475*44/12</f>
        <v>0.75807458597250399</v>
      </c>
      <c r="AX37" s="23">
        <f t="shared" si="6"/>
        <v>13.384927748574825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65.808124499404499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66.833935615974326</v>
      </c>
      <c r="BJ37" s="62">
        <f t="shared" si="38"/>
        <v>294.79914393693775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54.631020982037207</v>
      </c>
      <c r="BQ37" s="23">
        <f>EXP(-LN(2)/25)*BQ36+(1-EXP(-LN(2)/25))/(LN(2)/25)*Calculateur!BL37*Calculateur!BN37*VLOOKUP('Données projet'!$B$11,Paramètres!$A$1:$I$89,3,0)*0.475*44/12</f>
        <v>2.7057561511731509</v>
      </c>
      <c r="BR37" s="23">
        <f>EXP(-LN(2)/2)*BR36+(1-EXP(-LN(2)/2))/(LN(2)/2)*BL37*BO37*VLOOKUP('Données projet'!$B$11,Paramètres!$A$1:$I$89,3,0)*0.475*44/12</f>
        <v>4.4506636325393506E-2</v>
      </c>
      <c r="BS37" s="24">
        <f t="shared" si="9"/>
        <v>57.381283769535749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65.808124499404499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65.808124499404499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65.808124499404499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65.808124499404499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65.808124499404499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65.808124499404499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65.808124499404499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1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3.6666666666666665</v>
      </c>
      <c r="H38" s="70">
        <f t="shared" si="1"/>
        <v>232.46666666666667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65.88084416771018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66.513705559911728</v>
      </c>
      <c r="T38" s="62">
        <f t="shared" si="34"/>
        <v>293.21772799887617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53.233156201832649</v>
      </c>
      <c r="AA38" s="23">
        <f>EXP(-LN(2)/25)*AA37+(1-EXP(-LN(2)/25))/(LN(2)/25)*Calculateur!V38*Calculateur!X38*VLOOKUP('Données projet'!$B$9,Paramètres!$A$1:$I$89,3,0)*0.475*44/12</f>
        <v>2.6157197465216813</v>
      </c>
      <c r="AB38" s="23">
        <f>EXP(-LN(2)/2)*AB37+(1-EXP(-LN(2)/2))/(LN(2)/2)*V38*Y38*VLOOKUP('Données projet'!$B$9,Paramètres!$A$1:$I$89,3,0)*0.475*44/12</f>
        <v>3.1279048351333827E-2</v>
      </c>
      <c r="AC38" s="24">
        <f t="shared" si="3"/>
        <v>55.88015499670567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65.88084416771018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12.625</v>
      </c>
      <c r="AI38" s="14">
        <f>IF('Données projet'!$A$62&gt;35,AI37+AH38-AQ37,IF(A38&lt;'Données projet'!$A$62,$AF$205^A38,IF(A38='Données projet'!$A$62,'Données projet'!$B$62,AI37+AH38-AQ37)))</f>
        <v>300.12500000000006</v>
      </c>
      <c r="AJ38" s="14">
        <f>AI38*VLOOKUP('Données projet'!$B$10,Paramètres!$A$1:$I$89,3,0)*VLOOKUP('Données projet'!$B$10,Paramètres!$A$1:$I$89,5,0)</f>
        <v>179.47475000000006</v>
      </c>
      <c r="AK38" s="14">
        <f t="shared" si="35"/>
        <v>45.205307850969106</v>
      </c>
      <c r="AL38" s="22">
        <f t="shared" si="4"/>
        <v>391.31776742377127</v>
      </c>
      <c r="AM38" s="62">
        <f t="shared" si="5"/>
        <v>669.54752937204194</v>
      </c>
      <c r="AN38" s="62">
        <f ca="1">AVERAGE(OFFSET($AM$3,0,0,'Données projet'!$E$10+1,1))-AVERAGE(OFFSET($H$3,0,0,'Données projet'!$E$10+1,1))</f>
        <v>210.41468975391527</v>
      </c>
      <c r="AO38" s="62">
        <f t="shared" si="36"/>
        <v>355.1268923221744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9.4457840491710154</v>
      </c>
      <c r="AV38" s="23">
        <f>EXP(-LN(2)/25)*AV37+(1-EXP(-LN(2)/25))/(LN(2)/25)*Calculateur!AQ38*Calculateur!AS38*VLOOKUP('Données projet'!$B$10,Paramètres!$A$1:$I$89,3,0)*0.475*44/12</f>
        <v>2.9103180529481874</v>
      </c>
      <c r="AW38" s="23">
        <f>EXP(-LN(2)/2)*AW37+(1-EXP(-LN(2)/2))/(LN(2)/2)*AQ38*AT38*VLOOKUP('Données projet'!$B$10,Paramètres!$A$1:$I$89,3,0)*0.475*44/12</f>
        <v>0.53603968038634198</v>
      </c>
      <c r="AX38" s="23">
        <f t="shared" si="6"/>
        <v>12.892141782505544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65.88084416771018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66.833935615974326</v>
      </c>
      <c r="BJ38" s="62">
        <f t="shared" si="38"/>
        <v>294.79914393693775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53.559739982212015</v>
      </c>
      <c r="BQ38" s="23">
        <f>EXP(-LN(2)/25)*BQ37+(1-EXP(-LN(2)/25))/(LN(2)/25)*Calculateur!BL38*Calculateur!BN38*VLOOKUP('Données projet'!$B$11,Paramètres!$A$1:$I$89,3,0)*0.475*44/12</f>
        <v>2.6317671069297894</v>
      </c>
      <c r="BR38" s="23">
        <f>EXP(-LN(2)/2)*BR37+(1-EXP(-LN(2)/2))/(LN(2)/2)*BL38*BO38*VLOOKUP('Données projet'!$B$11,Paramètres!$A$1:$I$89,3,0)*0.475*44/12</f>
        <v>3.1470944353489273E-2</v>
      </c>
      <c r="BS38" s="24">
        <f t="shared" si="9"/>
        <v>56.222978033495295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65.88084416771018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65.88084416771018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65.88084416771018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65.88084416771018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65.88084416771018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65.88084416771018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65.88084416771018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1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3.6666666666666665</v>
      </c>
      <c r="H39" s="70">
        <f t="shared" si="1"/>
        <v>232.46666666666667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65.952302312347584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66.513705559911728</v>
      </c>
      <c r="T39" s="62">
        <f t="shared" si="34"/>
        <v>293.21772799887617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52.189286477733944</v>
      </c>
      <c r="AA39" s="23">
        <f>EXP(-LN(2)/25)*AA38+(1-EXP(-LN(2)/25))/(LN(2)/25)*Calculateur!V39*Calculateur!X39*VLOOKUP('Données projet'!$B$9,Paramètres!$A$1:$I$89,3,0)*0.475*44/12</f>
        <v>2.5441927524983226</v>
      </c>
      <c r="AB39" s="23">
        <f>EXP(-LN(2)/2)*AB38+(1-EXP(-LN(2)/2))/(LN(2)/2)*V39*Y39*VLOOKUP('Données projet'!$B$9,Paramètres!$A$1:$I$89,3,0)*0.475*44/12</f>
        <v>2.2117627198290048E-2</v>
      </c>
      <c r="AC39" s="24">
        <f t="shared" si="3"/>
        <v>54.755596857430561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65.952302312347584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12.625</v>
      </c>
      <c r="AI39" s="14">
        <f>IF('Données projet'!$A$62&gt;35,AI38+AH39-AQ38,IF(A39&lt;'Données projet'!$A$62,$AF$205^A39,IF(A39='Données projet'!$A$62,'Données projet'!$B$62,AI38+AH39-AQ38)))</f>
        <v>312.75000000000006</v>
      </c>
      <c r="AJ39" s="14">
        <f>AI39*VLOOKUP('Données projet'!$B$10,Paramètres!$A$1:$I$89,3,0)*VLOOKUP('Données projet'!$B$10,Paramètres!$A$1:$I$89,5,0)</f>
        <v>187.02450000000005</v>
      </c>
      <c r="AK39" s="14">
        <f t="shared" si="35"/>
        <v>46.881508940362963</v>
      </c>
      <c r="AL39" s="22">
        <f t="shared" si="4"/>
        <v>407.38629890446555</v>
      </c>
      <c r="AM39" s="62">
        <f t="shared" si="5"/>
        <v>685.87807404974001</v>
      </c>
      <c r="AN39" s="62">
        <f ca="1">AVERAGE(OFFSET($AM$3,0,0,'Données projet'!$E$10+1,1))-AVERAGE(OFFSET($H$3,0,0,'Données projet'!$E$10+1,1))</f>
        <v>210.41468975391527</v>
      </c>
      <c r="AO39" s="62">
        <f t="shared" si="36"/>
        <v>355.1268923221744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9.2605579853261553</v>
      </c>
      <c r="AV39" s="23">
        <f>EXP(-LN(2)/25)*AV38+(1-EXP(-LN(2)/25))/(LN(2)/25)*Calculateur!AQ39*Calculateur!AS39*VLOOKUP('Données projet'!$B$10,Paramètres!$A$1:$I$89,3,0)*0.475*44/12</f>
        <v>2.8307352527433443</v>
      </c>
      <c r="AW39" s="23">
        <f>EXP(-LN(2)/2)*AW38+(1-EXP(-LN(2)/2))/(LN(2)/2)*AQ39*AT39*VLOOKUP('Données projet'!$B$10,Paramètres!$A$1:$I$89,3,0)*0.475*44/12</f>
        <v>0.37903729298625199</v>
      </c>
      <c r="AX39" s="23">
        <f t="shared" si="6"/>
        <v>12.470330531055753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65.952302312347584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66.833935615974326</v>
      </c>
      <c r="BJ39" s="62">
        <f t="shared" si="38"/>
        <v>294.79914393693775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52.509466149376507</v>
      </c>
      <c r="BQ39" s="23">
        <f>EXP(-LN(2)/25)*BQ38+(1-EXP(-LN(2)/25))/(LN(2)/25)*Calculateur!BL39*Calculateur!BN39*VLOOKUP('Données projet'!$B$11,Paramètres!$A$1:$I$89,3,0)*0.475*44/12</f>
        <v>2.5598012969921773</v>
      </c>
      <c r="BR39" s="23">
        <f>EXP(-LN(2)/2)*BR38+(1-EXP(-LN(2)/2))/(LN(2)/2)*BL39*BO39*VLOOKUP('Données projet'!$B$11,Paramètres!$A$1:$I$89,3,0)*0.475*44/12</f>
        <v>2.2253318162696753E-2</v>
      </c>
      <c r="BS39" s="24">
        <f t="shared" si="9"/>
        <v>55.091520764531381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65.952302312347584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65.952302312347584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65.952302312347584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65.952302312347584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65.952302312347584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65.952302312347584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65.952302312347584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1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3.6666666666666665</v>
      </c>
      <c r="H40" s="70">
        <f t="shared" si="1"/>
        <v>232.46666666666667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66.022520817932005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66.513705559911728</v>
      </c>
      <c r="T40" s="62">
        <f t="shared" si="34"/>
        <v>293.21772799887617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51.165886402227152</v>
      </c>
      <c r="AA40" s="23">
        <f>EXP(-LN(2)/25)*AA39+(1-EXP(-LN(2)/25))/(LN(2)/25)*Calculateur!V40*Calculateur!X40*VLOOKUP('Données projet'!$B$9,Paramètres!$A$1:$I$89,3,0)*0.475*44/12</f>
        <v>2.4746216678879738</v>
      </c>
      <c r="AB40" s="23">
        <f>EXP(-LN(2)/2)*AB39+(1-EXP(-LN(2)/2))/(LN(2)/2)*V40*Y40*VLOOKUP('Données projet'!$B$9,Paramètres!$A$1:$I$89,3,0)*0.475*44/12</f>
        <v>1.5639524175666913E-2</v>
      </c>
      <c r="AC40" s="24">
        <f t="shared" si="3"/>
        <v>53.656147594290793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66.022520817932005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12.625</v>
      </c>
      <c r="AI40" s="14">
        <f>IF('Données projet'!$A$62&gt;35,AI39+AH40-AQ39,IF(A40&lt;'Données projet'!$A$62,$AF$205^A40,IF(A40='Données projet'!$A$62,'Données projet'!$B$62,AI39+AH40-AQ39)))</f>
        <v>325.37500000000006</v>
      </c>
      <c r="AJ40" s="14">
        <f>AI40*VLOOKUP('Données projet'!$B$10,Paramètres!$A$1:$I$89,3,0)*VLOOKUP('Données projet'!$B$10,Paramètres!$A$1:$I$89,5,0)</f>
        <v>194.57425000000006</v>
      </c>
      <c r="AK40" s="14">
        <f t="shared" si="35"/>
        <v>48.54985011520143</v>
      </c>
      <c r="AL40" s="22">
        <f t="shared" si="4"/>
        <v>423.44114103397595</v>
      </c>
      <c r="AM40" s="62">
        <f t="shared" si="5"/>
        <v>702.1903840330599</v>
      </c>
      <c r="AN40" s="62">
        <f ca="1">AVERAGE(OFFSET($AM$3,0,0,'Données projet'!$E$10+1,1))-AVERAGE(OFFSET($H$3,0,0,'Données projet'!$E$10+1,1))</f>
        <v>210.41468975391527</v>
      </c>
      <c r="AO40" s="62">
        <f t="shared" si="36"/>
        <v>355.1268923221744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9.0789640916165482</v>
      </c>
      <c r="AV40" s="23">
        <f>EXP(-LN(2)/25)*AV39+(1-EXP(-LN(2)/25))/(LN(2)/25)*Calculateur!AQ40*Calculateur!AS40*VLOOKUP('Données projet'!$B$10,Paramètres!$A$1:$I$89,3,0)*0.475*44/12</f>
        <v>2.7533286483951804</v>
      </c>
      <c r="AW40" s="23">
        <f>EXP(-LN(2)/2)*AW39+(1-EXP(-LN(2)/2))/(LN(2)/2)*AQ40*AT40*VLOOKUP('Données projet'!$B$10,Paramètres!$A$1:$I$89,3,0)*0.475*44/12</f>
        <v>0.26801984019317099</v>
      </c>
      <c r="AX40" s="23">
        <f t="shared" si="6"/>
        <v>12.1003125802049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66.022520817932005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66.833935615974326</v>
      </c>
      <c r="BJ40" s="62">
        <f t="shared" si="38"/>
        <v>294.79914393693775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51.47978754579912</v>
      </c>
      <c r="BQ40" s="23">
        <f>EXP(-LN(2)/25)*BQ39+(1-EXP(-LN(2)/25))/(LN(2)/25)*Calculateur!BL40*Calculateur!BN40*VLOOKUP('Données projet'!$B$11,Paramètres!$A$1:$I$89,3,0)*0.475*44/12</f>
        <v>2.4898033959118266</v>
      </c>
      <c r="BR40" s="23">
        <f>EXP(-LN(2)/2)*BR39+(1-EXP(-LN(2)/2))/(LN(2)/2)*BL40*BO40*VLOOKUP('Données projet'!$B$11,Paramètres!$A$1:$I$89,3,0)*0.475*44/12</f>
        <v>1.5735472176744637E-2</v>
      </c>
      <c r="BS40" s="24">
        <f t="shared" si="9"/>
        <v>53.985326413887691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66.022520817932005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66.022520817932005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66.022520817932005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66.022520817932005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66.022520817932005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66.022520817932005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66.022520817932005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1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3.6666666666666665</v>
      </c>
      <c r="H41" s="70">
        <f t="shared" si="1"/>
        <v>232.46666666666667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66.091521189429599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66.513705559911728</v>
      </c>
      <c r="T41" s="62">
        <f t="shared" si="34"/>
        <v>293.21772799887617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50.162554577988637</v>
      </c>
      <c r="AA41" s="23">
        <f>EXP(-LN(2)/25)*AA40+(1-EXP(-LN(2)/25))/(LN(2)/25)*Calculateur!V41*Calculateur!X41*VLOOKUP('Données projet'!$B$9,Paramètres!$A$1:$I$89,3,0)*0.475*44/12</f>
        <v>2.4069530082448796</v>
      </c>
      <c r="AB41" s="23">
        <f>EXP(-LN(2)/2)*AB40+(1-EXP(-LN(2)/2))/(LN(2)/2)*V41*Y41*VLOOKUP('Données projet'!$B$9,Paramètres!$A$1:$I$89,3,0)*0.475*44/12</f>
        <v>1.1058813599145024E-2</v>
      </c>
      <c r="AC41" s="24">
        <f t="shared" si="3"/>
        <v>52.580566399832655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66.091521189429599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>
        <f>VLOOKUP(A41,'Données projet'!$A$61:$I$81,2,0)</f>
        <v>338</v>
      </c>
      <c r="AG41" s="13">
        <f>VLOOKUP(A41,'Données projet'!$A$61:$I$81,9,0)</f>
        <v>12.625</v>
      </c>
      <c r="AH41" s="13">
        <f t="array" ref="AH41">INDEX(AG:AG,MIN(IF(ISNUMBER(AG41:AG237),ROW(AG41:AG237),"")))</f>
        <v>12.625</v>
      </c>
      <c r="AI41" s="14">
        <f>IF('Données projet'!$A$62&gt;35,AI40+AH41-AQ40,IF(A41&lt;'Données projet'!$A$62,$AF$205^A41,IF(A41='Données projet'!$A$62,'Données projet'!$B$62,AI40+AH41-AQ40)))</f>
        <v>338.00000000000006</v>
      </c>
      <c r="AJ41" s="14">
        <f>AI41*VLOOKUP('Données projet'!$B$10,Paramètres!$A$1:$I$89,3,0)*VLOOKUP('Données projet'!$B$10,Paramètres!$A$1:$I$89,5,0)</f>
        <v>202.12400000000008</v>
      </c>
      <c r="AK41" s="14">
        <f t="shared" si="35"/>
        <v>50.210671256169846</v>
      </c>
      <c r="AL41" s="22">
        <f t="shared" si="4"/>
        <v>439.48288577116256</v>
      </c>
      <c r="AM41" s="62">
        <f t="shared" si="5"/>
        <v>718.48513013240449</v>
      </c>
      <c r="AN41" s="62">
        <f ca="1">AVERAGE(OFFSET($AM$3,0,0,'Données projet'!$E$10+1,1))-AVERAGE(OFFSET($H$3,0,0,'Données projet'!$E$10+1,1))</f>
        <v>210.41468975391527</v>
      </c>
      <c r="AO41" s="62">
        <f t="shared" si="36"/>
        <v>355.1268923221744</v>
      </c>
      <c r="AP41" s="16">
        <f>IF(ISNA(VLOOKUP(A41,'Données projet'!$A$61:$I$81,3,0)),0,VLOOKUP(A41,'Données projet'!$A$61:$I$81,3,0))</f>
        <v>5</v>
      </c>
      <c r="AQ41" s="16">
        <f>IF(ISNA(VLOOKUP(A41,'Données projet'!$A$61:$I$81,4,0)),0,VLOOKUP(A41,'Données projet'!$A$61:$I$81,4,0))</f>
        <v>338</v>
      </c>
      <c r="AR41" s="17">
        <f>IF(ISNA(VLOOKUP(A41,'Données projet'!$A$61:$I$81,5,0)),0%,VLOOKUP(A41,'Données projet'!$A$61:$I$81,5,0)*VLOOKUP('Données projet'!$B$10,Paramètres!$A$1:$I$89,7,0))</f>
        <v>0.315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0.3</v>
      </c>
      <c r="AU41" s="23">
        <f>EXP(-LN(2)/35)*AU40+(1-EXP(-LN(2)/35))/(LN(2)/35)*AQ41*AR41*VLOOKUP('Données projet'!$B$10,Paramètres!$A$1:$I$89,3,0)*0.475*44/12</f>
        <v>93.362043050648666</v>
      </c>
      <c r="AV41" s="23">
        <f>EXP(-LN(2)/25)*AV40+(1-EXP(-LN(2)/25))/(LN(2)/25)*Calculateur!AQ41*Calculateur!AS41*VLOOKUP('Données projet'!$B$10,Paramètres!$A$1:$I$89,3,0)*0.475*44/12</f>
        <v>2.6780387317135532</v>
      </c>
      <c r="AW41" s="23">
        <f>EXP(-LN(2)/2)*AW40+(1-EXP(-LN(2)/2))/(LN(2)/2)*AQ41*AT41*VLOOKUP('Données projet'!$B$10,Paramètres!$A$1:$I$89,3,0)*0.475*44/12</f>
        <v>68.844914918064944</v>
      </c>
      <c r="AX41" s="23">
        <f t="shared" si="6"/>
        <v>164.88499670042717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66.091521189429599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66.833935615974326</v>
      </c>
      <c r="BJ41" s="62">
        <f t="shared" si="38"/>
        <v>294.79914393693775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50.470300311595949</v>
      </c>
      <c r="BQ41" s="23">
        <f>EXP(-LN(2)/25)*BQ40+(1-EXP(-LN(2)/25))/(LN(2)/25)*Calculateur!BL41*Calculateur!BN41*VLOOKUP('Données projet'!$B$11,Paramètres!$A$1:$I$89,3,0)*0.475*44/12</f>
        <v>2.4217195911175478</v>
      </c>
      <c r="BR41" s="23">
        <f>EXP(-LN(2)/2)*BR40+(1-EXP(-LN(2)/2))/(LN(2)/2)*BL41*BO41*VLOOKUP('Données projet'!$B$11,Paramètres!$A$1:$I$89,3,0)*0.475*44/12</f>
        <v>1.1126659081348377E-2</v>
      </c>
      <c r="BS41" s="24">
        <f t="shared" si="9"/>
        <v>52.903146561794848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66.091521189429599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66.091521189429599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66.091521189429599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66.091521189429599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66.091521189429599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66.091521189429599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66.091521189429599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1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3.6666666666666665</v>
      </c>
      <c r="H42" s="70">
        <f t="shared" si="1"/>
        <v>232.46666666666667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66.159324558743435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66.513705559911728</v>
      </c>
      <c r="T42" s="62">
        <f t="shared" si="34"/>
        <v>293.21772799887617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49.178897478851454</v>
      </c>
      <c r="AA42" s="23">
        <f>EXP(-LN(2)/25)*AA41+(1-EXP(-LN(2)/25))/(LN(2)/25)*Calculateur!V42*Calculateur!X42*VLOOKUP('Données projet'!$B$9,Paramètres!$A$1:$I$89,3,0)*0.475*44/12</f>
        <v>2.3411347516582657</v>
      </c>
      <c r="AB42" s="23">
        <f>EXP(-LN(2)/2)*AB41+(1-EXP(-LN(2)/2))/(LN(2)/2)*V42*Y42*VLOOKUP('Données projet'!$B$9,Paramètres!$A$1:$I$89,3,0)*0.475*44/12</f>
        <v>7.8197620878334567E-3</v>
      </c>
      <c r="AC42" s="24">
        <f t="shared" si="3"/>
        <v>51.527851992597554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66.159324558743435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5.6843418860808015E-14</v>
      </c>
      <c r="AJ42" s="14">
        <f>AI42*VLOOKUP('Données projet'!$B$10,Paramètres!$A$1:$I$89,3,0)*VLOOKUP('Données projet'!$B$10,Paramètres!$A$1:$I$89,5,0)</f>
        <v>3.3992364478763198E-14</v>
      </c>
      <c r="AK42" s="14">
        <f t="shared" si="35"/>
        <v>5.790027782444094E-13</v>
      </c>
      <c r="AL42" s="22">
        <f t="shared" si="4"/>
        <v>1.0676332069095257E-12</v>
      </c>
      <c r="AM42" s="62">
        <f t="shared" si="5"/>
        <v>279.25085671539364</v>
      </c>
      <c r="AN42" s="62">
        <f ca="1">AVERAGE(OFFSET($AM$3,0,0,'Données projet'!$E$10+1,1))-AVERAGE(OFFSET($H$3,0,0,'Données projet'!$E$10+1,1))</f>
        <v>210.41468975391527</v>
      </c>
      <c r="AO42" s="62">
        <f t="shared" si="36"/>
        <v>355.1268923221744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91.531270331648827</v>
      </c>
      <c r="AV42" s="23">
        <f>EXP(-LN(2)/25)*AV41+(1-EXP(-LN(2)/25))/(LN(2)/25)*Calculateur!AQ42*Calculateur!AS42*VLOOKUP('Données projet'!$B$10,Paramètres!$A$1:$I$89,3,0)*0.475*44/12</f>
        <v>2.6048076217629101</v>
      </c>
      <c r="AW42" s="23">
        <f>EXP(-LN(2)/2)*AW41+(1-EXP(-LN(2)/2))/(LN(2)/2)*AQ42*AT42*VLOOKUP('Données projet'!$B$10,Paramètres!$A$1:$I$89,3,0)*0.475*44/12</f>
        <v>48.680706188774636</v>
      </c>
      <c r="AX42" s="23">
        <f t="shared" si="6"/>
        <v>142.81678414218638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66.159324558743435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66.833935615974326</v>
      </c>
      <c r="BJ42" s="62">
        <f t="shared" si="38"/>
        <v>294.79914393693775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49.480608506329091</v>
      </c>
      <c r="BQ42" s="23">
        <f>EXP(-LN(2)/25)*BQ41+(1-EXP(-LN(2)/25))/(LN(2)/25)*Calculateur!BL42*Calculateur!BN42*VLOOKUP('Données projet'!$B$11,Paramètres!$A$1:$I$89,3,0)*0.475*44/12</f>
        <v>2.35549754154574</v>
      </c>
      <c r="BR42" s="23">
        <f>EXP(-LN(2)/2)*BR41+(1-EXP(-LN(2)/2))/(LN(2)/2)*BL42*BO42*VLOOKUP('Données projet'!$B$11,Paramètres!$A$1:$I$89,3,0)*0.475*44/12</f>
        <v>7.8677360883723183E-3</v>
      </c>
      <c r="BS42" s="24">
        <f t="shared" si="9"/>
        <v>51.8439737839632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66.159324558743435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66.159324558743435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66.159324558743435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66.159324558743435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66.159324558743435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66.159324558743435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66.159324558743435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1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3.6666666666666665</v>
      </c>
      <c r="H43" s="70">
        <f t="shared" si="1"/>
        <v>232.46666666666667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66.225951691185287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66.513705559911728</v>
      </c>
      <c r="T43" s="62">
        <f t="shared" si="34"/>
        <v>293.21772799887617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48.214529295456764</v>
      </c>
      <c r="AA43" s="23">
        <f>EXP(-LN(2)/25)*AA42+(1-EXP(-LN(2)/25))/(LN(2)/25)*Calculateur!V43*Calculateur!X43*VLOOKUP('Données projet'!$B$9,Paramètres!$A$1:$I$89,3,0)*0.475*44/12</f>
        <v>2.2771162987592444</v>
      </c>
      <c r="AB43" s="23">
        <f>EXP(-LN(2)/2)*AB42+(1-EXP(-LN(2)/2))/(LN(2)/2)*V43*Y43*VLOOKUP('Données projet'!$B$9,Paramètres!$A$1:$I$89,3,0)*0.475*44/12</f>
        <v>5.5294067995725121E-3</v>
      </c>
      <c r="AC43" s="24">
        <f t="shared" si="3"/>
        <v>50.497175001015584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66.225951691185287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5.6843418860808015E-14</v>
      </c>
      <c r="AJ43" s="14">
        <f>AI43*VLOOKUP('Données projet'!$B$10,Paramètres!$A$1:$I$89,3,0)*VLOOKUP('Données projet'!$B$10,Paramètres!$A$1:$I$89,5,0)</f>
        <v>3.3992364478763198E-14</v>
      </c>
      <c r="AK43" s="14">
        <f t="shared" si="35"/>
        <v>5.790027782444094E-13</v>
      </c>
      <c r="AL43" s="22">
        <f t="shared" si="4"/>
        <v>1.0676332069095257E-12</v>
      </c>
      <c r="AM43" s="62">
        <f t="shared" si="5"/>
        <v>279.4951562010138</v>
      </c>
      <c r="AN43" s="62">
        <f ca="1">AVERAGE(OFFSET($AM$3,0,0,'Données projet'!$E$10+1,1))-AVERAGE(OFFSET($H$3,0,0,'Données projet'!$E$10+1,1))</f>
        <v>210.41468975391527</v>
      </c>
      <c r="AO43" s="62">
        <f t="shared" si="36"/>
        <v>355.1268923221744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89.736397949007483</v>
      </c>
      <c r="AV43" s="23">
        <f>EXP(-LN(2)/25)*AV42+(1-EXP(-LN(2)/25))/(LN(2)/25)*Calculateur!AQ43*Calculateur!AS43*VLOOKUP('Données projet'!$B$10,Paramètres!$A$1:$I$89,3,0)*0.475*44/12</f>
        <v>2.533579020364924</v>
      </c>
      <c r="AW43" s="23">
        <f>EXP(-LN(2)/2)*AW42+(1-EXP(-LN(2)/2))/(LN(2)/2)*AQ43*AT43*VLOOKUP('Données projet'!$B$10,Paramètres!$A$1:$I$89,3,0)*0.475*44/12</f>
        <v>34.422457459032479</v>
      </c>
      <c r="AX43" s="23">
        <f t="shared" si="6"/>
        <v>126.69243442840488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66.225951691185287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66.833935615974326</v>
      </c>
      <c r="BJ43" s="62">
        <f t="shared" si="38"/>
        <v>294.79914393693775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48.510323953711122</v>
      </c>
      <c r="BQ43" s="23">
        <f>EXP(-LN(2)/25)*BQ42+(1-EXP(-LN(2)/25))/(LN(2)/25)*Calculateur!BL43*Calculateur!BN43*VLOOKUP('Données projet'!$B$11,Paramètres!$A$1:$I$89,3,0)*0.475*44/12</f>
        <v>2.2910863374019397</v>
      </c>
      <c r="BR43" s="23">
        <f>EXP(-LN(2)/2)*BR42+(1-EXP(-LN(2)/2))/(LN(2)/2)*BL43*BO43*VLOOKUP('Données projet'!$B$11,Paramètres!$A$1:$I$89,3,0)*0.475*44/12</f>
        <v>5.5633295406741883E-3</v>
      </c>
      <c r="BS43" s="24">
        <f t="shared" si="9"/>
        <v>50.806973620653736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66.225951691185287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66.225951691185287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66.225951691185287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66.225951691185287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66.225951691185287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66.225951691185287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66.225951691185287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1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3.6666666666666665</v>
      </c>
      <c r="H44" s="70">
        <f t="shared" si="1"/>
        <v>232.46666666666667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66.291422991835233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66.513705559911728</v>
      </c>
      <c r="T44" s="62">
        <f t="shared" si="34"/>
        <v>293.21772799887617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47.269071783931935</v>
      </c>
      <c r="AA44" s="23">
        <f>EXP(-LN(2)/25)*AA43+(1-EXP(-LN(2)/25))/(LN(2)/25)*Calculateur!V44*Calculateur!X44*VLOOKUP('Données projet'!$B$9,Paramètres!$A$1:$I$89,3,0)*0.475*44/12</f>
        <v>2.2148484338213312</v>
      </c>
      <c r="AB44" s="23">
        <f>EXP(-LN(2)/2)*AB43+(1-EXP(-LN(2)/2))/(LN(2)/2)*V44*Y44*VLOOKUP('Données projet'!$B$9,Paramètres!$A$1:$I$89,3,0)*0.475*44/12</f>
        <v>3.9098810439167284E-3</v>
      </c>
      <c r="AC44" s="24">
        <f t="shared" si="3"/>
        <v>49.487830098797183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66.291422991835233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5.6843418860808015E-14</v>
      </c>
      <c r="AJ44" s="14">
        <f>AI44*VLOOKUP('Données projet'!$B$10,Paramètres!$A$1:$I$89,3,0)*VLOOKUP('Données projet'!$B$10,Paramètres!$A$1:$I$89,5,0)</f>
        <v>3.3992364478763198E-14</v>
      </c>
      <c r="AK44" s="14">
        <f t="shared" si="35"/>
        <v>5.790027782444094E-13</v>
      </c>
      <c r="AL44" s="22">
        <f t="shared" si="4"/>
        <v>1.0676332069095257E-12</v>
      </c>
      <c r="AM44" s="62">
        <f t="shared" si="5"/>
        <v>279.73521763673028</v>
      </c>
      <c r="AN44" s="62">
        <f ca="1">AVERAGE(OFFSET($AM$3,0,0,'Données projet'!$E$10+1,1))-AVERAGE(OFFSET($H$3,0,0,'Données projet'!$E$10+1,1))</f>
        <v>210.41468975391527</v>
      </c>
      <c r="AO44" s="62">
        <f t="shared" si="36"/>
        <v>355.1268923221744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87.976721919025678</v>
      </c>
      <c r="AV44" s="23">
        <f>EXP(-LN(2)/25)*AV43+(1-EXP(-LN(2)/25))/(LN(2)/25)*Calculateur!AQ44*Calculateur!AS44*VLOOKUP('Données projet'!$B$10,Paramètres!$A$1:$I$89,3,0)*0.475*44/12</f>
        <v>2.4642981688179151</v>
      </c>
      <c r="AW44" s="23">
        <f>EXP(-LN(2)/2)*AW43+(1-EXP(-LN(2)/2))/(LN(2)/2)*AQ44*AT44*VLOOKUP('Données projet'!$B$10,Paramètres!$A$1:$I$89,3,0)*0.475*44/12</f>
        <v>24.340353094387321</v>
      </c>
      <c r="AX44" s="23">
        <f t="shared" si="6"/>
        <v>114.78137318223092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66.291422991835233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66.833935615974326</v>
      </c>
      <c r="BJ44" s="62">
        <f t="shared" si="38"/>
        <v>294.79914393693775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47.55906608935485</v>
      </c>
      <c r="BQ44" s="23">
        <f>EXP(-LN(2)/25)*BQ43+(1-EXP(-LN(2)/25))/(LN(2)/25)*Calculateur!BL44*Calculateur!BN44*VLOOKUP('Données projet'!$B$11,Paramètres!$A$1:$I$89,3,0)*0.475*44/12</f>
        <v>2.2284364610226897</v>
      </c>
      <c r="BR44" s="23">
        <f>EXP(-LN(2)/2)*BR43+(1-EXP(-LN(2)/2))/(LN(2)/2)*BL44*BO44*VLOOKUP('Données projet'!$B$11,Paramètres!$A$1:$I$89,3,0)*0.475*44/12</f>
        <v>3.9338680441861592E-3</v>
      </c>
      <c r="BS44" s="24">
        <f t="shared" si="9"/>
        <v>49.791436418421725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66.291422991835233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66.291422991835233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66.291422991835233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66.291422991835233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66.291422991835233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66.291422991835233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66.291422991835233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1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3.6666666666666665</v>
      </c>
      <c r="H45" s="70">
        <f t="shared" si="1"/>
        <v>232.46666666666667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66.35575851179081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66.513705559911728</v>
      </c>
      <c r="T45" s="62">
        <f t="shared" si="34"/>
        <v>293.21772799887617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46.342154117535962</v>
      </c>
      <c r="AA45" s="23">
        <f>EXP(-LN(2)/25)*AA44+(1-EXP(-LN(2)/25))/(LN(2)/25)*Calculateur!V45*Calculateur!X45*VLOOKUP('Données projet'!$B$9,Paramètres!$A$1:$I$89,3,0)*0.475*44/12</f>
        <v>2.1542832869246697</v>
      </c>
      <c r="AB45" s="23">
        <f>EXP(-LN(2)/2)*AB44+(1-EXP(-LN(2)/2))/(LN(2)/2)*V45*Y45*VLOOKUP('Données projet'!$B$9,Paramètres!$A$1:$I$89,3,0)*0.475*44/12</f>
        <v>2.764703399786256E-3</v>
      </c>
      <c r="AC45" s="24">
        <f t="shared" si="3"/>
        <v>48.499202107860413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66.35575851179081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5.6843418860808015E-14</v>
      </c>
      <c r="AJ45" s="14">
        <f>AI45*VLOOKUP('Données projet'!$B$10,Paramètres!$A$1:$I$89,3,0)*VLOOKUP('Données projet'!$B$10,Paramètres!$A$1:$I$89,5,0)</f>
        <v>3.3992364478763198E-14</v>
      </c>
      <c r="AK45" s="14">
        <f t="shared" si="35"/>
        <v>5.790027782444094E-13</v>
      </c>
      <c r="AL45" s="22">
        <f t="shared" si="4"/>
        <v>1.0676332069095257E-12</v>
      </c>
      <c r="AM45" s="62">
        <f t="shared" si="5"/>
        <v>279.97111454323408</v>
      </c>
      <c r="AN45" s="62">
        <f ca="1">AVERAGE(OFFSET($AM$3,0,0,'Données projet'!$E$10+1,1))-AVERAGE(OFFSET($H$3,0,0,'Données projet'!$E$10+1,1))</f>
        <v>210.41468975391527</v>
      </c>
      <c r="AO45" s="62">
        <f t="shared" si="36"/>
        <v>355.1268923221744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86.251552062695424</v>
      </c>
      <c r="AV45" s="23">
        <f>EXP(-LN(2)/25)*AV44+(1-EXP(-LN(2)/25))/(LN(2)/25)*Calculateur!AQ45*Calculateur!AS45*VLOOKUP('Données projet'!$B$10,Paramètres!$A$1:$I$89,3,0)*0.475*44/12</f>
        <v>2.3969118057997809</v>
      </c>
      <c r="AW45" s="23">
        <f>EXP(-LN(2)/2)*AW44+(1-EXP(-LN(2)/2))/(LN(2)/2)*AQ45*AT45*VLOOKUP('Données projet'!$B$10,Paramètres!$A$1:$I$89,3,0)*0.475*44/12</f>
        <v>17.211228729516243</v>
      </c>
      <c r="AX45" s="23">
        <f t="shared" si="6"/>
        <v>105.85969259801143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66.35575851179081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66.833935615974326</v>
      </c>
      <c r="BJ45" s="62">
        <f t="shared" si="38"/>
        <v>294.79914393693775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46.626461811508598</v>
      </c>
      <c r="BQ45" s="23">
        <f>EXP(-LN(2)/25)*BQ44+(1-EXP(-LN(2)/25))/(LN(2)/25)*Calculateur!BL45*Calculateur!BN45*VLOOKUP('Données projet'!$B$11,Paramètres!$A$1:$I$89,3,0)*0.475*44/12</f>
        <v>2.1674997488076437</v>
      </c>
      <c r="BR45" s="23">
        <f>EXP(-LN(2)/2)*BR44+(1-EXP(-LN(2)/2))/(LN(2)/2)*BL45*BO45*VLOOKUP('Données projet'!$B$11,Paramètres!$A$1:$I$89,3,0)*0.475*44/12</f>
        <v>2.7816647703370941E-3</v>
      </c>
      <c r="BS45" s="24">
        <f t="shared" si="9"/>
        <v>48.79674322508658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66.35575851179081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66.35575851179081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66.35575851179081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66.35575851179081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66.35575851179081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66.35575851179081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66.35575851179081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1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3.6666666666666665</v>
      </c>
      <c r="H46" s="70">
        <f t="shared" si="1"/>
        <v>232.46666666666667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66.41897795430782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66.513705559911728</v>
      </c>
      <c r="T46" s="62">
        <f t="shared" si="34"/>
        <v>293.21772799887617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45.433412741214063</v>
      </c>
      <c r="AA46" s="23">
        <f>EXP(-LN(2)/25)*AA45+(1-EXP(-LN(2)/25))/(LN(2)/25)*Calculateur!V46*Calculateur!X46*VLOOKUP('Données projet'!$B$9,Paramètres!$A$1:$I$89,3,0)*0.475*44/12</f>
        <v>2.0953742971548803</v>
      </c>
      <c r="AB46" s="23">
        <f>EXP(-LN(2)/2)*AB45+(1-EXP(-LN(2)/2))/(LN(2)/2)*V46*Y46*VLOOKUP('Données projet'!$B$9,Paramètres!$A$1:$I$89,3,0)*0.475*44/12</f>
        <v>1.9549405219583642E-3</v>
      </c>
      <c r="AC46" s="24">
        <f t="shared" si="3"/>
        <v>47.530741978890902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66.41897795430782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5.6843418860808015E-14</v>
      </c>
      <c r="AJ46" s="14">
        <f>AI46*VLOOKUP('Données projet'!$B$10,Paramètres!$A$1:$I$89,3,0)*VLOOKUP('Données projet'!$B$10,Paramètres!$A$1:$I$89,5,0)</f>
        <v>3.3992364478763198E-14</v>
      </c>
      <c r="AK46" s="14">
        <f t="shared" si="35"/>
        <v>5.790027782444094E-13</v>
      </c>
      <c r="AL46" s="22">
        <f t="shared" si="4"/>
        <v>1.0676332069095257E-12</v>
      </c>
      <c r="AM46" s="62">
        <f t="shared" si="5"/>
        <v>280.2029191657964</v>
      </c>
      <c r="AN46" s="62">
        <f ca="1">AVERAGE(OFFSET($AM$3,0,0,'Données projet'!$E$10+1,1))-AVERAGE(OFFSET($H$3,0,0,'Données projet'!$E$10+1,1))</f>
        <v>210.41468975391527</v>
      </c>
      <c r="AO46" s="62">
        <f t="shared" si="36"/>
        <v>355.1268923221744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84.560211734998092</v>
      </c>
      <c r="AV46" s="23">
        <f>EXP(-LN(2)/25)*AV45+(1-EXP(-LN(2)/25))/(LN(2)/25)*Calculateur!AQ46*Calculateur!AS46*VLOOKUP('Données projet'!$B$10,Paramètres!$A$1:$I$89,3,0)*0.475*44/12</f>
        <v>2.3313681264220723</v>
      </c>
      <c r="AW46" s="23">
        <f>EXP(-LN(2)/2)*AW45+(1-EXP(-LN(2)/2))/(LN(2)/2)*AQ46*AT46*VLOOKUP('Données projet'!$B$10,Paramètres!$A$1:$I$89,3,0)*0.475*44/12</f>
        <v>12.170176547193662</v>
      </c>
      <c r="AX46" s="23">
        <f t="shared" si="6"/>
        <v>99.061756408613832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66.41897795430782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66.833935615974326</v>
      </c>
      <c r="BJ46" s="62">
        <f t="shared" si="38"/>
        <v>294.79914393693775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45.712145334718471</v>
      </c>
      <c r="BQ46" s="23">
        <f>EXP(-LN(2)/25)*BQ45+(1-EXP(-LN(2)/25))/(LN(2)/25)*Calculateur!BL46*Calculateur!BN46*VLOOKUP('Données projet'!$B$11,Paramètres!$A$1:$I$89,3,0)*0.475*44/12</f>
        <v>2.1082293541926407</v>
      </c>
      <c r="BR46" s="23">
        <f>EXP(-LN(2)/2)*BR45+(1-EXP(-LN(2)/2))/(LN(2)/2)*BL46*BO46*VLOOKUP('Données projet'!$B$11,Paramètres!$A$1:$I$89,3,0)*0.475*44/12</f>
        <v>1.9669340220930796E-3</v>
      </c>
      <c r="BS46" s="24">
        <f t="shared" si="9"/>
        <v>47.822341622933202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66.41897795430782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66.41897795430782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66.41897795430782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66.41897795430782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66.41897795430782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66.41897795430782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66.41897795430782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1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3.6666666666666665</v>
      </c>
      <c r="H47" s="70">
        <f t="shared" si="1"/>
        <v>232.46666666666667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66.481100680834672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66.513705559911728</v>
      </c>
      <c r="T47" s="62">
        <f t="shared" si="34"/>
        <v>293.21772799887617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44.542491229004327</v>
      </c>
      <c r="AA47" s="23">
        <f>EXP(-LN(2)/25)*AA46+(1-EXP(-LN(2)/25))/(LN(2)/25)*Calculateur!V47*Calculateur!X47*VLOOKUP('Données projet'!$B$9,Paramètres!$A$1:$I$89,3,0)*0.475*44/12</f>
        <v>2.0380761768082349</v>
      </c>
      <c r="AB47" s="23">
        <f>EXP(-LN(2)/2)*AB46+(1-EXP(-LN(2)/2))/(LN(2)/2)*V47*Y47*VLOOKUP('Données projet'!$B$9,Paramètres!$A$1:$I$89,3,0)*0.475*44/12</f>
        <v>1.382351699893128E-3</v>
      </c>
      <c r="AC47" s="24">
        <f t="shared" si="3"/>
        <v>46.581949757512454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66.481100680834672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5.6843418860808015E-14</v>
      </c>
      <c r="AJ47" s="14">
        <f>AI47*VLOOKUP('Données projet'!$B$10,Paramètres!$A$1:$I$89,3,0)*VLOOKUP('Données projet'!$B$10,Paramètres!$A$1:$I$89,5,0)</f>
        <v>3.3992364478763198E-14</v>
      </c>
      <c r="AK47" s="14">
        <f t="shared" si="35"/>
        <v>5.790027782444094E-13</v>
      </c>
      <c r="AL47" s="22">
        <f t="shared" si="4"/>
        <v>1.0676332069095257E-12</v>
      </c>
      <c r="AM47" s="62">
        <f t="shared" si="5"/>
        <v>280.43070249639487</v>
      </c>
      <c r="AN47" s="62">
        <f ca="1">AVERAGE(OFFSET($AM$3,0,0,'Données projet'!$E$10+1,1))-AVERAGE(OFFSET($H$3,0,0,'Données projet'!$E$10+1,1))</f>
        <v>210.41468975391527</v>
      </c>
      <c r="AO47" s="62">
        <f t="shared" si="36"/>
        <v>355.1268923221744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82.902037559511172</v>
      </c>
      <c r="AV47" s="23">
        <f>EXP(-LN(2)/25)*AV46+(1-EXP(-LN(2)/25))/(LN(2)/25)*Calculateur!AQ47*Calculateur!AS47*VLOOKUP('Données projet'!$B$10,Paramètres!$A$1:$I$89,3,0)*0.475*44/12</f>
        <v>2.2676167424037392</v>
      </c>
      <c r="AW47" s="23">
        <f>EXP(-LN(2)/2)*AW46+(1-EXP(-LN(2)/2))/(LN(2)/2)*AQ47*AT47*VLOOKUP('Données projet'!$B$10,Paramètres!$A$1:$I$89,3,0)*0.475*44/12</f>
        <v>8.6056143647581216</v>
      </c>
      <c r="AX47" s="23">
        <f t="shared" si="6"/>
        <v>93.775268666673043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66.481100680834672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66.833935615974326</v>
      </c>
      <c r="BJ47" s="62">
        <f t="shared" si="38"/>
        <v>294.79914393693775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44.815758046360209</v>
      </c>
      <c r="BQ47" s="23">
        <f>EXP(-LN(2)/25)*BQ46+(1-EXP(-LN(2)/25))/(LN(2)/25)*Calculateur!BL47*Calculateur!BN47*VLOOKUP('Données projet'!$B$11,Paramètres!$A$1:$I$89,3,0)*0.475*44/12</f>
        <v>2.0505797116352795</v>
      </c>
      <c r="BR47" s="23">
        <f>EXP(-LN(2)/2)*BR46+(1-EXP(-LN(2)/2))/(LN(2)/2)*BL47*BO47*VLOOKUP('Données projet'!$B$11,Paramètres!$A$1:$I$89,3,0)*0.475*44/12</f>
        <v>1.3908323851685471E-3</v>
      </c>
      <c r="BS47" s="24">
        <f t="shared" si="9"/>
        <v>46.867728590380658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66.481100680834672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66.481100680834672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66.481100680834672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66.481100680834672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66.481100680834672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66.481100680834672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66.481100680834672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1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3.6666666666666665</v>
      </c>
      <c r="H48" s="70">
        <f t="shared" si="1"/>
        <v>232.46666666666667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66.542145716941889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66.513705559911728</v>
      </c>
      <c r="T48" s="62">
        <f t="shared" si="34"/>
        <v>293.21772799887617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43.669040144240562</v>
      </c>
      <c r="AA48" s="23">
        <f>EXP(-LN(2)/25)*AA47+(1-EXP(-LN(2)/25))/(LN(2)/25)*Calculateur!V48*Calculateur!X48*VLOOKUP('Données projet'!$B$9,Paramètres!$A$1:$I$89,3,0)*0.475*44/12</f>
        <v>1.9823448765756457</v>
      </c>
      <c r="AB48" s="23">
        <f>EXP(-LN(2)/2)*AB47+(1-EXP(-LN(2)/2))/(LN(2)/2)*V48*Y48*VLOOKUP('Données projet'!$B$9,Paramètres!$A$1:$I$89,3,0)*0.475*44/12</f>
        <v>9.7747026097918209E-4</v>
      </c>
      <c r="AC48" s="24">
        <f t="shared" si="3"/>
        <v>45.652362491077184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66.542145716941889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5.6843418860808015E-14</v>
      </c>
      <c r="AJ48" s="14">
        <f>AI48*VLOOKUP('Données projet'!$B$10,Paramètres!$A$1:$I$89,3,0)*VLOOKUP('Données projet'!$B$10,Paramètres!$A$1:$I$89,5,0)</f>
        <v>3.3992364478763198E-14</v>
      </c>
      <c r="AK48" s="14">
        <f t="shared" si="35"/>
        <v>5.790027782444094E-13</v>
      </c>
      <c r="AL48" s="22">
        <f t="shared" si="4"/>
        <v>1.0676332069095257E-12</v>
      </c>
      <c r="AM48" s="62">
        <f t="shared" si="5"/>
        <v>280.65453429545471</v>
      </c>
      <c r="AN48" s="62">
        <f ca="1">AVERAGE(OFFSET($AM$3,0,0,'Données projet'!$E$10+1,1))-AVERAGE(OFFSET($H$3,0,0,'Données projet'!$E$10+1,1))</f>
        <v>210.41468975391527</v>
      </c>
      <c r="AO48" s="62">
        <f t="shared" si="36"/>
        <v>355.1268923221744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81.276379168219165</v>
      </c>
      <c r="AV48" s="23">
        <f>EXP(-LN(2)/25)*AV47+(1-EXP(-LN(2)/25))/(LN(2)/25)*Calculateur!AQ48*Calculateur!AS48*VLOOKUP('Données projet'!$B$10,Paramètres!$A$1:$I$89,3,0)*0.475*44/12</f>
        <v>2.2056086433339273</v>
      </c>
      <c r="AW48" s="23">
        <f>EXP(-LN(2)/2)*AW47+(1-EXP(-LN(2)/2))/(LN(2)/2)*AQ48*AT48*VLOOKUP('Données projet'!$B$10,Paramètres!$A$1:$I$89,3,0)*0.475*44/12</f>
        <v>6.0850882735968312</v>
      </c>
      <c r="AX48" s="23">
        <f t="shared" si="6"/>
        <v>89.567076085149921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66.542145716941889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66.833935615974326</v>
      </c>
      <c r="BJ48" s="62">
        <f t="shared" si="38"/>
        <v>294.79914393693775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43.936948365984392</v>
      </c>
      <c r="BQ48" s="23">
        <f>EXP(-LN(2)/25)*BQ47+(1-EXP(-LN(2)/25))/(LN(2)/25)*Calculateur!BL48*Calculateur!BN48*VLOOKUP('Données projet'!$B$11,Paramètres!$A$1:$I$89,3,0)*0.475*44/12</f>
        <v>1.9945065015853125</v>
      </c>
      <c r="BR48" s="23">
        <f>EXP(-LN(2)/2)*BR47+(1-EXP(-LN(2)/2))/(LN(2)/2)*BL48*BO48*VLOOKUP('Données projet'!$B$11,Paramètres!$A$1:$I$89,3,0)*0.475*44/12</f>
        <v>9.8346701104653979E-4</v>
      </c>
      <c r="BS48" s="24">
        <f t="shared" si="9"/>
        <v>45.932438334580752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66.542145716941889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66.542145716941889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66.542145716941889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66.542145716941889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66.542145716941889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66.542145716941889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66.542145716941889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1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3.6666666666666665</v>
      </c>
      <c r="H49" s="70">
        <f t="shared" si="1"/>
        <v>232.46666666666667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66.602131758148886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66.513705559911728</v>
      </c>
      <c r="T49" s="62">
        <f t="shared" si="34"/>
        <v>293.21772799887617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42.812716902496454</v>
      </c>
      <c r="AA49" s="23">
        <f>EXP(-LN(2)/25)*AA48+(1-EXP(-LN(2)/25))/(LN(2)/25)*Calculateur!V49*Calculateur!X49*VLOOKUP('Données projet'!$B$9,Paramètres!$A$1:$I$89,3,0)*0.475*44/12</f>
        <v>1.9281375516786983</v>
      </c>
      <c r="AB49" s="23">
        <f>EXP(-LN(2)/2)*AB48+(1-EXP(-LN(2)/2))/(LN(2)/2)*V49*Y49*VLOOKUP('Données projet'!$B$9,Paramètres!$A$1:$I$89,3,0)*0.475*44/12</f>
        <v>6.9117584994656401E-4</v>
      </c>
      <c r="AC49" s="24">
        <f t="shared" si="3"/>
        <v>44.741545630025094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66.602131758148886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5.6843418860808015E-14</v>
      </c>
      <c r="AJ49" s="14">
        <f>AI49*VLOOKUP('Données projet'!$B$10,Paramètres!$A$1:$I$89,3,0)*VLOOKUP('Données projet'!$B$10,Paramètres!$A$1:$I$89,5,0)</f>
        <v>3.3992364478763198E-14</v>
      </c>
      <c r="AK49" s="14">
        <f t="shared" si="35"/>
        <v>5.790027782444094E-13</v>
      </c>
      <c r="AL49" s="22">
        <f t="shared" si="4"/>
        <v>1.0676332069095257E-12</v>
      </c>
      <c r="AM49" s="62">
        <f t="shared" si="5"/>
        <v>280.87448311321367</v>
      </c>
      <c r="AN49" s="62">
        <f ca="1">AVERAGE(OFFSET($AM$3,0,0,'Données projet'!$E$10+1,1))-AVERAGE(OFFSET($H$3,0,0,'Données projet'!$E$10+1,1))</f>
        <v>210.41468975391527</v>
      </c>
      <c r="AO49" s="62">
        <f t="shared" si="36"/>
        <v>355.1268923221744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79.68259894642668</v>
      </c>
      <c r="AV49" s="23">
        <f>EXP(-LN(2)/25)*AV48+(1-EXP(-LN(2)/25))/(LN(2)/25)*Calculateur!AQ49*Calculateur!AS49*VLOOKUP('Données projet'!$B$10,Paramètres!$A$1:$I$89,3,0)*0.475*44/12</f>
        <v>2.1452961589940434</v>
      </c>
      <c r="AW49" s="23">
        <f>EXP(-LN(2)/2)*AW48+(1-EXP(-LN(2)/2))/(LN(2)/2)*AQ49*AT49*VLOOKUP('Données projet'!$B$10,Paramètres!$A$1:$I$89,3,0)*0.475*44/12</f>
        <v>4.3028071823790608</v>
      </c>
      <c r="AX49" s="23">
        <f t="shared" si="6"/>
        <v>86.130702287799778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66.602131758148886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66.833935615974326</v>
      </c>
      <c r="BJ49" s="62">
        <f t="shared" si="38"/>
        <v>294.79914393693775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43.075371607419768</v>
      </c>
      <c r="BQ49" s="23">
        <f>EXP(-LN(2)/25)*BQ48+(1-EXP(-LN(2)/25))/(LN(2)/25)*Calculateur!BL49*Calculateur!BN49*VLOOKUP('Données projet'!$B$11,Paramètres!$A$1:$I$89,3,0)*0.475*44/12</f>
        <v>1.9399666164129237</v>
      </c>
      <c r="BR49" s="23">
        <f>EXP(-LN(2)/2)*BR48+(1-EXP(-LN(2)/2))/(LN(2)/2)*BL49*BO49*VLOOKUP('Données projet'!$B$11,Paramètres!$A$1:$I$89,3,0)*0.475*44/12</f>
        <v>6.9541619258427353E-4</v>
      </c>
      <c r="BS49" s="24">
        <f t="shared" si="9"/>
        <v>45.016033640025277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66.602131758148886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66.602131758148886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66.602131758148886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66.602131758148886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66.602131758148886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66.602131758148886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66.602131758148886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1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3.6666666666666665</v>
      </c>
      <c r="H50" s="70">
        <f t="shared" si="1"/>
        <v>232.46666666666667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66.661077175649666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66.513705559911728</v>
      </c>
      <c r="T50" s="62">
        <f t="shared" si="34"/>
        <v>293.21772799887617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41.973185637217348</v>
      </c>
      <c r="AA50" s="23">
        <f>EXP(-LN(2)/25)*AA49+(1-EXP(-LN(2)/25))/(LN(2)/25)*Calculateur!V50*Calculateur!X50*VLOOKUP('Données projet'!$B$9,Paramètres!$A$1:$I$89,3,0)*0.475*44/12</f>
        <v>1.8754125289316972</v>
      </c>
      <c r="AB50" s="23">
        <f>EXP(-LN(2)/2)*AB49+(1-EXP(-LN(2)/2))/(LN(2)/2)*V50*Y50*VLOOKUP('Données projet'!$B$9,Paramètres!$A$1:$I$89,3,0)*0.475*44/12</f>
        <v>4.8873513048959105E-4</v>
      </c>
      <c r="AC50" s="24">
        <f t="shared" si="3"/>
        <v>43.849086901279534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66.661077175649666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5.6843418860808015E-14</v>
      </c>
      <c r="AJ50" s="14">
        <f>AI50*VLOOKUP('Données projet'!$B$10,Paramètres!$A$1:$I$89,3,0)*VLOOKUP('Données projet'!$B$10,Paramètres!$A$1:$I$89,5,0)</f>
        <v>3.3992364478763198E-14</v>
      </c>
      <c r="AK50" s="14">
        <f t="shared" si="35"/>
        <v>5.790027782444094E-13</v>
      </c>
      <c r="AL50" s="22">
        <f t="shared" si="4"/>
        <v>1.0676332069095257E-12</v>
      </c>
      <c r="AM50" s="62">
        <f t="shared" si="5"/>
        <v>281.09061631071654</v>
      </c>
      <c r="AN50" s="62">
        <f ca="1">AVERAGE(OFFSET($AM$3,0,0,'Données projet'!$E$10+1,1))-AVERAGE(OFFSET($H$3,0,0,'Données projet'!$E$10+1,1))</f>
        <v>210.41468975391527</v>
      </c>
      <c r="AO50" s="62">
        <f t="shared" si="36"/>
        <v>355.1268923221744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78.120071782673605</v>
      </c>
      <c r="AV50" s="23">
        <f>EXP(-LN(2)/25)*AV49+(1-EXP(-LN(2)/25))/(LN(2)/25)*Calculateur!AQ50*Calculateur!AS50*VLOOKUP('Données projet'!$B$10,Paramètres!$A$1:$I$89,3,0)*0.475*44/12</f>
        <v>2.0866329227101295</v>
      </c>
      <c r="AW50" s="23">
        <f>EXP(-LN(2)/2)*AW49+(1-EXP(-LN(2)/2))/(LN(2)/2)*AQ50*AT50*VLOOKUP('Données projet'!$B$10,Paramètres!$A$1:$I$89,3,0)*0.475*44/12</f>
        <v>3.0425441367984156</v>
      </c>
      <c r="AX50" s="23">
        <f t="shared" si="6"/>
        <v>83.249248842182141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66.661077175649666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66.833935615974326</v>
      </c>
      <c r="BJ50" s="62">
        <f t="shared" si="38"/>
        <v>294.79914393693775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42.230689843580663</v>
      </c>
      <c r="BQ50" s="23">
        <f>EXP(-LN(2)/25)*BQ49+(1-EXP(-LN(2)/25))/(LN(2)/25)*Calculateur!BL50*Calculateur!BN50*VLOOKUP('Données projet'!$B$11,Paramètres!$A$1:$I$89,3,0)*0.475*44/12</f>
        <v>1.8869181272687017</v>
      </c>
      <c r="BR50" s="23">
        <f>EXP(-LN(2)/2)*BR49+(1-EXP(-LN(2)/2))/(LN(2)/2)*BL50*BO50*VLOOKUP('Données projet'!$B$11,Paramètres!$A$1:$I$89,3,0)*0.475*44/12</f>
        <v>4.9173350552326989E-4</v>
      </c>
      <c r="BS50" s="24">
        <f t="shared" si="9"/>
        <v>44.11809970435489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66.661077175649666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66.661077175649666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66.661077175649666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66.661077175649666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66.661077175649666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66.661077175649666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66.661077175649666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1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3.6666666666666665</v>
      </c>
      <c r="H51" s="70">
        <f t="shared" si="1"/>
        <v>232.46666666666667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66.719000021938996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66.513705559911728</v>
      </c>
      <c r="T51" s="62">
        <f t="shared" si="34"/>
        <v>293.21772799887617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41.150117067986855</v>
      </c>
      <c r="AA51" s="23">
        <f>EXP(-LN(2)/25)*AA50+(1-EXP(-LN(2)/25))/(LN(2)/25)*Calculateur!V51*Calculateur!X51*VLOOKUP('Données projet'!$B$9,Paramètres!$A$1:$I$89,3,0)*0.475*44/12</f>
        <v>1.8241292747044013</v>
      </c>
      <c r="AB51" s="23">
        <f>EXP(-LN(2)/2)*AB50+(1-EXP(-LN(2)/2))/(LN(2)/2)*V51*Y51*VLOOKUP('Données projet'!$B$9,Paramètres!$A$1:$I$89,3,0)*0.475*44/12</f>
        <v>3.4558792497328201E-4</v>
      </c>
      <c r="AC51" s="24">
        <f t="shared" si="3"/>
        <v>42.974591930616235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66.719000021938996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5.6843418860808015E-14</v>
      </c>
      <c r="AJ51" s="14">
        <f>AI51*VLOOKUP('Données projet'!$B$10,Paramètres!$A$1:$I$89,3,0)*VLOOKUP('Données projet'!$B$10,Paramètres!$A$1:$I$89,5,0)</f>
        <v>3.3992364478763198E-14</v>
      </c>
      <c r="AK51" s="14">
        <f t="shared" si="35"/>
        <v>5.790027782444094E-13</v>
      </c>
      <c r="AL51" s="22">
        <f t="shared" si="4"/>
        <v>1.0676332069095257E-12</v>
      </c>
      <c r="AM51" s="62">
        <f t="shared" si="5"/>
        <v>281.30300008044406</v>
      </c>
      <c r="AN51" s="62">
        <f ca="1">AVERAGE(OFFSET($AM$3,0,0,'Données projet'!$E$10+1,1))-AVERAGE(OFFSET($H$3,0,0,'Données projet'!$E$10+1,1))</f>
        <v>210.41468975391527</v>
      </c>
      <c r="AO51" s="62">
        <f t="shared" si="36"/>
        <v>355.1268923221744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76.588184823554258</v>
      </c>
      <c r="AV51" s="23">
        <f>EXP(-LN(2)/25)*AV50+(1-EXP(-LN(2)/25))/(LN(2)/25)*Calculateur!AQ51*Calculateur!AS51*VLOOKUP('Données projet'!$B$10,Paramètres!$A$1:$I$89,3,0)*0.475*44/12</f>
        <v>2.0295738357073647</v>
      </c>
      <c r="AW51" s="23">
        <f>EXP(-LN(2)/2)*AW50+(1-EXP(-LN(2)/2))/(LN(2)/2)*AQ51*AT51*VLOOKUP('Données projet'!$B$10,Paramètres!$A$1:$I$89,3,0)*0.475*44/12</f>
        <v>2.1514035911895304</v>
      </c>
      <c r="AX51" s="23">
        <f t="shared" si="6"/>
        <v>80.76916225045116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66.719000021938996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66.833935615974326</v>
      </c>
      <c r="BJ51" s="62">
        <f t="shared" si="38"/>
        <v>294.79914393693775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41.402571773925445</v>
      </c>
      <c r="BQ51" s="23">
        <f>EXP(-LN(2)/25)*BQ50+(1-EXP(-LN(2)/25))/(LN(2)/25)*Calculateur!BL51*Calculateur!BN51*VLOOKUP('Données projet'!$B$11,Paramètres!$A$1:$I$89,3,0)*0.475*44/12</f>
        <v>1.8353202518498273</v>
      </c>
      <c r="BR51" s="23">
        <f>EXP(-LN(2)/2)*BR50+(1-EXP(-LN(2)/2))/(LN(2)/2)*BL51*BO51*VLOOKUP('Données projet'!$B$11,Paramètres!$A$1:$I$89,3,0)*0.475*44/12</f>
        <v>3.4770809629213677E-4</v>
      </c>
      <c r="BS51" s="24">
        <f t="shared" si="9"/>
        <v>43.238239733871566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66.719000021938996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66.719000021938996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66.719000021938996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66.719000021938996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66.719000021938996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66.719000021938996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66.719000021938996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1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3.6666666666666665</v>
      </c>
      <c r="H52" s="70">
        <f t="shared" si="1"/>
        <v>232.46666666666667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66.775918036341295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66.513705559911728</v>
      </c>
      <c r="T52" s="62">
        <f t="shared" si="34"/>
        <v>293.21772799887617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40.343188371376712</v>
      </c>
      <c r="AA52" s="23">
        <f>EXP(-LN(2)/25)*AA51+(1-EXP(-LN(2)/25))/(LN(2)/25)*Calculateur!V52*Calculateur!X52*VLOOKUP('Données projet'!$B$9,Paramètres!$A$1:$I$89,3,0)*0.475*44/12</f>
        <v>1.77424836376082</v>
      </c>
      <c r="AB52" s="23">
        <f>EXP(-LN(2)/2)*AB51+(1-EXP(-LN(2)/2))/(LN(2)/2)*V52*Y52*VLOOKUP('Données projet'!$B$9,Paramètres!$A$1:$I$89,3,0)*0.475*44/12</f>
        <v>2.4436756524479552E-4</v>
      </c>
      <c r="AC52" s="24">
        <f t="shared" si="3"/>
        <v>42.117681102702775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66.775918036341295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5.6843418860808015E-14</v>
      </c>
      <c r="AJ52" s="14">
        <f>AI52*VLOOKUP('Données projet'!$B$10,Paramètres!$A$1:$I$89,3,0)*VLOOKUP('Données projet'!$B$10,Paramètres!$A$1:$I$89,5,0)</f>
        <v>3.3992364478763198E-14</v>
      </c>
      <c r="AK52" s="14">
        <f t="shared" si="35"/>
        <v>5.790027782444094E-13</v>
      </c>
      <c r="AL52" s="22">
        <f t="shared" si="4"/>
        <v>1.0676332069095257E-12</v>
      </c>
      <c r="AM52" s="62">
        <f t="shared" si="5"/>
        <v>281.51169946658581</v>
      </c>
      <c r="AN52" s="62">
        <f ca="1">AVERAGE(OFFSET($AM$3,0,0,'Données projet'!$E$10+1,1))-AVERAGE(OFFSET($H$3,0,0,'Données projet'!$E$10+1,1))</f>
        <v>210.41468975391527</v>
      </c>
      <c r="AO52" s="62">
        <f t="shared" si="36"/>
        <v>355.1268923221744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75.086337233344466</v>
      </c>
      <c r="AV52" s="23">
        <f>EXP(-LN(2)/25)*AV51+(1-EXP(-LN(2)/25))/(LN(2)/25)*Calculateur!AQ52*Calculateur!AS52*VLOOKUP('Données projet'!$B$10,Paramètres!$A$1:$I$89,3,0)*0.475*44/12</f>
        <v>1.9740750324392975</v>
      </c>
      <c r="AW52" s="23">
        <f>EXP(-LN(2)/2)*AW51+(1-EXP(-LN(2)/2))/(LN(2)/2)*AQ52*AT52*VLOOKUP('Données projet'!$B$10,Paramètres!$A$1:$I$89,3,0)*0.475*44/12</f>
        <v>1.5212720683992078</v>
      </c>
      <c r="AX52" s="23">
        <f t="shared" si="6"/>
        <v>78.581684334182981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66.775918036341295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66.833935615974326</v>
      </c>
      <c r="BJ52" s="62">
        <f t="shared" si="38"/>
        <v>294.79914393693775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40.590692594514017</v>
      </c>
      <c r="BQ52" s="23">
        <f>EXP(-LN(2)/25)*BQ51+(1-EXP(-LN(2)/25))/(LN(2)/25)*Calculateur!BL52*Calculateur!BN52*VLOOKUP('Données projet'!$B$11,Paramètres!$A$1:$I$89,3,0)*0.475*44/12</f>
        <v>1.7851333230476965</v>
      </c>
      <c r="BR52" s="23">
        <f>EXP(-LN(2)/2)*BR51+(1-EXP(-LN(2)/2))/(LN(2)/2)*BL52*BO52*VLOOKUP('Données projet'!$B$11,Paramètres!$A$1:$I$89,3,0)*0.475*44/12</f>
        <v>2.4586675276163495E-4</v>
      </c>
      <c r="BS52" s="24">
        <f t="shared" si="9"/>
        <v>42.376071784314476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66.775918036341295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66.775918036341295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66.775918036341295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66.775918036341295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66.775918036341295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66.775918036341295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66.775918036341295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1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3.6666666666666665</v>
      </c>
      <c r="H53" s="70">
        <f t="shared" si="1"/>
        <v>232.46666666666667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66.831848650443334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66.513705559911728</v>
      </c>
      <c r="T53" s="62">
        <f t="shared" si="34"/>
        <v>293.21772799887617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39.552083054329188</v>
      </c>
      <c r="AA53" s="23">
        <f>EXP(-LN(2)/25)*AA52+(1-EXP(-LN(2)/25))/(LN(2)/25)*Calculateur!V53*Calculateur!X53*VLOOKUP('Données projet'!$B$9,Paramètres!$A$1:$I$89,3,0)*0.475*44/12</f>
        <v>1.7257314489501139</v>
      </c>
      <c r="AB53" s="23">
        <f>EXP(-LN(2)/2)*AB52+(1-EXP(-LN(2)/2))/(LN(2)/2)*V53*Y53*VLOOKUP('Données projet'!$B$9,Paramètres!$A$1:$I$89,3,0)*0.475*44/12</f>
        <v>1.72793962486641E-4</v>
      </c>
      <c r="AC53" s="24">
        <f t="shared" si="3"/>
        <v>41.277987297241786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66.831848650443334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5.6843418860808015E-14</v>
      </c>
      <c r="AJ53" s="14">
        <f>AI53*VLOOKUP('Données projet'!$B$10,Paramètres!$A$1:$I$89,3,0)*VLOOKUP('Données projet'!$B$10,Paramètres!$A$1:$I$89,5,0)</f>
        <v>3.3992364478763198E-14</v>
      </c>
      <c r="AK53" s="14">
        <f t="shared" si="35"/>
        <v>5.790027782444094E-13</v>
      </c>
      <c r="AL53" s="22">
        <f t="shared" si="4"/>
        <v>1.0676332069095257E-12</v>
      </c>
      <c r="AM53" s="62">
        <f t="shared" si="5"/>
        <v>281.71677838495998</v>
      </c>
      <c r="AN53" s="62">
        <f ca="1">AVERAGE(OFFSET($AM$3,0,0,'Données projet'!$E$10+1,1))-AVERAGE(OFFSET($H$3,0,0,'Données projet'!$E$10+1,1))</f>
        <v>210.41468975391527</v>
      </c>
      <c r="AO53" s="62">
        <f t="shared" si="36"/>
        <v>355.1268923221744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73.613939958342101</v>
      </c>
      <c r="AV53" s="23">
        <f>EXP(-LN(2)/25)*AV52+(1-EXP(-LN(2)/25))/(LN(2)/25)*Calculateur!AQ53*Calculateur!AS53*VLOOKUP('Données projet'!$B$10,Paramètres!$A$1:$I$89,3,0)*0.475*44/12</f>
        <v>1.9200938468651507</v>
      </c>
      <c r="AW53" s="23">
        <f>EXP(-LN(2)/2)*AW52+(1-EXP(-LN(2)/2))/(LN(2)/2)*AQ53*AT53*VLOOKUP('Données projet'!$B$10,Paramètres!$A$1:$I$89,3,0)*0.475*44/12</f>
        <v>1.0757017955947652</v>
      </c>
      <c r="AX53" s="23">
        <f t="shared" si="6"/>
        <v>76.609735600802026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66.831848650443334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66.833935615974326</v>
      </c>
      <c r="BJ53" s="62">
        <f t="shared" si="38"/>
        <v>294.79914393693775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39.794733870613442</v>
      </c>
      <c r="BQ53" s="23">
        <f>EXP(-LN(2)/25)*BQ52+(1-EXP(-LN(2)/25))/(LN(2)/25)*Calculateur!BL53*Calculateur!BN53*VLOOKUP('Données projet'!$B$11,Paramètres!$A$1:$I$89,3,0)*0.475*44/12</f>
        <v>1.7363187584528756</v>
      </c>
      <c r="BR53" s="23">
        <f>EXP(-LN(2)/2)*BR52+(1-EXP(-LN(2)/2))/(LN(2)/2)*BL53*BO53*VLOOKUP('Données projet'!$B$11,Paramètres!$A$1:$I$89,3,0)*0.475*44/12</f>
        <v>1.7385404814606838E-4</v>
      </c>
      <c r="BS53" s="24">
        <f t="shared" si="9"/>
        <v>41.531226483114459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66.831848650443334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66.831848650443334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66.831848650443334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66.831848650443334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66.831848650443334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66.831848650443334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66.831848650443334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1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3.6666666666666665</v>
      </c>
      <c r="H54" s="70">
        <f t="shared" si="1"/>
        <v>232.46666666666667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66.886808993432822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66.513705559911728</v>
      </c>
      <c r="T54" s="62">
        <f t="shared" si="34"/>
        <v>293.21772799887617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38.776490830022368</v>
      </c>
      <c r="AA54" s="23">
        <f>EXP(-LN(2)/25)*AA53+(1-EXP(-LN(2)/25))/(LN(2)/25)*Calculateur!V54*Calculateur!X54*VLOOKUP('Données projet'!$B$9,Paramètres!$A$1:$I$89,3,0)*0.475*44/12</f>
        <v>1.6785412317263004</v>
      </c>
      <c r="AB54" s="23">
        <f>EXP(-LN(2)/2)*AB53+(1-EXP(-LN(2)/2))/(LN(2)/2)*V54*Y54*VLOOKUP('Données projet'!$B$9,Paramètres!$A$1:$I$89,3,0)*0.475*44/12</f>
        <v>1.2218378262239776E-4</v>
      </c>
      <c r="AC54" s="24">
        <f t="shared" si="3"/>
        <v>40.45515424553129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66.886808993432822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5.6843418860808015E-14</v>
      </c>
      <c r="AJ54" s="14">
        <f>AI54*VLOOKUP('Données projet'!$B$10,Paramètres!$A$1:$I$89,3,0)*VLOOKUP('Données projet'!$B$10,Paramètres!$A$1:$I$89,5,0)</f>
        <v>3.3992364478763198E-14</v>
      </c>
      <c r="AK54" s="14">
        <f t="shared" si="35"/>
        <v>5.790027782444094E-13</v>
      </c>
      <c r="AL54" s="22">
        <f t="shared" si="4"/>
        <v>1.0676332069095257E-12</v>
      </c>
      <c r="AM54" s="62">
        <f t="shared" si="5"/>
        <v>281.91829964258807</v>
      </c>
      <c r="AN54" s="62">
        <f ca="1">AVERAGE(OFFSET($AM$3,0,0,'Données projet'!$E$10+1,1))-AVERAGE(OFFSET($H$3,0,0,'Données projet'!$E$10+1,1))</f>
        <v>210.41468975391527</v>
      </c>
      <c r="AO54" s="62">
        <f t="shared" si="36"/>
        <v>355.1268923221744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72.170415495828877</v>
      </c>
      <c r="AV54" s="23">
        <f>EXP(-LN(2)/25)*AV53+(1-EXP(-LN(2)/25))/(LN(2)/25)*Calculateur!AQ54*Calculateur!AS54*VLOOKUP('Données projet'!$B$10,Paramètres!$A$1:$I$89,3,0)*0.475*44/12</f>
        <v>1.8675887796492763</v>
      </c>
      <c r="AW54" s="23">
        <f>EXP(-LN(2)/2)*AW53+(1-EXP(-LN(2)/2))/(LN(2)/2)*AQ54*AT54*VLOOKUP('Données projet'!$B$10,Paramètres!$A$1:$I$89,3,0)*0.475*44/12</f>
        <v>0.76063603419960391</v>
      </c>
      <c r="AX54" s="23">
        <f t="shared" si="6"/>
        <v>74.798640309677765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66.886808993432822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66.833935615974326</v>
      </c>
      <c r="BJ54" s="62">
        <f t="shared" si="38"/>
        <v>294.79914393693775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39.014383411801674</v>
      </c>
      <c r="BQ54" s="23">
        <f>EXP(-LN(2)/25)*BQ53+(1-EXP(-LN(2)/25))/(LN(2)/25)*Calculateur!BL54*Calculateur!BN54*VLOOKUP('Données projet'!$B$11,Paramètres!$A$1:$I$89,3,0)*0.475*44/12</f>
        <v>1.6888390306939467</v>
      </c>
      <c r="BR54" s="23">
        <f>EXP(-LN(2)/2)*BR53+(1-EXP(-LN(2)/2))/(LN(2)/2)*BL54*BO54*VLOOKUP('Données projet'!$B$11,Paramètres!$A$1:$I$89,3,0)*0.475*44/12</f>
        <v>1.2293337638081747E-4</v>
      </c>
      <c r="BS54" s="24">
        <f t="shared" si="9"/>
        <v>40.703345375872004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66.886808993432822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66.886808993432822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66.886808993432822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66.886808993432822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66.886808993432822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66.886808993432822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66.886808993432822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1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3.6666666666666665</v>
      </c>
      <c r="H55" s="70">
        <f t="shared" si="1"/>
        <v>232.46666666666667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66.940815897344365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66.513705559911728</v>
      </c>
      <c r="T55" s="62">
        <f t="shared" si="34"/>
        <v>293.21772799887617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38.01610749616966</v>
      </c>
      <c r="AA55" s="23">
        <f>EXP(-LN(2)/25)*AA54+(1-EXP(-LN(2)/25))/(LN(2)/25)*Calculateur!V55*Calculateur!X55*VLOOKUP('Données projet'!$B$9,Paramètres!$A$1:$I$89,3,0)*0.475*44/12</f>
        <v>1.6326414334740977</v>
      </c>
      <c r="AB55" s="23">
        <f>EXP(-LN(2)/2)*AB54+(1-EXP(-LN(2)/2))/(LN(2)/2)*V55*Y55*VLOOKUP('Données projet'!$B$9,Paramètres!$A$1:$I$89,3,0)*0.475*44/12</f>
        <v>8.6396981243320502E-5</v>
      </c>
      <c r="AC55" s="24">
        <f t="shared" si="3"/>
        <v>39.648835326625004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66.940815897344365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5.6843418860808015E-14</v>
      </c>
      <c r="AJ55" s="14">
        <f>AI55*VLOOKUP('Données projet'!$B$10,Paramètres!$A$1:$I$89,3,0)*VLOOKUP('Données projet'!$B$10,Paramètres!$A$1:$I$89,5,0)</f>
        <v>3.3992364478763198E-14</v>
      </c>
      <c r="AK55" s="14">
        <f t="shared" si="35"/>
        <v>5.790027782444094E-13</v>
      </c>
      <c r="AL55" s="22">
        <f t="shared" si="4"/>
        <v>1.0676332069095257E-12</v>
      </c>
      <c r="AM55" s="62">
        <f t="shared" si="5"/>
        <v>282.11632495693038</v>
      </c>
      <c r="AN55" s="62">
        <f ca="1">AVERAGE(OFFSET($AM$3,0,0,'Données projet'!$E$10+1,1))-AVERAGE(OFFSET($H$3,0,0,'Données projet'!$E$10+1,1))</f>
        <v>210.41468975391527</v>
      </c>
      <c r="AO55" s="62">
        <f t="shared" si="36"/>
        <v>355.1268923221744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70.755197667562555</v>
      </c>
      <c r="AV55" s="23">
        <f>EXP(-LN(2)/25)*AV54+(1-EXP(-LN(2)/25))/(LN(2)/25)*Calculateur!AQ55*Calculateur!AS55*VLOOKUP('Données projet'!$B$10,Paramètres!$A$1:$I$89,3,0)*0.475*44/12</f>
        <v>1.8165194662575412</v>
      </c>
      <c r="AW55" s="23">
        <f>EXP(-LN(2)/2)*AW54+(1-EXP(-LN(2)/2))/(LN(2)/2)*AQ55*AT55*VLOOKUP('Données projet'!$B$10,Paramètres!$A$1:$I$89,3,0)*0.475*44/12</f>
        <v>0.5378508977973826</v>
      </c>
      <c r="AX55" s="23">
        <f t="shared" si="6"/>
        <v>73.109568031617485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66.940815897344365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66.833935615974326</v>
      </c>
      <c r="BJ55" s="62">
        <f t="shared" si="38"/>
        <v>294.79914393693775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38.249335149520419</v>
      </c>
      <c r="BQ55" s="23">
        <f>EXP(-LN(2)/25)*BQ54+(1-EXP(-LN(2)/25))/(LN(2)/25)*Calculateur!BL55*Calculateur!BN55*VLOOKUP('Données projet'!$B$11,Paramètres!$A$1:$I$89,3,0)*0.475*44/12</f>
        <v>1.6426576385874361</v>
      </c>
      <c r="BR55" s="23">
        <f>EXP(-LN(2)/2)*BR54+(1-EXP(-LN(2)/2))/(LN(2)/2)*BL55*BO55*VLOOKUP('Données projet'!$B$11,Paramètres!$A$1:$I$89,3,0)*0.475*44/12</f>
        <v>8.6927024073034191E-5</v>
      </c>
      <c r="BS55" s="24">
        <f t="shared" si="9"/>
        <v>39.892079715131928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66.940815897344365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66.940815897344365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66.940815897344365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66.940815897344365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66.940815897344365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66.940815897344365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66.940815897344365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1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3.6666666666666665</v>
      </c>
      <c r="H56" s="70">
        <f t="shared" si="1"/>
        <v>232.46666666666667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66.993885902214387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66.513705559911728</v>
      </c>
      <c r="T56" s="62">
        <f t="shared" si="34"/>
        <v>293.21772799887617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37.270634815705769</v>
      </c>
      <c r="AA56" s="23">
        <f>EXP(-LN(2)/25)*AA55+(1-EXP(-LN(2)/25))/(LN(2)/25)*Calculateur!V56*Calculateur!X56*VLOOKUP('Données projet'!$B$9,Paramètres!$A$1:$I$89,3,0)*0.475*44/12</f>
        <v>1.5879967676188671</v>
      </c>
      <c r="AB56" s="23">
        <f>EXP(-LN(2)/2)*AB55+(1-EXP(-LN(2)/2))/(LN(2)/2)*V56*Y56*VLOOKUP('Données projet'!$B$9,Paramètres!$A$1:$I$89,3,0)*0.475*44/12</f>
        <v>6.1091891311198881E-5</v>
      </c>
      <c r="AC56" s="24">
        <f t="shared" si="3"/>
        <v>38.858692675215948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66.993885902214387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5.6843418860808015E-14</v>
      </c>
      <c r="AJ56" s="14">
        <f>AI56*VLOOKUP('Données projet'!$B$10,Paramètres!$A$1:$I$89,3,0)*VLOOKUP('Données projet'!$B$10,Paramètres!$A$1:$I$89,5,0)</f>
        <v>3.3992364478763198E-14</v>
      </c>
      <c r="AK56" s="14">
        <f t="shared" si="35"/>
        <v>5.790027782444094E-13</v>
      </c>
      <c r="AL56" s="22">
        <f t="shared" si="4"/>
        <v>1.0676332069095257E-12</v>
      </c>
      <c r="AM56" s="62">
        <f t="shared" si="5"/>
        <v>282.31091497478718</v>
      </c>
      <c r="AN56" s="62">
        <f ca="1">AVERAGE(OFFSET($AM$3,0,0,'Données projet'!$E$10+1,1))-AVERAGE(OFFSET($H$3,0,0,'Données projet'!$E$10+1,1))</f>
        <v>210.41468975391527</v>
      </c>
      <c r="AO56" s="62">
        <f t="shared" si="36"/>
        <v>355.1268923221744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69.367731397710884</v>
      </c>
      <c r="AV56" s="23">
        <f>EXP(-LN(2)/25)*AV55+(1-EXP(-LN(2)/25))/(LN(2)/25)*Calculateur!AQ56*Calculateur!AS56*VLOOKUP('Données projet'!$B$10,Paramètres!$A$1:$I$89,3,0)*0.475*44/12</f>
        <v>1.7668466459261218</v>
      </c>
      <c r="AW56" s="23">
        <f>EXP(-LN(2)/2)*AW55+(1-EXP(-LN(2)/2))/(LN(2)/2)*AQ56*AT56*VLOOKUP('Données projet'!$B$10,Paramètres!$A$1:$I$89,3,0)*0.475*44/12</f>
        <v>0.38031801709980195</v>
      </c>
      <c r="AX56" s="23">
        <f t="shared" si="6"/>
        <v>71.514896060736802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66.993885902214387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66.833935615974326</v>
      </c>
      <c r="BJ56" s="62">
        <f t="shared" si="38"/>
        <v>294.79914393693775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37.499289017029142</v>
      </c>
      <c r="BQ56" s="23">
        <f>EXP(-LN(2)/25)*BQ55+(1-EXP(-LN(2)/25))/(LN(2)/25)*Calculateur!BL56*Calculateur!BN56*VLOOKUP('Données projet'!$B$11,Paramètres!$A$1:$I$89,3,0)*0.475*44/12</f>
        <v>1.5977390790766517</v>
      </c>
      <c r="BR56" s="23">
        <f>EXP(-LN(2)/2)*BR55+(1-EXP(-LN(2)/2))/(LN(2)/2)*BL56*BO56*VLOOKUP('Données projet'!$B$11,Paramètres!$A$1:$I$89,3,0)*0.475*44/12</f>
        <v>6.1466688190408737E-5</v>
      </c>
      <c r="BS56" s="24">
        <f t="shared" si="9"/>
        <v>39.097089562793983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66.993885902214387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66.993885902214387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66.993885902214387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66.993885902214387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66.993885902214387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66.993885902214387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66.993885902214387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1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3.6666666666666665</v>
      </c>
      <c r="H57" s="70">
        <f t="shared" si="1"/>
        <v>232.46666666666667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67.04603526114667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66.513705559911728</v>
      </c>
      <c r="T57" s="62">
        <f t="shared" si="34"/>
        <v>293.21772799887617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36.539780399812336</v>
      </c>
      <c r="AA57" s="23">
        <f>EXP(-LN(2)/25)*AA56+(1-EXP(-LN(2)/25))/(LN(2)/25)*Calculateur!V57*Calculateur!X57*VLOOKUP('Données projet'!$B$9,Paramètres!$A$1:$I$89,3,0)*0.475*44/12</f>
        <v>1.5445729124992087</v>
      </c>
      <c r="AB57" s="23">
        <f>EXP(-LN(2)/2)*AB56+(1-EXP(-LN(2)/2))/(LN(2)/2)*V57*Y57*VLOOKUP('Données projet'!$B$9,Paramètres!$A$1:$I$89,3,0)*0.475*44/12</f>
        <v>4.3198490621660251E-5</v>
      </c>
      <c r="AC57" s="24">
        <f t="shared" si="3"/>
        <v>38.084396510802165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67.04603526114667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5.6843418860808015E-14</v>
      </c>
      <c r="AJ57" s="14">
        <f>AI57*VLOOKUP('Données projet'!$B$10,Paramètres!$A$1:$I$89,3,0)*VLOOKUP('Données projet'!$B$10,Paramètres!$A$1:$I$89,5,0)</f>
        <v>3.3992364478763198E-14</v>
      </c>
      <c r="AK57" s="14">
        <f t="shared" si="35"/>
        <v>5.790027782444094E-13</v>
      </c>
      <c r="AL57" s="22">
        <f t="shared" si="4"/>
        <v>1.0676332069095257E-12</v>
      </c>
      <c r="AM57" s="62">
        <f t="shared" si="5"/>
        <v>282.50212929087218</v>
      </c>
      <c r="AN57" s="62">
        <f ca="1">AVERAGE(OFFSET($AM$3,0,0,'Données projet'!$E$10+1,1))-AVERAGE(OFFSET($H$3,0,0,'Données projet'!$E$10+1,1))</f>
        <v>210.41468975391527</v>
      </c>
      <c r="AO57" s="62">
        <f t="shared" si="36"/>
        <v>355.1268923221744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68.007472495140149</v>
      </c>
      <c r="AV57" s="23">
        <f>EXP(-LN(2)/25)*AV56+(1-EXP(-LN(2)/25))/(LN(2)/25)*Calculateur!AQ57*Calculateur!AS57*VLOOKUP('Données projet'!$B$10,Paramètres!$A$1:$I$89,3,0)*0.475*44/12</f>
        <v>1.7185321314788451</v>
      </c>
      <c r="AW57" s="23">
        <f>EXP(-LN(2)/2)*AW56+(1-EXP(-LN(2)/2))/(LN(2)/2)*AQ57*AT57*VLOOKUP('Données projet'!$B$10,Paramètres!$A$1:$I$89,3,0)*0.475*44/12</f>
        <v>0.2689254488986913</v>
      </c>
      <c r="AX57" s="23">
        <f t="shared" si="6"/>
        <v>69.994930075517672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67.04603526114667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66.833935615974326</v>
      </c>
      <c r="BJ57" s="62">
        <f t="shared" si="38"/>
        <v>294.79914393693775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36.763950831713046</v>
      </c>
      <c r="BQ57" s="23">
        <f>EXP(-LN(2)/25)*BQ56+(1-EXP(-LN(2)/25))/(LN(2)/25)*Calculateur!BL57*Calculateur!BN57*VLOOKUP('Données projet'!$B$11,Paramètres!$A$1:$I$89,3,0)*0.475*44/12</f>
        <v>1.5540488199378542</v>
      </c>
      <c r="BR57" s="23">
        <f>EXP(-LN(2)/2)*BR56+(1-EXP(-LN(2)/2))/(LN(2)/2)*BL57*BO57*VLOOKUP('Données projet'!$B$11,Paramètres!$A$1:$I$89,3,0)*0.475*44/12</f>
        <v>4.3463512036517096E-5</v>
      </c>
      <c r="BS57" s="24">
        <f t="shared" si="9"/>
        <v>38.318043115162936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67.04603526114667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67.04603526114667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67.04603526114667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67.04603526114667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67.04603526114667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67.04603526114667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67.04603526114667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1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3.6666666666666665</v>
      </c>
      <c r="H58" s="70">
        <f t="shared" si="1"/>
        <v>232.46666666666667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67.097279945289984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66.513705559911728</v>
      </c>
      <c r="T58" s="62">
        <f t="shared" si="34"/>
        <v>293.21772799887617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35.823257593237393</v>
      </c>
      <c r="AA58" s="23">
        <f>EXP(-LN(2)/25)*AA57+(1-EXP(-LN(2)/25))/(LN(2)/25)*Calculateur!V58*Calculateur!X58*VLOOKUP('Données projet'!$B$9,Paramètres!$A$1:$I$89,3,0)*0.475*44/12</f>
        <v>1.5023364849813585</v>
      </c>
      <c r="AB58" s="23">
        <f>EXP(-LN(2)/2)*AB57+(1-EXP(-LN(2)/2))/(LN(2)/2)*V58*Y58*VLOOKUP('Données projet'!$B$9,Paramètres!$A$1:$I$89,3,0)*0.475*44/12</f>
        <v>3.054594565559944E-5</v>
      </c>
      <c r="AC58" s="24">
        <f t="shared" si="3"/>
        <v>37.325624624164405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67.097279945289984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5.6843418860808015E-14</v>
      </c>
      <c r="AJ58" s="14">
        <f>AI58*VLOOKUP('Données projet'!$B$10,Paramètres!$A$1:$I$89,3,0)*VLOOKUP('Données projet'!$B$10,Paramètres!$A$1:$I$89,5,0)</f>
        <v>3.3992364478763198E-14</v>
      </c>
      <c r="AK58" s="14">
        <f t="shared" si="35"/>
        <v>5.790027782444094E-13</v>
      </c>
      <c r="AL58" s="22">
        <f t="shared" si="4"/>
        <v>1.0676332069095257E-12</v>
      </c>
      <c r="AM58" s="62">
        <f t="shared" si="5"/>
        <v>282.69002646606435</v>
      </c>
      <c r="AN58" s="62">
        <f ca="1">AVERAGE(OFFSET($AM$3,0,0,'Données projet'!$E$10+1,1))-AVERAGE(OFFSET($H$3,0,0,'Données projet'!$E$10+1,1))</f>
        <v>210.41468975391527</v>
      </c>
      <c r="AO58" s="62">
        <f t="shared" si="36"/>
        <v>355.1268923221744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66.673887439972816</v>
      </c>
      <c r="AV58" s="23">
        <f>EXP(-LN(2)/25)*AV57+(1-EXP(-LN(2)/25))/(LN(2)/25)*Calculateur!AQ58*Calculateur!AS58*VLOOKUP('Données projet'!$B$10,Paramètres!$A$1:$I$89,3,0)*0.475*44/12</f>
        <v>1.6715387799698791</v>
      </c>
      <c r="AW58" s="23">
        <f>EXP(-LN(2)/2)*AW57+(1-EXP(-LN(2)/2))/(LN(2)/2)*AQ58*AT58*VLOOKUP('Données projet'!$B$10,Paramètres!$A$1:$I$89,3,0)*0.475*44/12</f>
        <v>0.19015900854990098</v>
      </c>
      <c r="AX58" s="23">
        <f t="shared" si="6"/>
        <v>68.535585228492593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67.097279945289984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66.833935615974326</v>
      </c>
      <c r="BJ58" s="62">
        <f t="shared" si="38"/>
        <v>294.79914393693775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36.043032179698997</v>
      </c>
      <c r="BQ58" s="23">
        <f>EXP(-LN(2)/25)*BQ57+(1-EXP(-LN(2)/25))/(LN(2)/25)*Calculateur!BL58*Calculateur!BN58*VLOOKUP('Données projet'!$B$11,Paramètres!$A$1:$I$89,3,0)*0.475*44/12</f>
        <v>1.5115532732327779</v>
      </c>
      <c r="BR58" s="23">
        <f>EXP(-LN(2)/2)*BR57+(1-EXP(-LN(2)/2))/(LN(2)/2)*BL58*BO58*VLOOKUP('Données projet'!$B$11,Paramètres!$A$1:$I$89,3,0)*0.475*44/12</f>
        <v>3.0733344095204368E-5</v>
      </c>
      <c r="BS58" s="24">
        <f t="shared" si="9"/>
        <v>37.554616186275872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67.097279945289984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67.097279945289984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67.097279945289984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67.097279945289984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67.097279945289984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67.097279945289984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67.097279945289984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1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3.6666666666666665</v>
      </c>
      <c r="H59" s="70">
        <f t="shared" si="1"/>
        <v>232.46666666666667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67.147635648729363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66.513705559911728</v>
      </c>
      <c r="T59" s="62">
        <f t="shared" si="34"/>
        <v>293.21772799887617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35.120785361863632</v>
      </c>
      <c r="AA59" s="23">
        <f>EXP(-LN(2)/25)*AA58+(1-EXP(-LN(2)/25))/(LN(2)/25)*Calculateur!V59*Calculateur!X59*VLOOKUP('Données projet'!$B$9,Paramètres!$A$1:$I$89,3,0)*0.475*44/12</f>
        <v>1.4612550147951011</v>
      </c>
      <c r="AB59" s="23">
        <f>EXP(-LN(2)/2)*AB58+(1-EXP(-LN(2)/2))/(LN(2)/2)*V59*Y59*VLOOKUP('Données projet'!$B$9,Paramètres!$A$1:$I$89,3,0)*0.475*44/12</f>
        <v>2.1599245310830125E-5</v>
      </c>
      <c r="AC59" s="24">
        <f t="shared" si="3"/>
        <v>36.58206197590404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67.147635648729363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5.6843418860808015E-14</v>
      </c>
      <c r="AJ59" s="14">
        <f>AI59*VLOOKUP('Données projet'!$B$10,Paramètres!$A$1:$I$89,3,0)*VLOOKUP('Données projet'!$B$10,Paramètres!$A$1:$I$89,5,0)</f>
        <v>3.3992364478763198E-14</v>
      </c>
      <c r="AK59" s="14">
        <f t="shared" si="35"/>
        <v>5.790027782444094E-13</v>
      </c>
      <c r="AL59" s="22">
        <f t="shared" si="4"/>
        <v>1.0676332069095257E-12</v>
      </c>
      <c r="AM59" s="62">
        <f t="shared" si="5"/>
        <v>282.87466404534206</v>
      </c>
      <c r="AN59" s="62">
        <f ca="1">AVERAGE(OFFSET($AM$3,0,0,'Données projet'!$E$10+1,1))-AVERAGE(OFFSET($H$3,0,0,'Données projet'!$E$10+1,1))</f>
        <v>210.41468975391527</v>
      </c>
      <c r="AO59" s="62">
        <f t="shared" si="36"/>
        <v>355.1268923221744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65.366453174330744</v>
      </c>
      <c r="AV59" s="23">
        <f>EXP(-LN(2)/25)*AV58+(1-EXP(-LN(2)/25))/(LN(2)/25)*Calculateur!AQ59*Calculateur!AS59*VLOOKUP('Données projet'!$B$10,Paramètres!$A$1:$I$89,3,0)*0.475*44/12</f>
        <v>1.6258304641291987</v>
      </c>
      <c r="AW59" s="23">
        <f>EXP(-LN(2)/2)*AW58+(1-EXP(-LN(2)/2))/(LN(2)/2)*AQ59*AT59*VLOOKUP('Données projet'!$B$10,Paramètres!$A$1:$I$89,3,0)*0.475*44/12</f>
        <v>0.13446272444934565</v>
      </c>
      <c r="AX59" s="23">
        <f t="shared" si="6"/>
        <v>67.126746362909287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67.147635648729363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66.833935615974326</v>
      </c>
      <c r="BJ59" s="62">
        <f t="shared" si="38"/>
        <v>294.79914393693775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35.33625030273398</v>
      </c>
      <c r="BQ59" s="23">
        <f>EXP(-LN(2)/25)*BQ58+(1-EXP(-LN(2)/25))/(LN(2)/25)*Calculateur!BL59*Calculateur!BN59*VLOOKUP('Données projet'!$B$11,Paramètres!$A$1:$I$89,3,0)*0.475*44/12</f>
        <v>1.4702197694870955</v>
      </c>
      <c r="BR59" s="23">
        <f>EXP(-LN(2)/2)*BR58+(1-EXP(-LN(2)/2))/(LN(2)/2)*BL59*BO59*VLOOKUP('Données projet'!$B$11,Paramètres!$A$1:$I$89,3,0)*0.475*44/12</f>
        <v>2.1731756018258548E-5</v>
      </c>
      <c r="BS59" s="24">
        <f t="shared" si="9"/>
        <v>36.806491803977096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67.147635648729363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67.147635648729363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67.147635648729363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67.147635648729363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67.147635648729363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67.147635648729363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67.147635648729363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1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3.6666666666666665</v>
      </c>
      <c r="H60" s="70">
        <f t="shared" si="1"/>
        <v>232.46666666666667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67.197117793292549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66.513705559911728</v>
      </c>
      <c r="T60" s="62">
        <f t="shared" si="34"/>
        <v>293.21772799887617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34.432088182481351</v>
      </c>
      <c r="AA60" s="23">
        <f>EXP(-LN(2)/25)*AA59+(1-EXP(-LN(2)/25))/(LN(2)/25)*Calculateur!V60*Calculateur!X60*VLOOKUP('Données projet'!$B$9,Paramètres!$A$1:$I$89,3,0)*0.475*44/12</f>
        <v>1.4212969195714675</v>
      </c>
      <c r="AB60" s="23">
        <f>EXP(-LN(2)/2)*AB59+(1-EXP(-LN(2)/2))/(LN(2)/2)*V60*Y60*VLOOKUP('Données projet'!$B$9,Paramètres!$A$1:$I$89,3,0)*0.475*44/12</f>
        <v>1.527297282779972E-5</v>
      </c>
      <c r="AC60" s="24">
        <f t="shared" si="3"/>
        <v>35.85340037502565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67.197117793292549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5.6843418860808015E-14</v>
      </c>
      <c r="AJ60" s="14">
        <f>AI60*VLOOKUP('Données projet'!$B$10,Paramètres!$A$1:$I$89,3,0)*VLOOKUP('Données projet'!$B$10,Paramètres!$A$1:$I$89,5,0)</f>
        <v>3.3992364478763198E-14</v>
      </c>
      <c r="AK60" s="14">
        <f t="shared" si="35"/>
        <v>5.790027782444094E-13</v>
      </c>
      <c r="AL60" s="22">
        <f t="shared" si="4"/>
        <v>1.0676332069095257E-12</v>
      </c>
      <c r="AM60" s="62">
        <f t="shared" si="5"/>
        <v>283.05609857540708</v>
      </c>
      <c r="AN60" s="62">
        <f ca="1">AVERAGE(OFFSET($AM$3,0,0,'Données projet'!$E$10+1,1))-AVERAGE(OFFSET($H$3,0,0,'Données projet'!$E$10+1,1))</f>
        <v>210.41468975391527</v>
      </c>
      <c r="AO60" s="62">
        <f t="shared" si="36"/>
        <v>355.1268923221744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64.084656897181759</v>
      </c>
      <c r="AV60" s="23">
        <f>EXP(-LN(2)/25)*AV59+(1-EXP(-LN(2)/25))/(LN(2)/25)*Calculateur!AQ60*Calculateur!AS60*VLOOKUP('Données projet'!$B$10,Paramètres!$A$1:$I$89,3,0)*0.475*44/12</f>
        <v>1.5813720445888775</v>
      </c>
      <c r="AW60" s="23">
        <f>EXP(-LN(2)/2)*AW59+(1-EXP(-LN(2)/2))/(LN(2)/2)*AQ60*AT60*VLOOKUP('Données projet'!$B$10,Paramètres!$A$1:$I$89,3,0)*0.475*44/12</f>
        <v>9.5079504274950488E-2</v>
      </c>
      <c r="AX60" s="23">
        <f t="shared" si="6"/>
        <v>65.761108446045583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67.197117793292549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66.833935615974326</v>
      </c>
      <c r="BJ60" s="62">
        <f t="shared" si="38"/>
        <v>294.79914393693775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34.643327987281872</v>
      </c>
      <c r="BQ60" s="23">
        <f>EXP(-LN(2)/25)*BQ59+(1-EXP(-LN(2)/25))/(LN(2)/25)*Calculateur!BL60*Calculateur!BN60*VLOOKUP('Données projet'!$B$11,Paramètres!$A$1:$I$89,3,0)*0.475*44/12</f>
        <v>1.4300165325749734</v>
      </c>
      <c r="BR60" s="23">
        <f>EXP(-LN(2)/2)*BR59+(1-EXP(-LN(2)/2))/(LN(2)/2)*BL60*BO60*VLOOKUP('Données projet'!$B$11,Paramètres!$A$1:$I$89,3,0)*0.475*44/12</f>
        <v>1.5366672047602184E-5</v>
      </c>
      <c r="BS60" s="24">
        <f t="shared" si="9"/>
        <v>36.073359886528891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67.197117793292549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67.197117793292549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67.197117793292549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67.197117793292549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67.197117793292549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67.197117793292549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67.197117793292549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1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3.6666666666666665</v>
      </c>
      <c r="H61" s="70">
        <f t="shared" si="1"/>
        <v>232.46666666666667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67.245741533273076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66.513705559911728</v>
      </c>
      <c r="T61" s="62">
        <f t="shared" si="34"/>
        <v>293.21772799887617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33.756895934722955</v>
      </c>
      <c r="AA61" s="23">
        <f>EXP(-LN(2)/25)*AA60+(1-EXP(-LN(2)/25))/(LN(2)/25)*Calculateur!V61*Calculateur!X61*VLOOKUP('Données projet'!$B$9,Paramètres!$A$1:$I$89,3,0)*0.475*44/12</f>
        <v>1.3824314805630291</v>
      </c>
      <c r="AB61" s="23">
        <f>EXP(-LN(2)/2)*AB60+(1-EXP(-LN(2)/2))/(LN(2)/2)*V61*Y61*VLOOKUP('Données projet'!$B$9,Paramètres!$A$1:$I$89,3,0)*0.475*44/12</f>
        <v>1.0799622655415063E-5</v>
      </c>
      <c r="AC61" s="24">
        <f t="shared" si="3"/>
        <v>35.139338214908641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67.245741533273076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5.6843418860808015E-14</v>
      </c>
      <c r="AJ61" s="14">
        <f>AI61*VLOOKUP('Données projet'!$B$10,Paramètres!$A$1:$I$89,3,0)*VLOOKUP('Données projet'!$B$10,Paramètres!$A$1:$I$89,5,0)</f>
        <v>3.3992364478763198E-14</v>
      </c>
      <c r="AK61" s="14">
        <f t="shared" si="35"/>
        <v>5.790027782444094E-13</v>
      </c>
      <c r="AL61" s="22">
        <f t="shared" si="4"/>
        <v>1.0676332069095257E-12</v>
      </c>
      <c r="AM61" s="62">
        <f t="shared" si="5"/>
        <v>283.23438562200238</v>
      </c>
      <c r="AN61" s="62">
        <f ca="1">AVERAGE(OFFSET($AM$3,0,0,'Données projet'!$E$10+1,1))-AVERAGE(OFFSET($H$3,0,0,'Données projet'!$E$10+1,1))</f>
        <v>210.41468975391527</v>
      </c>
      <c r="AO61" s="62">
        <f t="shared" si="36"/>
        <v>355.1268923221744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62.827995863209132</v>
      </c>
      <c r="AV61" s="23">
        <f>EXP(-LN(2)/25)*AV60+(1-EXP(-LN(2)/25))/(LN(2)/25)*Calculateur!AQ61*Calculateur!AS61*VLOOKUP('Données projet'!$B$10,Paramètres!$A$1:$I$89,3,0)*0.475*44/12</f>
        <v>1.5381293428688532</v>
      </c>
      <c r="AW61" s="23">
        <f>EXP(-LN(2)/2)*AW60+(1-EXP(-LN(2)/2))/(LN(2)/2)*AQ61*AT61*VLOOKUP('Données projet'!$B$10,Paramètres!$A$1:$I$89,3,0)*0.475*44/12</f>
        <v>6.7231362224672825E-2</v>
      </c>
      <c r="AX61" s="23">
        <f t="shared" si="6"/>
        <v>64.433356568302656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67.245741533273076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66.833935615974326</v>
      </c>
      <c r="BJ61" s="62">
        <f t="shared" si="38"/>
        <v>294.79914393693775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33.963993455794899</v>
      </c>
      <c r="BQ61" s="23">
        <f>EXP(-LN(2)/25)*BQ60+(1-EXP(-LN(2)/25))/(LN(2)/25)*Calculateur!BL61*Calculateur!BN61*VLOOKUP('Données projet'!$B$11,Paramètres!$A$1:$I$89,3,0)*0.475*44/12</f>
        <v>1.3909126552904096</v>
      </c>
      <c r="BR61" s="23">
        <f>EXP(-LN(2)/2)*BR60+(1-EXP(-LN(2)/2))/(LN(2)/2)*BL61*BO61*VLOOKUP('Données projet'!$B$11,Paramètres!$A$1:$I$89,3,0)*0.475*44/12</f>
        <v>1.0865878009129274E-5</v>
      </c>
      <c r="BS61" s="24">
        <f t="shared" si="9"/>
        <v>35.354916976963317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67.245741533273076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67.245741533273076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67.245741533273076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67.245741533273076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67.245741533273076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67.245741533273076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67.245741533273076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1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3.6666666666666665</v>
      </c>
      <c r="H62" s="70">
        <f t="shared" si="1"/>
        <v>232.46666666666667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67.293521760071329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66.513705559911728</v>
      </c>
      <c r="T62" s="62">
        <f t="shared" si="34"/>
        <v>293.21772799887617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33.0949437951165</v>
      </c>
      <c r="AA62" s="23">
        <f>EXP(-LN(2)/25)*AA61+(1-EXP(-LN(2)/25))/(LN(2)/25)*Calculateur!V62*Calculateur!X62*VLOOKUP('Données projet'!$B$9,Paramètres!$A$1:$I$89,3,0)*0.475*44/12</f>
        <v>1.344628819028121</v>
      </c>
      <c r="AB62" s="23">
        <f>EXP(-LN(2)/2)*AB61+(1-EXP(-LN(2)/2))/(LN(2)/2)*V62*Y62*VLOOKUP('Données projet'!$B$9,Paramètres!$A$1:$I$89,3,0)*0.475*44/12</f>
        <v>7.6364864138998601E-6</v>
      </c>
      <c r="AC62" s="24">
        <f t="shared" si="3"/>
        <v>34.439580250631039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67.293521760071329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5.6843418860808015E-14</v>
      </c>
      <c r="AJ62" s="14">
        <f>AI62*VLOOKUP('Données projet'!$B$10,Paramètres!$A$1:$I$89,3,0)*VLOOKUP('Données projet'!$B$10,Paramètres!$A$1:$I$89,5,0)</f>
        <v>3.3992364478763198E-14</v>
      </c>
      <c r="AK62" s="14">
        <f t="shared" si="35"/>
        <v>5.790027782444094E-13</v>
      </c>
      <c r="AL62" s="22">
        <f t="shared" si="4"/>
        <v>1.0676332069095257E-12</v>
      </c>
      <c r="AM62" s="62">
        <f t="shared" si="5"/>
        <v>283.40957978692927</v>
      </c>
      <c r="AN62" s="62">
        <f ca="1">AVERAGE(OFFSET($AM$3,0,0,'Données projet'!$E$10+1,1))-AVERAGE(OFFSET($H$3,0,0,'Données projet'!$E$10+1,1))</f>
        <v>210.41468975391527</v>
      </c>
      <c r="AO62" s="62">
        <f t="shared" si="36"/>
        <v>355.1268923221744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61.595977185625166</v>
      </c>
      <c r="AV62" s="23">
        <f>EXP(-LN(2)/25)*AV61+(1-EXP(-LN(2)/25))/(LN(2)/25)*Calculateur!AQ62*Calculateur!AS62*VLOOKUP('Données projet'!$B$10,Paramètres!$A$1:$I$89,3,0)*0.475*44/12</f>
        <v>1.4960691151013976</v>
      </c>
      <c r="AW62" s="23">
        <f>EXP(-LN(2)/2)*AW61+(1-EXP(-LN(2)/2))/(LN(2)/2)*AQ62*AT62*VLOOKUP('Données projet'!$B$10,Paramètres!$A$1:$I$89,3,0)*0.475*44/12</f>
        <v>4.7539752137475244E-2</v>
      </c>
      <c r="AX62" s="23">
        <f t="shared" si="6"/>
        <v>63.13958605286404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67.293521760071329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66.833935615974326</v>
      </c>
      <c r="BJ62" s="62">
        <f t="shared" si="38"/>
        <v>294.79914393693775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33.297980260117235</v>
      </c>
      <c r="BQ62" s="23">
        <f>EXP(-LN(2)/25)*BQ61+(1-EXP(-LN(2)/25))/(LN(2)/25)*Calculateur!BL62*Calculateur!BN62*VLOOKUP('Données projet'!$B$11,Paramètres!$A$1:$I$89,3,0)*0.475*44/12</f>
        <v>1.3528780755865759</v>
      </c>
      <c r="BR62" s="23">
        <f>EXP(-LN(2)/2)*BR61+(1-EXP(-LN(2)/2))/(LN(2)/2)*BL62*BO62*VLOOKUP('Données projet'!$B$11,Paramètres!$A$1:$I$89,3,0)*0.475*44/12</f>
        <v>7.6833360238010921E-6</v>
      </c>
      <c r="BS62" s="24">
        <f t="shared" si="9"/>
        <v>34.650866019039832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67.293521760071329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67.293521760071329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67.293521760071329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67.293521760071329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67.293521760071329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67.293521760071329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67.293521760071329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1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3.6666666666666665</v>
      </c>
      <c r="H63" s="70">
        <f t="shared" si="1"/>
        <v>232.46666666666667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67.340473106755226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66.513705559911728</v>
      </c>
      <c r="T63" s="62">
        <f t="shared" si="34"/>
        <v>293.21772799887617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32.445972133216785</v>
      </c>
      <c r="AA63" s="23">
        <f>EXP(-LN(2)/25)*AA62+(1-EXP(-LN(2)/25))/(LN(2)/25)*Calculateur!V63*Calculateur!X63*VLOOKUP('Données projet'!$B$9,Paramètres!$A$1:$I$89,3,0)*0.475*44/12</f>
        <v>1.3078598732608406</v>
      </c>
      <c r="AB63" s="23">
        <f>EXP(-LN(2)/2)*AB62+(1-EXP(-LN(2)/2))/(LN(2)/2)*V63*Y63*VLOOKUP('Données projet'!$B$9,Paramètres!$A$1:$I$89,3,0)*0.475*44/12</f>
        <v>5.3998113277075313E-6</v>
      </c>
      <c r="AC63" s="24">
        <f t="shared" si="3"/>
        <v>33.753837406288952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67.340473106755226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5.6843418860808015E-14</v>
      </c>
      <c r="AJ63" s="14">
        <f>AI63*VLOOKUP('Données projet'!$B$10,Paramètres!$A$1:$I$89,3,0)*VLOOKUP('Données projet'!$B$10,Paramètres!$A$1:$I$89,5,0)</f>
        <v>3.3992364478763198E-14</v>
      </c>
      <c r="AK63" s="14">
        <f t="shared" si="35"/>
        <v>5.790027782444094E-13</v>
      </c>
      <c r="AL63" s="22">
        <f t="shared" si="4"/>
        <v>1.0676332069095257E-12</v>
      </c>
      <c r="AM63" s="62">
        <f t="shared" si="5"/>
        <v>283.58173472477023</v>
      </c>
      <c r="AN63" s="62">
        <f ca="1">AVERAGE(OFFSET($AM$3,0,0,'Données projet'!$E$10+1,1))-AVERAGE(OFFSET($H$3,0,0,'Données projet'!$E$10+1,1))</f>
        <v>210.41468975391527</v>
      </c>
      <c r="AO63" s="62">
        <f t="shared" si="36"/>
        <v>355.1268923221744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60.388117642851427</v>
      </c>
      <c r="AV63" s="23">
        <f>EXP(-LN(2)/25)*AV62+(1-EXP(-LN(2)/25))/(LN(2)/25)*Calculateur!AQ63*Calculateur!AS63*VLOOKUP('Données projet'!$B$10,Paramètres!$A$1:$I$89,3,0)*0.475*44/12</f>
        <v>1.4551590264740943</v>
      </c>
      <c r="AW63" s="23">
        <f>EXP(-LN(2)/2)*AW62+(1-EXP(-LN(2)/2))/(LN(2)/2)*AQ63*AT63*VLOOKUP('Données projet'!$B$10,Paramètres!$A$1:$I$89,3,0)*0.475*44/12</f>
        <v>3.3615681112336412E-2</v>
      </c>
      <c r="AX63" s="23">
        <f t="shared" si="6"/>
        <v>61.876892350437856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67.340473106755226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66.833935615974326</v>
      </c>
      <c r="BJ63" s="62">
        <f t="shared" si="38"/>
        <v>294.79914393693775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32.645027176978871</v>
      </c>
      <c r="BQ63" s="23">
        <f>EXP(-LN(2)/25)*BQ62+(1-EXP(-LN(2)/25))/(LN(2)/25)*Calculateur!BL63*Calculateur!BN63*VLOOKUP('Données projet'!$B$11,Paramètres!$A$1:$I$89,3,0)*0.475*44/12</f>
        <v>1.3158835534648949</v>
      </c>
      <c r="BR63" s="23">
        <f>EXP(-LN(2)/2)*BR62+(1-EXP(-LN(2)/2))/(LN(2)/2)*BL63*BO63*VLOOKUP('Données projet'!$B$11,Paramètres!$A$1:$I$89,3,0)*0.475*44/12</f>
        <v>5.432939004564637E-6</v>
      </c>
      <c r="BS63" s="24">
        <f t="shared" si="9"/>
        <v>33.96091616338277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67.340473106755226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67.340473106755226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67.340473106755226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67.340473106755226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67.340473106755226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67.340473106755226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67.340473106755226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1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3.6666666666666665</v>
      </c>
      <c r="H64" s="70">
        <f t="shared" si="1"/>
        <v>232.46666666666667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67.386609952541633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66.513705559911728</v>
      </c>
      <c r="T64" s="62">
        <f t="shared" si="34"/>
        <v>293.21772799887617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31.809726409773294</v>
      </c>
      <c r="AA64" s="23">
        <f>EXP(-LN(2)/25)*AA63+(1-EXP(-LN(2)/25))/(LN(2)/25)*Calculateur!V64*Calculateur!X64*VLOOKUP('Données projet'!$B$9,Paramètres!$A$1:$I$89,3,0)*0.475*44/12</f>
        <v>1.2720963762491613</v>
      </c>
      <c r="AB64" s="23">
        <f>EXP(-LN(2)/2)*AB63+(1-EXP(-LN(2)/2))/(LN(2)/2)*V64*Y64*VLOOKUP('Données projet'!$B$9,Paramètres!$A$1:$I$89,3,0)*0.475*44/12</f>
        <v>3.81824320694993E-6</v>
      </c>
      <c r="AC64" s="24">
        <f t="shared" si="3"/>
        <v>33.081826604265665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67.386609952541633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3.3992364478763198E-14</v>
      </c>
      <c r="AK64" s="14">
        <f t="shared" si="35"/>
        <v>5.790027782444094E-13</v>
      </c>
      <c r="AL64" s="22">
        <f t="shared" si="4"/>
        <v>1.0676332069095257E-12</v>
      </c>
      <c r="AM64" s="62">
        <f t="shared" si="5"/>
        <v>283.75090315932039</v>
      </c>
      <c r="AN64" s="62">
        <f ca="1">AVERAGE(OFFSET($AM$3,0,0,'Données projet'!$E$10+1,1))-AVERAGE(OFFSET($H$3,0,0,'Données projet'!$E$10+1,1))</f>
        <v>210.41468975391527</v>
      </c>
      <c r="AO64" s="62">
        <f t="shared" si="36"/>
        <v>355.1268923221744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59.203943488989907</v>
      </c>
      <c r="AV64" s="23">
        <f>EXP(-LN(2)/25)*AV63+(1-EXP(-LN(2)/25))/(LN(2)/25)*Calculateur!AQ64*Calculateur!AS64*VLOOKUP('Données projet'!$B$10,Paramètres!$A$1:$I$89,3,0)*0.475*44/12</f>
        <v>1.4153676263716728</v>
      </c>
      <c r="AW64" s="23">
        <f>EXP(-LN(2)/2)*AW63+(1-EXP(-LN(2)/2))/(LN(2)/2)*AQ64*AT64*VLOOKUP('Données projet'!$B$10,Paramètres!$A$1:$I$89,3,0)*0.475*44/12</f>
        <v>2.3769876068737622E-2</v>
      </c>
      <c r="AX64" s="23">
        <f t="shared" si="6"/>
        <v>60.643080991430324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67.386609952541633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66.833935615974326</v>
      </c>
      <c r="BJ64" s="62">
        <f t="shared" si="38"/>
        <v>294.79914393693775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32.004878105538793</v>
      </c>
      <c r="BQ64" s="23">
        <f>EXP(-LN(2)/25)*BQ63+(1-EXP(-LN(2)/25))/(LN(2)/25)*Calculateur!BL64*Calculateur!BN64*VLOOKUP('Données projet'!$B$11,Paramètres!$A$1:$I$89,3,0)*0.475*44/12</f>
        <v>1.2799006484960889</v>
      </c>
      <c r="BR64" s="23">
        <f>EXP(-LN(2)/2)*BR63+(1-EXP(-LN(2)/2))/(LN(2)/2)*BL64*BO64*VLOOKUP('Données projet'!$B$11,Paramètres!$A$1:$I$89,3,0)*0.475*44/12</f>
        <v>3.8416680119005461E-6</v>
      </c>
      <c r="BS64" s="24">
        <f t="shared" si="9"/>
        <v>33.284782595702893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67.386609952541633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67.386609952541633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67.386609952541633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67.386609952541633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67.386609952541633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67.386609952541633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67.386609952541633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1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3.6666666666666665</v>
      </c>
      <c r="H65" s="70">
        <f t="shared" si="1"/>
        <v>232.46666666666667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67.431946427200188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66.513705559911728</v>
      </c>
      <c r="T65" s="62">
        <f t="shared" si="34"/>
        <v>293.21772799887617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31.185957076894958</v>
      </c>
      <c r="AA65" s="23">
        <f>EXP(-LN(2)/25)*AA64+(1-EXP(-LN(2)/25))/(LN(2)/25)*Calculateur!V65*Calculateur!X65*VLOOKUP('Données projet'!$B$9,Paramètres!$A$1:$I$89,3,0)*0.475*44/12</f>
        <v>1.2373108339439869</v>
      </c>
      <c r="AB65" s="23">
        <f>EXP(-LN(2)/2)*AB64+(1-EXP(-LN(2)/2))/(LN(2)/2)*V65*Y65*VLOOKUP('Données projet'!$B$9,Paramètres!$A$1:$I$89,3,0)*0.475*44/12</f>
        <v>2.6999056638537657E-6</v>
      </c>
      <c r="AC65" s="24">
        <f t="shared" si="3"/>
        <v>32.423270610744609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67.431946427200188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3.3992364478763198E-14</v>
      </c>
      <c r="AK65" s="14">
        <f t="shared" si="35"/>
        <v>5.790027782444094E-13</v>
      </c>
      <c r="AL65" s="22">
        <f t="shared" si="4"/>
        <v>1.0676332069095257E-12</v>
      </c>
      <c r="AM65" s="62">
        <f t="shared" si="5"/>
        <v>283.91713689973511</v>
      </c>
      <c r="AN65" s="62">
        <f ca="1">AVERAGE(OFFSET($AM$3,0,0,'Données projet'!$E$10+1,1))-AVERAGE(OFFSET($H$3,0,0,'Données projet'!$E$10+1,1))</f>
        <v>210.41468975391527</v>
      </c>
      <c r="AO65" s="62">
        <f t="shared" si="36"/>
        <v>355.1268923221744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58.042990268010691</v>
      </c>
      <c r="AV65" s="23">
        <f>EXP(-LN(2)/25)*AV64+(1-EXP(-LN(2)/25))/(LN(2)/25)*Calculateur!AQ65*Calculateur!AS65*VLOOKUP('Données projet'!$B$10,Paramètres!$A$1:$I$89,3,0)*0.475*44/12</f>
        <v>1.3766643241975909</v>
      </c>
      <c r="AW65" s="23">
        <f>EXP(-LN(2)/2)*AW64+(1-EXP(-LN(2)/2))/(LN(2)/2)*AQ65*AT65*VLOOKUP('Données projet'!$B$10,Paramètres!$A$1:$I$89,3,0)*0.475*44/12</f>
        <v>1.6807840556168206E-2</v>
      </c>
      <c r="AX65" s="23">
        <f t="shared" si="6"/>
        <v>59.436462432764451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67.431946427200188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66.833935615974326</v>
      </c>
      <c r="BJ65" s="62">
        <f t="shared" si="38"/>
        <v>294.79914393693775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31.377281966937279</v>
      </c>
      <c r="BQ65" s="23">
        <f>EXP(-LN(2)/25)*BQ64+(1-EXP(-LN(2)/25))/(LN(2)/25)*Calculateur!BL65*Calculateur!BN65*VLOOKUP('Données projet'!$B$11,Paramètres!$A$1:$I$89,3,0)*0.475*44/12</f>
        <v>1.2449016979559135</v>
      </c>
      <c r="BR65" s="23">
        <f>EXP(-LN(2)/2)*BR64+(1-EXP(-LN(2)/2))/(LN(2)/2)*BL65*BO65*VLOOKUP('Données projet'!$B$11,Paramètres!$A$1:$I$89,3,0)*0.475*44/12</f>
        <v>2.7164695022823185E-6</v>
      </c>
      <c r="BS65" s="24">
        <f t="shared" si="9"/>
        <v>32.622186381362695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67.431946427200188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67.431946427200188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67.431946427200188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67.431946427200188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67.431946427200188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67.431946427200188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67.431946427200188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1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3.6666666666666665</v>
      </c>
      <c r="H66" s="70">
        <f t="shared" si="1"/>
        <v>232.46666666666667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67.476496415380581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66.513705559911728</v>
      </c>
      <c r="T66" s="62">
        <f t="shared" si="34"/>
        <v>293.21772799887617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30.574419480172644</v>
      </c>
      <c r="AA66" s="23">
        <f>EXP(-LN(2)/25)*AA65+(1-EXP(-LN(2)/25))/(LN(2)/25)*Calculateur!V66*Calculateur!X66*VLOOKUP('Données projet'!$B$9,Paramètres!$A$1:$I$89,3,0)*0.475*44/12</f>
        <v>1.2034765041224398</v>
      </c>
      <c r="AB66" s="23">
        <f>EXP(-LN(2)/2)*AB65+(1-EXP(-LN(2)/2))/(LN(2)/2)*V66*Y66*VLOOKUP('Données projet'!$B$9,Paramètres!$A$1:$I$89,3,0)*0.475*44/12</f>
        <v>1.909121603474965E-6</v>
      </c>
      <c r="AC66" s="24">
        <f t="shared" si="3"/>
        <v>31.777897893416686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67.476496415380581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3.3992364478763198E-14</v>
      </c>
      <c r="AK66" s="14">
        <f t="shared" si="35"/>
        <v>5.790027782444094E-13</v>
      </c>
      <c r="AL66" s="22">
        <f t="shared" si="4"/>
        <v>1.0676332069095257E-12</v>
      </c>
      <c r="AM66" s="62">
        <f t="shared" si="5"/>
        <v>284.08048685639653</v>
      </c>
      <c r="AN66" s="62">
        <f ca="1">AVERAGE(OFFSET($AM$3,0,0,'Données projet'!$E$10+1,1))-AVERAGE(OFFSET($H$3,0,0,'Données projet'!$E$10+1,1))</f>
        <v>210.41468975391527</v>
      </c>
      <c r="AO66" s="62">
        <f t="shared" si="36"/>
        <v>355.1268923221744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56.904802631583337</v>
      </c>
      <c r="AV66" s="23">
        <f>EXP(-LN(2)/25)*AV65+(1-EXP(-LN(2)/25))/(LN(2)/25)*Calculateur!AQ66*Calculateur!AS66*VLOOKUP('Données projet'!$B$10,Paramètres!$A$1:$I$89,3,0)*0.475*44/12</f>
        <v>1.3390193658567773</v>
      </c>
      <c r="AW66" s="23">
        <f>EXP(-LN(2)/2)*AW65+(1-EXP(-LN(2)/2))/(LN(2)/2)*AQ66*AT66*VLOOKUP('Données projet'!$B$10,Paramètres!$A$1:$I$89,3,0)*0.475*44/12</f>
        <v>1.1884938034368811E-2</v>
      </c>
      <c r="AX66" s="23">
        <f t="shared" si="6"/>
        <v>58.255706935474485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67.476496415380581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66.833935615974326</v>
      </c>
      <c r="BJ66" s="62">
        <f t="shared" si="38"/>
        <v>294.79914393693775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30.761992605817895</v>
      </c>
      <c r="BQ66" s="23">
        <f>EXP(-LN(2)/25)*BQ65+(1-EXP(-LN(2)/25))/(LN(2)/25)*Calculateur!BL66*Calculateur!BN66*VLOOKUP('Données projet'!$B$11,Paramètres!$A$1:$I$89,3,0)*0.475*44/12</f>
        <v>1.2108597955587741</v>
      </c>
      <c r="BR66" s="23">
        <f>EXP(-LN(2)/2)*BR65+(1-EXP(-LN(2)/2))/(LN(2)/2)*BL66*BO66*VLOOKUP('Données projet'!$B$11,Paramètres!$A$1:$I$89,3,0)*0.475*44/12</f>
        <v>1.920834005950273E-6</v>
      </c>
      <c r="BS66" s="24">
        <f t="shared" si="9"/>
        <v>31.972854322210676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67.476496415380581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67.476496415380581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67.476496415380581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67.476496415380581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67.476496415380581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67.476496415380581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67.476496415380581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1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3.6666666666666665</v>
      </c>
      <c r="H67" s="70">
        <f t="shared" si="1"/>
        <v>232.46666666666667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67.520273560864894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66.513705559911728</v>
      </c>
      <c r="T67" s="62">
        <f t="shared" si="34"/>
        <v>293.21772799887617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29.97487376272095</v>
      </c>
      <c r="AA67" s="23">
        <f>EXP(-LN(2)/25)*AA66+(1-EXP(-LN(2)/25))/(LN(2)/25)*Calculateur!V67*Calculateur!X67*VLOOKUP('Données projet'!$B$9,Paramètres!$A$1:$I$89,3,0)*0.475*44/12</f>
        <v>1.1705673758291328</v>
      </c>
      <c r="AB67" s="23">
        <f>EXP(-LN(2)/2)*AB66+(1-EXP(-LN(2)/2))/(LN(2)/2)*V67*Y67*VLOOKUP('Données projet'!$B$9,Paramètres!$A$1:$I$89,3,0)*0.475*44/12</f>
        <v>1.3499528319268828E-6</v>
      </c>
      <c r="AC67" s="24">
        <f t="shared" si="3"/>
        <v>31.145442488502916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67.520273560864894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3.3992364478763198E-14</v>
      </c>
      <c r="AK67" s="14">
        <f t="shared" si="35"/>
        <v>5.790027782444094E-13</v>
      </c>
      <c r="AL67" s="22">
        <f t="shared" si="4"/>
        <v>1.0676332069095257E-12</v>
      </c>
      <c r="AM67" s="62">
        <f t="shared" si="5"/>
        <v>284.24100305650569</v>
      </c>
      <c r="AN67" s="62">
        <f ca="1">AVERAGE(OFFSET($AM$3,0,0,'Données projet'!$E$10+1,1))-AVERAGE(OFFSET($H$3,0,0,'Données projet'!$E$10+1,1))</f>
        <v>210.41468975391527</v>
      </c>
      <c r="AO67" s="62">
        <f t="shared" si="36"/>
        <v>355.1268923221744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55.788934160480416</v>
      </c>
      <c r="AV67" s="23">
        <f>EXP(-LN(2)/25)*AV66+(1-EXP(-LN(2)/25))/(LN(2)/25)*Calculateur!AQ67*Calculateur!AS67*VLOOKUP('Données projet'!$B$10,Paramètres!$A$1:$I$89,3,0)*0.475*44/12</f>
        <v>1.3024038108814555</v>
      </c>
      <c r="AW67" s="23">
        <f>EXP(-LN(2)/2)*AW66+(1-EXP(-LN(2)/2))/(LN(2)/2)*AQ67*AT67*VLOOKUP('Données projet'!$B$10,Paramètres!$A$1:$I$89,3,0)*0.475*44/12</f>
        <v>8.4039202780841031E-3</v>
      </c>
      <c r="AX67" s="23">
        <f t="shared" si="6"/>
        <v>57.099741891639958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67.520273560864894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66.833935615974326</v>
      </c>
      <c r="BJ67" s="62">
        <f t="shared" si="38"/>
        <v>294.79914393693775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30.158768693780608</v>
      </c>
      <c r="BQ67" s="23">
        <f>EXP(-LN(2)/25)*BQ66+(1-EXP(-LN(2)/25))/(LN(2)/25)*Calculateur!BL67*Calculateur!BN67*VLOOKUP('Données projet'!$B$11,Paramètres!$A$1:$I$89,3,0)*0.475*44/12</f>
        <v>1.1777487707728702</v>
      </c>
      <c r="BR67" s="23">
        <f>EXP(-LN(2)/2)*BR66+(1-EXP(-LN(2)/2))/(LN(2)/2)*BL67*BO67*VLOOKUP('Données projet'!$B$11,Paramètres!$A$1:$I$89,3,0)*0.475*44/12</f>
        <v>1.3582347511411592E-6</v>
      </c>
      <c r="BS67" s="24">
        <f t="shared" si="9"/>
        <v>31.336518822788229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67.520273560864894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67.520273560864894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67.520273560864894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67.520273560864894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67.520273560864894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67.520273560864894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67.520273560864894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1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3.6666666666666665</v>
      </c>
      <c r="H68" s="70">
        <f t="shared" ref="H68:H131" si="56">(B68+E68+F68)*44/12+(C68+D68)*0.475*44/12</f>
        <v>232.46666666666667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67.563291270746106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66.513705559911728</v>
      </c>
      <c r="T68" s="62">
        <f t="shared" si="34"/>
        <v>293.21772799887617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29.387084771101705</v>
      </c>
      <c r="AA68" s="23">
        <f>EXP(-LN(2)/25)*AA67+(1-EXP(-LN(2)/25))/(LN(2)/25)*Calculateur!V68*Calculateur!X68*VLOOKUP('Données projet'!$B$9,Paramètres!$A$1:$I$89,3,0)*0.475*44/12</f>
        <v>1.1385581493796222</v>
      </c>
      <c r="AB68" s="23">
        <f>EXP(-LN(2)/2)*AB67+(1-EXP(-LN(2)/2))/(LN(2)/2)*V68*Y68*VLOOKUP('Données projet'!$B$9,Paramètres!$A$1:$I$89,3,0)*0.475*44/12</f>
        <v>9.5456080173748251E-7</v>
      </c>
      <c r="AC68" s="24">
        <f t="shared" ref="AC68:AC131" si="57">SUM(Z68:AB68)</f>
        <v>30.525643875042128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67.563291270746106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3.3992364478763198E-14</v>
      </c>
      <c r="AK68" s="14">
        <f t="shared" si="35"/>
        <v>5.790027782444094E-13</v>
      </c>
      <c r="AL68" s="22">
        <f t="shared" ref="AL68:AL131" si="58">(AJ68+AK68)*0.475*44/12</f>
        <v>1.0676332069095257E-12</v>
      </c>
      <c r="AM68" s="62">
        <f t="shared" ref="AM68:AM131" si="59">AL68+(AD68+AE68)*44/12</f>
        <v>284.39873465940349</v>
      </c>
      <c r="AN68" s="62">
        <f ca="1">AVERAGE(OFFSET($AM$3,0,0,'Données projet'!$E$10+1,1))-AVERAGE(OFFSET($H$3,0,0,'Données projet'!$E$10+1,1))</f>
        <v>210.41468975391527</v>
      </c>
      <c r="AO68" s="62">
        <f t="shared" si="36"/>
        <v>355.1268923221744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54.694947189483258</v>
      </c>
      <c r="AV68" s="23">
        <f>EXP(-LN(2)/25)*AV67+(1-EXP(-LN(2)/25))/(LN(2)/25)*Calculateur!AQ68*Calculateur!AS68*VLOOKUP('Données projet'!$B$10,Paramètres!$A$1:$I$89,3,0)*0.475*44/12</f>
        <v>1.2667895101824624</v>
      </c>
      <c r="AW68" s="23">
        <f>EXP(-LN(2)/2)*AW67+(1-EXP(-LN(2)/2))/(LN(2)/2)*AQ68*AT68*VLOOKUP('Données projet'!$B$10,Paramètres!$A$1:$I$89,3,0)*0.475*44/12</f>
        <v>5.9424690171844055E-3</v>
      </c>
      <c r="AX68" s="23">
        <f t="shared" ref="AX68:AX131" si="60">SUM(AU68:AW68)</f>
        <v>55.967679168682906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67.563291270746106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66.833935615974326</v>
      </c>
      <c r="BJ68" s="62">
        <f t="shared" si="38"/>
        <v>294.79914393693775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29.567373634728114</v>
      </c>
      <c r="BQ68" s="23">
        <f>EXP(-LN(2)/25)*BQ67+(1-EXP(-LN(2)/25))/(LN(2)/25)*Calculateur!BL68*Calculateur!BN68*VLOOKUP('Données projet'!$B$11,Paramètres!$A$1:$I$89,3,0)*0.475*44/12</f>
        <v>1.1455431687009701</v>
      </c>
      <c r="BR68" s="23">
        <f>EXP(-LN(2)/2)*BR67+(1-EXP(-LN(2)/2))/(LN(2)/2)*BL68*BO68*VLOOKUP('Données projet'!$B$11,Paramètres!$A$1:$I$89,3,0)*0.475*44/12</f>
        <v>9.6041700297513651E-7</v>
      </c>
      <c r="BS68" s="24">
        <f t="shared" ref="BS68:BS131" si="63">SUM(BP68:BR68)</f>
        <v>30.71291776384609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67.563291270746106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67.563291270746106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67.563291270746106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67.563291270746106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67.563291270746106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67.563291270746106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67.563291270746106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1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3.6666666666666665</v>
      </c>
      <c r="H69" s="70">
        <f t="shared" si="56"/>
        <v>232.46666666666667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67.605562719534063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66.513705559911728</v>
      </c>
      <c r="T69" s="62">
        <f t="shared" ref="T69:T132" si="88">$T$3</f>
        <v>293.21772799887617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28.810821963092227</v>
      </c>
      <c r="AA69" s="23">
        <f>EXP(-LN(2)/25)*AA68+(1-EXP(-LN(2)/25))/(LN(2)/25)*Calculateur!V69*Calculateur!X69*VLOOKUP('Données projet'!$B$9,Paramètres!$A$1:$I$89,3,0)*0.475*44/12</f>
        <v>1.1074242169106656</v>
      </c>
      <c r="AB69" s="23">
        <f>EXP(-LN(2)/2)*AB68+(1-EXP(-LN(2)/2))/(LN(2)/2)*V69*Y69*VLOOKUP('Données projet'!$B$9,Paramètres!$A$1:$I$89,3,0)*0.475*44/12</f>
        <v>6.7497641596344142E-7</v>
      </c>
      <c r="AC69" s="24">
        <f t="shared" si="57"/>
        <v>29.918246854979309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67.605562719534063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3.3992364478763198E-14</v>
      </c>
      <c r="AK69" s="14">
        <f t="shared" ref="AK69:AK132" si="89">EXP(-1.0587+0.8836*LN(AJ69)+0.284)</f>
        <v>5.790027782444094E-13</v>
      </c>
      <c r="AL69" s="22">
        <f t="shared" si="58"/>
        <v>1.0676332069095257E-12</v>
      </c>
      <c r="AM69" s="62">
        <f t="shared" si="59"/>
        <v>284.55372997162601</v>
      </c>
      <c r="AN69" s="62">
        <f ca="1">AVERAGE(OFFSET($AM$3,0,0,'Données projet'!$E$10+1,1))-AVERAGE(OFFSET($H$3,0,0,'Données projet'!$E$10+1,1))</f>
        <v>210.41468975391527</v>
      </c>
      <c r="AO69" s="62">
        <f t="shared" ref="AO69:AO132" si="90">$AO$3</f>
        <v>355.1268923221744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53.62241263572119</v>
      </c>
      <c r="AV69" s="23">
        <f>EXP(-LN(2)/25)*AV68+(1-EXP(-LN(2)/25))/(LN(2)/25)*Calculateur!AQ69*Calculateur!AS69*VLOOKUP('Données projet'!$B$10,Paramètres!$A$1:$I$89,3,0)*0.475*44/12</f>
        <v>1.232149084408958</v>
      </c>
      <c r="AW69" s="23">
        <f>EXP(-LN(2)/2)*AW68+(1-EXP(-LN(2)/2))/(LN(2)/2)*AQ69*AT69*VLOOKUP('Données projet'!$B$10,Paramètres!$A$1:$I$89,3,0)*0.475*44/12</f>
        <v>4.2019601390420516E-3</v>
      </c>
      <c r="AX69" s="23">
        <f t="shared" si="60"/>
        <v>54.858763680269192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67.605562719534063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66.833935615974326</v>
      </c>
      <c r="BJ69" s="62">
        <f t="shared" ref="BJ69:BJ132" si="92">$BJ$3</f>
        <v>294.79914393693775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28.987575472068272</v>
      </c>
      <c r="BQ69" s="23">
        <f>EXP(-LN(2)/25)*BQ68+(1-EXP(-LN(2)/25))/(LN(2)/25)*Calculateur!BL69*Calculateur!BN69*VLOOKUP('Données projet'!$B$11,Paramètres!$A$1:$I$89,3,0)*0.475*44/12</f>
        <v>1.1142182305113451</v>
      </c>
      <c r="BR69" s="23">
        <f>EXP(-LN(2)/2)*BR68+(1-EXP(-LN(2)/2))/(LN(2)/2)*BL69*BO69*VLOOKUP('Données projet'!$B$11,Paramètres!$A$1:$I$89,3,0)*0.475*44/12</f>
        <v>6.7911737557057962E-7</v>
      </c>
      <c r="BS69" s="24">
        <f t="shared" si="63"/>
        <v>30.10179438169699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67.605562719534063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67.605562719534063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67.605562719534063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67.605562719534063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67.605562719534063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67.605562719534063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67.605562719534063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1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3.6666666666666665</v>
      </c>
      <c r="H70" s="70">
        <f t="shared" si="56"/>
        <v>232.46666666666667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67.647100853190352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66.513705559911728</v>
      </c>
      <c r="T70" s="62">
        <f t="shared" si="88"/>
        <v>293.21772799887617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28.245859317262209</v>
      </c>
      <c r="AA70" s="23">
        <f>EXP(-LN(2)/25)*AA69+(1-EXP(-LN(2)/25))/(LN(2)/25)*Calculateur!V70*Calculateur!X70*VLOOKUP('Données projet'!$B$9,Paramètres!$A$1:$I$89,3,0)*0.475*44/12</f>
        <v>1.0771416434623349</v>
      </c>
      <c r="AB70" s="23">
        <f>EXP(-LN(2)/2)*AB69+(1-EXP(-LN(2)/2))/(LN(2)/2)*V70*Y70*VLOOKUP('Données projet'!$B$9,Paramètres!$A$1:$I$89,3,0)*0.475*44/12</f>
        <v>4.7728040086874125E-7</v>
      </c>
      <c r="AC70" s="24">
        <f t="shared" si="57"/>
        <v>29.323001438004944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67.647100853190352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3.3992364478763198E-14</v>
      </c>
      <c r="AK70" s="14">
        <f t="shared" si="89"/>
        <v>5.790027782444094E-13</v>
      </c>
      <c r="AL70" s="22">
        <f t="shared" si="58"/>
        <v>1.0676332069095257E-12</v>
      </c>
      <c r="AM70" s="62">
        <f t="shared" si="59"/>
        <v>284.70603646169906</v>
      </c>
      <c r="AN70" s="62">
        <f ca="1">AVERAGE(OFFSET($AM$3,0,0,'Données projet'!$E$10+1,1))-AVERAGE(OFFSET($H$3,0,0,'Données projet'!$E$10+1,1))</f>
        <v>210.41468975391527</v>
      </c>
      <c r="AO70" s="62">
        <f t="shared" si="90"/>
        <v>355.1268923221744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52.570909830376912</v>
      </c>
      <c r="AV70" s="23">
        <f>EXP(-LN(2)/25)*AV69+(1-EXP(-LN(2)/25))/(LN(2)/25)*Calculateur!AQ70*Calculateur!AS70*VLOOKUP('Données projet'!$B$10,Paramètres!$A$1:$I$89,3,0)*0.475*44/12</f>
        <v>1.1984559028998909</v>
      </c>
      <c r="AW70" s="23">
        <f>EXP(-LN(2)/2)*AW69+(1-EXP(-LN(2)/2))/(LN(2)/2)*AQ70*AT70*VLOOKUP('Données projet'!$B$10,Paramètres!$A$1:$I$89,3,0)*0.475*44/12</f>
        <v>2.9712345085922028E-3</v>
      </c>
      <c r="AX70" s="23">
        <f t="shared" si="60"/>
        <v>53.772336967785392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67.647100853190352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66.833935615974326</v>
      </c>
      <c r="BJ70" s="62">
        <f t="shared" si="92"/>
        <v>294.79914393693775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28.419146797736229</v>
      </c>
      <c r="BQ70" s="23">
        <f>EXP(-LN(2)/25)*BQ69+(1-EXP(-LN(2)/25))/(LN(2)/25)*Calculateur!BL70*Calculateur!BN70*VLOOKUP('Données projet'!$B$11,Paramètres!$A$1:$I$89,3,0)*0.475*44/12</f>
        <v>1.0837498744038221</v>
      </c>
      <c r="BR70" s="23">
        <f>EXP(-LN(2)/2)*BR69+(1-EXP(-LN(2)/2))/(LN(2)/2)*BL70*BO70*VLOOKUP('Données projet'!$B$11,Paramètres!$A$1:$I$89,3,0)*0.475*44/12</f>
        <v>4.8020850148756826E-7</v>
      </c>
      <c r="BS70" s="24">
        <f t="shared" si="63"/>
        <v>29.502897152348552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67.647100853190352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67.647100853190352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67.647100853190352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67.647100853190352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67.647100853190352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67.647100853190352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67.647100853190352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1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3.6666666666666665</v>
      </c>
      <c r="H71" s="70">
        <f t="shared" si="56"/>
        <v>232.46666666666667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67.687918393093042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66.513705559911728</v>
      </c>
      <c r="T71" s="62">
        <f t="shared" si="88"/>
        <v>293.21772799887617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27.691975244323729</v>
      </c>
      <c r="AA71" s="23">
        <f>EXP(-LN(2)/25)*AA70+(1-EXP(-LN(2)/25))/(LN(2)/25)*Calculateur!V71*Calculateur!X71*VLOOKUP('Données projet'!$B$9,Paramètres!$A$1:$I$89,3,0)*0.475*44/12</f>
        <v>1.0476871485774402</v>
      </c>
      <c r="AB71" s="23">
        <f>EXP(-LN(2)/2)*AB70+(1-EXP(-LN(2)/2))/(LN(2)/2)*V71*Y71*VLOOKUP('Données projet'!$B$9,Paramètres!$A$1:$I$89,3,0)*0.475*44/12</f>
        <v>3.3748820798172071E-7</v>
      </c>
      <c r="AC71" s="24">
        <f t="shared" si="57"/>
        <v>28.739662730389377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67.687918393093042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3.3992364478763198E-14</v>
      </c>
      <c r="AK71" s="14">
        <f t="shared" si="89"/>
        <v>5.790027782444094E-13</v>
      </c>
      <c r="AL71" s="22">
        <f t="shared" si="58"/>
        <v>1.0676332069095257E-12</v>
      </c>
      <c r="AM71" s="62">
        <f t="shared" si="59"/>
        <v>284.8557007746756</v>
      </c>
      <c r="AN71" s="62">
        <f ca="1">AVERAGE(OFFSET($AM$3,0,0,'Données projet'!$E$10+1,1))-AVERAGE(OFFSET($H$3,0,0,'Données projet'!$E$10+1,1))</f>
        <v>210.41468975391527</v>
      </c>
      <c r="AO71" s="62">
        <f t="shared" si="90"/>
        <v>355.1268923221744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51.540026353692056</v>
      </c>
      <c r="AV71" s="23">
        <f>EXP(-LN(2)/25)*AV70+(1-EXP(-LN(2)/25))/(LN(2)/25)*Calculateur!AQ71*Calculateur!AS71*VLOOKUP('Données projet'!$B$10,Paramètres!$A$1:$I$89,3,0)*0.475*44/12</f>
        <v>1.1656840632110366</v>
      </c>
      <c r="AW71" s="23">
        <f>EXP(-LN(2)/2)*AW70+(1-EXP(-LN(2)/2))/(LN(2)/2)*AQ71*AT71*VLOOKUP('Données projet'!$B$10,Paramètres!$A$1:$I$89,3,0)*0.475*44/12</f>
        <v>2.1009800695210258E-3</v>
      </c>
      <c r="AX71" s="23">
        <f t="shared" si="60"/>
        <v>52.707811396972616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67.687918393093042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66.833935615974326</v>
      </c>
      <c r="BJ71" s="62">
        <f t="shared" si="92"/>
        <v>294.79914393693775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27.861864663000581</v>
      </c>
      <c r="BQ71" s="23">
        <f>EXP(-LN(2)/25)*BQ70+(1-EXP(-LN(2)/25))/(LN(2)/25)*Calculateur!BL71*Calculateur!BN71*VLOOKUP('Données projet'!$B$11,Paramètres!$A$1:$I$89,3,0)*0.475*44/12</f>
        <v>1.0541146770963206</v>
      </c>
      <c r="BR71" s="23">
        <f>EXP(-LN(2)/2)*BR70+(1-EXP(-LN(2)/2))/(LN(2)/2)*BL71*BO71*VLOOKUP('Données projet'!$B$11,Paramètres!$A$1:$I$89,3,0)*0.475*44/12</f>
        <v>3.3955868778528981E-7</v>
      </c>
      <c r="BS71" s="24">
        <f t="shared" si="63"/>
        <v>28.915979679655592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67.687918393093042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67.687918393093042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67.687918393093042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67.687918393093042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67.687918393093042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67.687918393093042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67.687918393093042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1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3.6666666666666665</v>
      </c>
      <c r="H72" s="70">
        <f t="shared" si="56"/>
        <v>232.46666666666667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67.728027839932793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66.513705559911728</v>
      </c>
      <c r="T72" s="62">
        <f t="shared" si="88"/>
        <v>293.21772799887617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27.148952500219647</v>
      </c>
      <c r="AA72" s="23">
        <f>EXP(-LN(2)/25)*AA71+(1-EXP(-LN(2)/25))/(LN(2)/25)*Calculateur!V72*Calculateur!X72*VLOOKUP('Données projet'!$B$9,Paramètres!$A$1:$I$89,3,0)*0.475*44/12</f>
        <v>1.0190380884041175</v>
      </c>
      <c r="AB72" s="23">
        <f>EXP(-LN(2)/2)*AB71+(1-EXP(-LN(2)/2))/(LN(2)/2)*V72*Y72*VLOOKUP('Données projet'!$B$9,Paramètres!$A$1:$I$89,3,0)*0.475*44/12</f>
        <v>2.3864020043437063E-7</v>
      </c>
      <c r="AC72" s="24">
        <f t="shared" si="57"/>
        <v>28.167990827263964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67.728027839932793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3.3992364478763198E-14</v>
      </c>
      <c r="AK72" s="14">
        <f t="shared" si="89"/>
        <v>5.790027782444094E-13</v>
      </c>
      <c r="AL72" s="22">
        <f t="shared" si="58"/>
        <v>1.0676332069095257E-12</v>
      </c>
      <c r="AM72" s="62">
        <f t="shared" si="59"/>
        <v>285.00276874642134</v>
      </c>
      <c r="AN72" s="62">
        <f ca="1">AVERAGE(OFFSET($AM$3,0,0,'Données projet'!$E$10+1,1))-AVERAGE(OFFSET($H$3,0,0,'Données projet'!$E$10+1,1))</f>
        <v>210.41468975391527</v>
      </c>
      <c r="AO72" s="62">
        <f t="shared" si="90"/>
        <v>355.1268923221744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50.529357873208156</v>
      </c>
      <c r="AV72" s="23">
        <f>EXP(-LN(2)/25)*AV71+(1-EXP(-LN(2)/25))/(LN(2)/25)*Calculateur!AQ72*Calculateur!AS72*VLOOKUP('Données projet'!$B$10,Paramètres!$A$1:$I$89,3,0)*0.475*44/12</f>
        <v>1.1338083712018701</v>
      </c>
      <c r="AW72" s="23">
        <f>EXP(-LN(2)/2)*AW71+(1-EXP(-LN(2)/2))/(LN(2)/2)*AQ72*AT72*VLOOKUP('Données projet'!$B$10,Paramètres!$A$1:$I$89,3,0)*0.475*44/12</f>
        <v>1.4856172542961014E-3</v>
      </c>
      <c r="AX72" s="23">
        <f t="shared" si="60"/>
        <v>51.664651861664325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67.728027839932793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66.833935615974326</v>
      </c>
      <c r="BJ72" s="62">
        <f t="shared" si="92"/>
        <v>294.79914393693775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27.315510491018561</v>
      </c>
      <c r="BQ72" s="23">
        <f>EXP(-LN(2)/25)*BQ71+(1-EXP(-LN(2)/25))/(LN(2)/25)*Calculateur!BL72*Calculateur!BN72*VLOOKUP('Données projet'!$B$11,Paramètres!$A$1:$I$89,3,0)*0.475*44/12</f>
        <v>1.02528985581764</v>
      </c>
      <c r="BR72" s="23">
        <f>EXP(-LN(2)/2)*BR71+(1-EXP(-LN(2)/2))/(LN(2)/2)*BL72*BO72*VLOOKUP('Données projet'!$B$11,Paramètres!$A$1:$I$89,3,0)*0.475*44/12</f>
        <v>2.4010425074378413E-7</v>
      </c>
      <c r="BS72" s="24">
        <f t="shared" si="63"/>
        <v>28.34080058694045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67.728027839932793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67.728027839932793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67.728027839932793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67.728027839932793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67.728027839932793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67.728027839932793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67.728027839932793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1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3.6666666666666665</v>
      </c>
      <c r="H73" s="70">
        <f t="shared" si="56"/>
        <v>232.46666666666667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67.767441477541155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66.513705559911728</v>
      </c>
      <c r="T73" s="62">
        <f t="shared" si="88"/>
        <v>293.21772799887617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26.616578100916275</v>
      </c>
      <c r="AA73" s="23">
        <f>EXP(-LN(2)/25)*AA72+(1-EXP(-LN(2)/25))/(LN(2)/25)*Calculateur!V73*Calculateur!X73*VLOOKUP('Données projet'!$B$9,Paramètres!$A$1:$I$89,3,0)*0.475*44/12</f>
        <v>0.99117243828782287</v>
      </c>
      <c r="AB73" s="23">
        <f>EXP(-LN(2)/2)*AB72+(1-EXP(-LN(2)/2))/(LN(2)/2)*V73*Y73*VLOOKUP('Données projet'!$B$9,Paramètres!$A$1:$I$89,3,0)*0.475*44/12</f>
        <v>1.6874410399086035E-7</v>
      </c>
      <c r="AC73" s="24">
        <f t="shared" si="57"/>
        <v>27.607750707948203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67.767441477541155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3.3992364478763198E-14</v>
      </c>
      <c r="AK73" s="14">
        <f t="shared" si="89"/>
        <v>5.790027782444094E-13</v>
      </c>
      <c r="AL73" s="22">
        <f t="shared" si="58"/>
        <v>1.0676332069095257E-12</v>
      </c>
      <c r="AM73" s="62">
        <f t="shared" si="59"/>
        <v>285.14728541765197</v>
      </c>
      <c r="AN73" s="62">
        <f ca="1">AVERAGE(OFFSET($AM$3,0,0,'Données projet'!$E$10+1,1))-AVERAGE(OFFSET($H$3,0,0,'Données projet'!$E$10+1,1))</f>
        <v>210.41468975391527</v>
      </c>
      <c r="AO73" s="62">
        <f t="shared" si="90"/>
        <v>355.1268923221744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49.538507985179635</v>
      </c>
      <c r="AV73" s="23">
        <f>EXP(-LN(2)/25)*AV72+(1-EXP(-LN(2)/25))/(LN(2)/25)*Calculateur!AQ73*Calculateur!AS73*VLOOKUP('Données projet'!$B$10,Paramètres!$A$1:$I$89,3,0)*0.475*44/12</f>
        <v>1.1028043216669641</v>
      </c>
      <c r="AW73" s="23">
        <f>EXP(-LN(2)/2)*AW72+(1-EXP(-LN(2)/2))/(LN(2)/2)*AQ73*AT73*VLOOKUP('Données projet'!$B$10,Paramètres!$A$1:$I$89,3,0)*0.475*44/12</f>
        <v>1.0504900347605129E-3</v>
      </c>
      <c r="AX73" s="23">
        <f t="shared" si="60"/>
        <v>50.642362796881358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67.767441477541155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66.833935615974326</v>
      </c>
      <c r="BJ73" s="62">
        <f t="shared" si="92"/>
        <v>294.79914393693775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26.779869991105969</v>
      </c>
      <c r="BQ73" s="23">
        <f>EXP(-LN(2)/25)*BQ72+(1-EXP(-LN(2)/25))/(LN(2)/25)*Calculateur!BL73*Calculateur!BN73*VLOOKUP('Données projet'!$B$11,Paramètres!$A$1:$I$89,3,0)*0.475*44/12</f>
        <v>0.99725325079265648</v>
      </c>
      <c r="BR73" s="23">
        <f>EXP(-LN(2)/2)*BR72+(1-EXP(-LN(2)/2))/(LN(2)/2)*BL73*BO73*VLOOKUP('Données projet'!$B$11,Paramètres!$A$1:$I$89,3,0)*0.475*44/12</f>
        <v>1.6977934389264491E-7</v>
      </c>
      <c r="BS73" s="24">
        <f t="shared" si="63"/>
        <v>27.77712341167797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67.767441477541155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67.767441477541155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67.767441477541155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67.767441477541155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67.767441477541155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67.767441477541155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67.767441477541155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1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3.6666666666666665</v>
      </c>
      <c r="H74" s="70">
        <f t="shared" si="56"/>
        <v>232.46666666666667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67.806171376652699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66.513705559911728</v>
      </c>
      <c r="T74" s="62">
        <f t="shared" si="88"/>
        <v>293.21772799887617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26.094643238866922</v>
      </c>
      <c r="AA74" s="23">
        <f>EXP(-LN(2)/25)*AA73+(1-EXP(-LN(2)/25))/(LN(2)/25)*Calculateur!V74*Calculateur!X74*VLOOKUP('Données projet'!$B$9,Paramètres!$A$1:$I$89,3,0)*0.475*44/12</f>
        <v>0.96406877583934913</v>
      </c>
      <c r="AB74" s="23">
        <f>EXP(-LN(2)/2)*AB73+(1-EXP(-LN(2)/2))/(LN(2)/2)*V74*Y74*VLOOKUP('Données projet'!$B$9,Paramètres!$A$1:$I$89,3,0)*0.475*44/12</f>
        <v>1.1932010021718531E-7</v>
      </c>
      <c r="AC74" s="24">
        <f t="shared" si="57"/>
        <v>27.058712134026369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67.806171376652699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3.3992364478763198E-14</v>
      </c>
      <c r="AK74" s="14">
        <f t="shared" si="89"/>
        <v>5.790027782444094E-13</v>
      </c>
      <c r="AL74" s="22">
        <f t="shared" si="58"/>
        <v>1.0676332069095257E-12</v>
      </c>
      <c r="AM74" s="62">
        <f t="shared" si="59"/>
        <v>285.28929504772765</v>
      </c>
      <c r="AN74" s="62">
        <f ca="1">AVERAGE(OFFSET($AM$3,0,0,'Données projet'!$E$10+1,1))-AVERAGE(OFFSET($H$3,0,0,'Données projet'!$E$10+1,1))</f>
        <v>210.41468975391527</v>
      </c>
      <c r="AO74" s="62">
        <f t="shared" si="90"/>
        <v>355.1268923221744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48.567088059096598</v>
      </c>
      <c r="AV74" s="23">
        <f>EXP(-LN(2)/25)*AV73+(1-EXP(-LN(2)/25))/(LN(2)/25)*Calculateur!AQ74*Calculateur!AS74*VLOOKUP('Données projet'!$B$10,Paramètres!$A$1:$I$89,3,0)*0.475*44/12</f>
        <v>1.0726480794970221</v>
      </c>
      <c r="AW74" s="23">
        <f>EXP(-LN(2)/2)*AW73+(1-EXP(-LN(2)/2))/(LN(2)/2)*AQ74*AT74*VLOOKUP('Données projet'!$B$10,Paramètres!$A$1:$I$89,3,0)*0.475*44/12</f>
        <v>7.4280862714805069E-4</v>
      </c>
      <c r="AX74" s="23">
        <f t="shared" si="60"/>
        <v>49.640478947220764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67.806171376652699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66.833935615974326</v>
      </c>
      <c r="BJ74" s="62">
        <f t="shared" si="92"/>
        <v>294.79914393693775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26.254733074688215</v>
      </c>
      <c r="BQ74" s="23">
        <f>EXP(-LN(2)/25)*BQ73+(1-EXP(-LN(2)/25))/(LN(2)/25)*Calculateur!BL74*Calculateur!BN74*VLOOKUP('Données projet'!$B$11,Paramètres!$A$1:$I$89,3,0)*0.475*44/12</f>
        <v>0.96998330820646206</v>
      </c>
      <c r="BR74" s="23">
        <f>EXP(-LN(2)/2)*BR73+(1-EXP(-LN(2)/2))/(LN(2)/2)*BL74*BO74*VLOOKUP('Données projet'!$B$11,Paramètres!$A$1:$I$89,3,0)*0.475*44/12</f>
        <v>1.2005212537189206E-7</v>
      </c>
      <c r="BS74" s="24">
        <f t="shared" si="63"/>
        <v>27.224716502946801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67.806171376652699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67.806171376652699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67.806171376652699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67.806171376652699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67.806171376652699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67.806171376652699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67.806171376652699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1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3.6666666666666665</v>
      </c>
      <c r="H75" s="70">
        <f t="shared" si="56"/>
        <v>232.46666666666667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67.844229398601755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66.513705559911728</v>
      </c>
      <c r="T75" s="62">
        <f t="shared" si="88"/>
        <v>293.21772799887617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25.582943201113526</v>
      </c>
      <c r="AA75" s="23">
        <f>EXP(-LN(2)/25)*AA74+(1-EXP(-LN(2)/25))/(LN(2)/25)*Calculateur!V75*Calculateur!X75*VLOOKUP('Données projet'!$B$9,Paramètres!$A$1:$I$89,3,0)*0.475*44/12</f>
        <v>0.93770626446584859</v>
      </c>
      <c r="AB75" s="23">
        <f>EXP(-LN(2)/2)*AB74+(1-EXP(-LN(2)/2))/(LN(2)/2)*V75*Y75*VLOOKUP('Données projet'!$B$9,Paramètres!$A$1:$I$89,3,0)*0.475*44/12</f>
        <v>8.4372051995430177E-8</v>
      </c>
      <c r="AC75" s="24">
        <f t="shared" si="57"/>
        <v>26.520649549951425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67.844229398601755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3.3992364478763198E-14</v>
      </c>
      <c r="AK75" s="14">
        <f t="shared" si="89"/>
        <v>5.790027782444094E-13</v>
      </c>
      <c r="AL75" s="22">
        <f t="shared" si="58"/>
        <v>1.0676332069095257E-12</v>
      </c>
      <c r="AM75" s="62">
        <f t="shared" si="59"/>
        <v>285.42884112820752</v>
      </c>
      <c r="AN75" s="62">
        <f ca="1">AVERAGE(OFFSET($AM$3,0,0,'Données projet'!$E$10+1,1))-AVERAGE(OFFSET($H$3,0,0,'Données projet'!$E$10+1,1))</f>
        <v>210.41468975391527</v>
      </c>
      <c r="AO75" s="62">
        <f t="shared" si="90"/>
        <v>355.1268923221744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47.614717085256402</v>
      </c>
      <c r="AV75" s="23">
        <f>EXP(-LN(2)/25)*AV74+(1-EXP(-LN(2)/25))/(LN(2)/25)*Calculateur!AQ75*Calculateur!AS75*VLOOKUP('Données projet'!$B$10,Paramètres!$A$1:$I$89,3,0)*0.475*44/12</f>
        <v>1.0433164613550652</v>
      </c>
      <c r="AW75" s="23">
        <f>EXP(-LN(2)/2)*AW74+(1-EXP(-LN(2)/2))/(LN(2)/2)*AQ75*AT75*VLOOKUP('Données projet'!$B$10,Paramètres!$A$1:$I$89,3,0)*0.475*44/12</f>
        <v>5.2524501738025644E-4</v>
      </c>
      <c r="AX75" s="23">
        <f t="shared" si="60"/>
        <v>48.658558791628842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67.844229398601755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66.833935615974326</v>
      </c>
      <c r="BJ75" s="62">
        <f t="shared" si="92"/>
        <v>294.79914393693775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25.739893772899521</v>
      </c>
      <c r="BQ75" s="23">
        <f>EXP(-LN(2)/25)*BQ74+(1-EXP(-LN(2)/25))/(LN(2)/25)*Calculateur!BL75*Calculateur!BN75*VLOOKUP('Données projet'!$B$11,Paramètres!$A$1:$I$89,3,0)*0.475*44/12</f>
        <v>0.94345906363435106</v>
      </c>
      <c r="BR75" s="23">
        <f>EXP(-LN(2)/2)*BR74+(1-EXP(-LN(2)/2))/(LN(2)/2)*BL75*BO75*VLOOKUP('Données projet'!$B$11,Paramètres!$A$1:$I$89,3,0)*0.475*44/12</f>
        <v>8.4889671946322453E-8</v>
      </c>
      <c r="BS75" s="24">
        <f t="shared" si="63"/>
        <v>26.683352921423541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67.844229398601755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67.844229398601755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67.844229398601755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67.844229398601755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67.844229398601755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67.844229398601755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67.844229398601755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1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3.6666666666666665</v>
      </c>
      <c r="H76" s="70">
        <f t="shared" si="56"/>
        <v>232.46666666666667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67.881627198954959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66.513705559911728</v>
      </c>
      <c r="T76" s="62">
        <f t="shared" si="88"/>
        <v>293.21772799887617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25.081277288994269</v>
      </c>
      <c r="AA76" s="23">
        <f>EXP(-LN(2)/25)*AA75+(1-EXP(-LN(2)/25))/(LN(2)/25)*Calculateur!V76*Calculateur!X76*VLOOKUP('Données projet'!$B$9,Paramètres!$A$1:$I$89,3,0)*0.475*44/12</f>
        <v>0.91206463735220067</v>
      </c>
      <c r="AB76" s="23">
        <f>EXP(-LN(2)/2)*AB75+(1-EXP(-LN(2)/2))/(LN(2)/2)*V76*Y76*VLOOKUP('Données projet'!$B$9,Paramètres!$A$1:$I$89,3,0)*0.475*44/12</f>
        <v>5.9660050108592657E-8</v>
      </c>
      <c r="AC76" s="24">
        <f t="shared" si="57"/>
        <v>25.99334198600652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67.881627198954959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3.3992364478763198E-14</v>
      </c>
      <c r="AK76" s="14">
        <f t="shared" si="89"/>
        <v>5.790027782444094E-13</v>
      </c>
      <c r="AL76" s="22">
        <f t="shared" si="58"/>
        <v>1.0676332069095257E-12</v>
      </c>
      <c r="AM76" s="62">
        <f t="shared" si="59"/>
        <v>285.5659663961693</v>
      </c>
      <c r="AN76" s="62">
        <f ca="1">AVERAGE(OFFSET($AM$3,0,0,'Données projet'!$E$10+1,1))-AVERAGE(OFFSET($H$3,0,0,'Données projet'!$E$10+1,1))</f>
        <v>210.41468975391527</v>
      </c>
      <c r="AO76" s="62">
        <f t="shared" si="90"/>
        <v>355.1268923221744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46.681021525324276</v>
      </c>
      <c r="AV76" s="23">
        <f>EXP(-LN(2)/25)*AV75+(1-EXP(-LN(2)/25))/(LN(2)/25)*Calculateur!AQ76*Calculateur!AS76*VLOOKUP('Données projet'!$B$10,Paramètres!$A$1:$I$89,3,0)*0.475*44/12</f>
        <v>1.0147869178536828</v>
      </c>
      <c r="AW76" s="23">
        <f>EXP(-LN(2)/2)*AW75+(1-EXP(-LN(2)/2))/(LN(2)/2)*AQ76*AT76*VLOOKUP('Données projet'!$B$10,Paramètres!$A$1:$I$89,3,0)*0.475*44/12</f>
        <v>3.7140431357402534E-4</v>
      </c>
      <c r="AX76" s="23">
        <f t="shared" si="60"/>
        <v>47.696179847491535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67.881627198954959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66.833935615974326</v>
      </c>
      <c r="BJ76" s="62">
        <f t="shared" si="92"/>
        <v>294.79914393693775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25.235150155797939</v>
      </c>
      <c r="BQ76" s="23">
        <f>EXP(-LN(2)/25)*BQ75+(1-EXP(-LN(2)/25))/(LN(2)/25)*Calculateur!BL76*Calculateur!BN76*VLOOKUP('Données projet'!$B$11,Paramètres!$A$1:$I$89,3,0)*0.475*44/12</f>
        <v>0.91766012592491386</v>
      </c>
      <c r="BR76" s="23">
        <f>EXP(-LN(2)/2)*BR75+(1-EXP(-LN(2)/2))/(LN(2)/2)*BL76*BO76*VLOOKUP('Données projet'!$B$11,Paramètres!$A$1:$I$89,3,0)*0.475*44/12</f>
        <v>6.0026062685946032E-8</v>
      </c>
      <c r="BS76" s="24">
        <f t="shared" si="63"/>
        <v>26.152810341748918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67.881627198954959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67.881627198954959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67.881627198954959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67.881627198954959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67.881627198954959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67.881627198954959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67.881627198954959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1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3.6666666666666665</v>
      </c>
      <c r="H77" s="70">
        <f t="shared" si="56"/>
        <v>232.46666666666667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67.918376231081012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66.513705559911728</v>
      </c>
      <c r="T77" s="62">
        <f t="shared" si="88"/>
        <v>293.21772799887617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24.589448739425677</v>
      </c>
      <c r="AA77" s="23">
        <f>EXP(-LN(2)/25)*AA76+(1-EXP(-LN(2)/25))/(LN(2)/25)*Calculateur!V77*Calculateur!X77*VLOOKUP('Données projet'!$B$9,Paramètres!$A$1:$I$89,3,0)*0.475*44/12</f>
        <v>0.88712418188040998</v>
      </c>
      <c r="AB77" s="23">
        <f>EXP(-LN(2)/2)*AB76+(1-EXP(-LN(2)/2))/(LN(2)/2)*V77*Y77*VLOOKUP('Données projet'!$B$9,Paramètres!$A$1:$I$89,3,0)*0.475*44/12</f>
        <v>4.2186025997715089E-8</v>
      </c>
      <c r="AC77" s="24">
        <f t="shared" si="57"/>
        <v>25.476572963492114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67.918376231081012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3.3992364478763198E-14</v>
      </c>
      <c r="AK77" s="14">
        <f t="shared" si="89"/>
        <v>5.790027782444094E-13</v>
      </c>
      <c r="AL77" s="22">
        <f t="shared" si="58"/>
        <v>1.0676332069095257E-12</v>
      </c>
      <c r="AM77" s="62">
        <f t="shared" si="59"/>
        <v>285.70071284729812</v>
      </c>
      <c r="AN77" s="62">
        <f ca="1">AVERAGE(OFFSET($AM$3,0,0,'Données projet'!$E$10+1,1))-AVERAGE(OFFSET($H$3,0,0,'Données projet'!$E$10+1,1))</f>
        <v>210.41468975391527</v>
      </c>
      <c r="AO77" s="62">
        <f t="shared" si="90"/>
        <v>355.1268923221744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45.765635165824364</v>
      </c>
      <c r="AV77" s="23">
        <f>EXP(-LN(2)/25)*AV76+(1-EXP(-LN(2)/25))/(LN(2)/25)*Calculateur!AQ77*Calculateur!AS77*VLOOKUP('Données projet'!$B$10,Paramètres!$A$1:$I$89,3,0)*0.475*44/12</f>
        <v>0.98703751621964919</v>
      </c>
      <c r="AW77" s="23">
        <f>EXP(-LN(2)/2)*AW76+(1-EXP(-LN(2)/2))/(LN(2)/2)*AQ77*AT77*VLOOKUP('Données projet'!$B$10,Paramètres!$A$1:$I$89,3,0)*0.475*44/12</f>
        <v>2.6262250869012822E-4</v>
      </c>
      <c r="AX77" s="23">
        <f t="shared" si="60"/>
        <v>46.752935304552707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67.918376231081012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66.833935615974326</v>
      </c>
      <c r="BJ77" s="62">
        <f t="shared" si="92"/>
        <v>294.79914393693775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24.74030425316451</v>
      </c>
      <c r="BQ77" s="23">
        <f>EXP(-LN(2)/25)*BQ76+(1-EXP(-LN(2)/25))/(LN(2)/25)*Calculateur!BL77*Calculateur!BN77*VLOOKUP('Données projet'!$B$11,Paramètres!$A$1:$I$89,3,0)*0.475*44/12</f>
        <v>0.89256666152384845</v>
      </c>
      <c r="BR77" s="23">
        <f>EXP(-LN(2)/2)*BR76+(1-EXP(-LN(2)/2))/(LN(2)/2)*BL77*BO77*VLOOKUP('Données projet'!$B$11,Paramètres!$A$1:$I$89,3,0)*0.475*44/12</f>
        <v>4.2444835973161226E-8</v>
      </c>
      <c r="BS77" s="24">
        <f t="shared" si="63"/>
        <v>25.632870957133193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67.918376231081012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67.918376231081012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67.918376231081012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67.918376231081012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67.918376231081012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67.918376231081012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67.918376231081012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1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3.6666666666666665</v>
      </c>
      <c r="H78" s="70">
        <f t="shared" si="56"/>
        <v>232.46666666666667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67.954487749658199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66.513705559911728</v>
      </c>
      <c r="T78" s="62">
        <f t="shared" si="88"/>
        <v>293.21772799887617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24.107264647728332</v>
      </c>
      <c r="AA78" s="23">
        <f>EXP(-LN(2)/25)*AA77+(1-EXP(-LN(2)/25))/(LN(2)/25)*Calculateur!V78*Calculateur!X78*VLOOKUP('Données projet'!$B$9,Paramètres!$A$1:$I$89,3,0)*0.475*44/12</f>
        <v>0.86286572447505694</v>
      </c>
      <c r="AB78" s="23">
        <f>EXP(-LN(2)/2)*AB77+(1-EXP(-LN(2)/2))/(LN(2)/2)*V78*Y78*VLOOKUP('Données projet'!$B$9,Paramètres!$A$1:$I$89,3,0)*0.475*44/12</f>
        <v>2.9830025054296328E-8</v>
      </c>
      <c r="AC78" s="24">
        <f t="shared" si="57"/>
        <v>24.970130402033416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67.954487749658199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3.3992364478763198E-14</v>
      </c>
      <c r="AK78" s="14">
        <f t="shared" si="89"/>
        <v>5.790027782444094E-13</v>
      </c>
      <c r="AL78" s="22">
        <f t="shared" si="58"/>
        <v>1.0676332069095257E-12</v>
      </c>
      <c r="AM78" s="62">
        <f t="shared" si="59"/>
        <v>285.83312174874777</v>
      </c>
      <c r="AN78" s="62">
        <f ca="1">AVERAGE(OFFSET($AM$3,0,0,'Données projet'!$E$10+1,1))-AVERAGE(OFFSET($H$3,0,0,'Données projet'!$E$10+1,1))</f>
        <v>210.41468975391527</v>
      </c>
      <c r="AO78" s="62">
        <f t="shared" si="90"/>
        <v>355.1268923221744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44.868198974503692</v>
      </c>
      <c r="AV78" s="23">
        <f>EXP(-LN(2)/25)*AV77+(1-EXP(-LN(2)/25))/(LN(2)/25)*Calculateur!AQ78*Calculateur!AS78*VLOOKUP('Données projet'!$B$10,Paramètres!$A$1:$I$89,3,0)*0.475*44/12</f>
        <v>0.96004692343257581</v>
      </c>
      <c r="AW78" s="23">
        <f>EXP(-LN(2)/2)*AW77+(1-EXP(-LN(2)/2))/(LN(2)/2)*AQ78*AT78*VLOOKUP('Données projet'!$B$10,Paramètres!$A$1:$I$89,3,0)*0.475*44/12</f>
        <v>1.8570215678701267E-4</v>
      </c>
      <c r="AX78" s="23">
        <f t="shared" si="60"/>
        <v>45.828431600093054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67.954487749658199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66.833935615974326</v>
      </c>
      <c r="BJ78" s="62">
        <f t="shared" si="92"/>
        <v>294.79914393693775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24.255161976855526</v>
      </c>
      <c r="BQ78" s="23">
        <f>EXP(-LN(2)/25)*BQ77+(1-EXP(-LN(2)/25))/(LN(2)/25)*Calculateur!BL78*Calculateur!BN78*VLOOKUP('Données projet'!$B$11,Paramètres!$A$1:$I$89,3,0)*0.475*44/12</f>
        <v>0.86815937922643804</v>
      </c>
      <c r="BR78" s="23">
        <f>EXP(-LN(2)/2)*BR77+(1-EXP(-LN(2)/2))/(LN(2)/2)*BL78*BO78*VLOOKUP('Données projet'!$B$11,Paramètres!$A$1:$I$89,3,0)*0.475*44/12</f>
        <v>3.0013031342973016E-8</v>
      </c>
      <c r="BS78" s="24">
        <f t="shared" si="63"/>
        <v>25.123321386094993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67.954487749658199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67.954487749658199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67.954487749658199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67.954487749658199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67.954487749658199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67.954487749658199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67.954487749658199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1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3.6666666666666665</v>
      </c>
      <c r="H79" s="70">
        <f t="shared" si="56"/>
        <v>232.46666666666667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67.989972814121344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66.513705559911728</v>
      </c>
      <c r="T79" s="62">
        <f t="shared" si="88"/>
        <v>293.21772799887617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23.634535891965918</v>
      </c>
      <c r="AA79" s="23">
        <f>EXP(-LN(2)/25)*AA78+(1-EXP(-LN(2)/25))/(LN(2)/25)*Calculateur!V79*Calculateur!X79*VLOOKUP('Données projet'!$B$9,Paramètres!$A$1:$I$89,3,0)*0.475*44/12</f>
        <v>0.83927061586315022</v>
      </c>
      <c r="AB79" s="23">
        <f>EXP(-LN(2)/2)*AB78+(1-EXP(-LN(2)/2))/(LN(2)/2)*V79*Y79*VLOOKUP('Données projet'!$B$9,Paramètres!$A$1:$I$89,3,0)*0.475*44/12</f>
        <v>2.1093012998857544E-8</v>
      </c>
      <c r="AC79" s="24">
        <f t="shared" si="57"/>
        <v>24.473806528922079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67.989972814121344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3.3992364478763198E-14</v>
      </c>
      <c r="AK79" s="14">
        <f t="shared" si="89"/>
        <v>5.790027782444094E-13</v>
      </c>
      <c r="AL79" s="22">
        <f t="shared" si="58"/>
        <v>1.0676332069095257E-12</v>
      </c>
      <c r="AM79" s="62">
        <f t="shared" si="59"/>
        <v>285.96323365177932</v>
      </c>
      <c r="AN79" s="62">
        <f ca="1">AVERAGE(OFFSET($AM$3,0,0,'Données projet'!$E$10+1,1))-AVERAGE(OFFSET($H$3,0,0,'Données projet'!$E$10+1,1))</f>
        <v>210.41468975391527</v>
      </c>
      <c r="AO79" s="62">
        <f t="shared" si="90"/>
        <v>355.1268923221744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43.988360959512789</v>
      </c>
      <c r="AV79" s="23">
        <f>EXP(-LN(2)/25)*AV78+(1-EXP(-LN(2)/25))/(LN(2)/25)*Calculateur!AQ79*Calculateur!AS79*VLOOKUP('Données projet'!$B$10,Paramètres!$A$1:$I$89,3,0)*0.475*44/12</f>
        <v>0.93379438982463858</v>
      </c>
      <c r="AW79" s="23">
        <f>EXP(-LN(2)/2)*AW78+(1-EXP(-LN(2)/2))/(LN(2)/2)*AQ79*AT79*VLOOKUP('Données projet'!$B$10,Paramètres!$A$1:$I$89,3,0)*0.475*44/12</f>
        <v>1.3131125434506411E-4</v>
      </c>
      <c r="AX79" s="23">
        <f t="shared" si="60"/>
        <v>44.922286660591773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67.989972814121344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66.833935615974326</v>
      </c>
      <c r="BJ79" s="62">
        <f t="shared" si="92"/>
        <v>294.79914393693775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23.77953304467739</v>
      </c>
      <c r="BQ79" s="23">
        <f>EXP(-LN(2)/25)*BQ78+(1-EXP(-LN(2)/25))/(LN(2)/25)*Calculateur!BL79*Calculateur!BN79*VLOOKUP('Données projet'!$B$11,Paramètres!$A$1:$I$89,3,0)*0.475*44/12</f>
        <v>0.84441951534697357</v>
      </c>
      <c r="BR79" s="23">
        <f>EXP(-LN(2)/2)*BR78+(1-EXP(-LN(2)/2))/(LN(2)/2)*BL79*BO79*VLOOKUP('Données projet'!$B$11,Paramètres!$A$1:$I$89,3,0)*0.475*44/12</f>
        <v>2.1222417986580613E-8</v>
      </c>
      <c r="BS79" s="24">
        <f t="shared" si="63"/>
        <v>24.623952581246783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67.989972814121344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67.989972814121344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67.989972814121344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67.989972814121344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67.989972814121344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67.989972814121344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67.989972814121344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1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3.6666666666666665</v>
      </c>
      <c r="H80" s="70">
        <f t="shared" si="56"/>
        <v>232.46666666666667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68.02484229204876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66.513705559911728</v>
      </c>
      <c r="T80" s="62">
        <f t="shared" si="88"/>
        <v>293.21772799887617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23.171077058767935</v>
      </c>
      <c r="AA80" s="23">
        <f>EXP(-LN(2)/25)*AA79+(1-EXP(-LN(2)/25))/(LN(2)/25)*Calculateur!V80*Calculateur!X80*VLOOKUP('Données projet'!$B$9,Paramètres!$A$1:$I$89,3,0)*0.475*44/12</f>
        <v>0.81632071673704887</v>
      </c>
      <c r="AB80" s="23">
        <f>EXP(-LN(2)/2)*AB79+(1-EXP(-LN(2)/2))/(LN(2)/2)*V80*Y80*VLOOKUP('Données projet'!$B$9,Paramètres!$A$1:$I$89,3,0)*0.475*44/12</f>
        <v>1.4915012527148164E-8</v>
      </c>
      <c r="AC80" s="24">
        <f t="shared" si="57"/>
        <v>23.987397790419998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68.02484229204876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3.3992364478763198E-14</v>
      </c>
      <c r="AK80" s="14">
        <f t="shared" si="89"/>
        <v>5.790027782444094E-13</v>
      </c>
      <c r="AL80" s="22">
        <f t="shared" si="58"/>
        <v>1.0676332069095257E-12</v>
      </c>
      <c r="AM80" s="62">
        <f t="shared" si="59"/>
        <v>286.09108840417986</v>
      </c>
      <c r="AN80" s="62">
        <f ca="1">AVERAGE(OFFSET($AM$3,0,0,'Données projet'!$E$10+1,1))-AVERAGE(OFFSET($H$3,0,0,'Données projet'!$E$10+1,1))</f>
        <v>210.41468975391527</v>
      </c>
      <c r="AO80" s="62">
        <f t="shared" si="90"/>
        <v>355.1268923221744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43.125776031347662</v>
      </c>
      <c r="AV80" s="23">
        <f>EXP(-LN(2)/25)*AV79+(1-EXP(-LN(2)/25))/(LN(2)/25)*Calculateur!AQ80*Calculateur!AS80*VLOOKUP('Données projet'!$B$10,Paramètres!$A$1:$I$89,3,0)*0.475*44/12</f>
        <v>0.90825973312877106</v>
      </c>
      <c r="AW80" s="23">
        <f>EXP(-LN(2)/2)*AW79+(1-EXP(-LN(2)/2))/(LN(2)/2)*AQ80*AT80*VLOOKUP('Données projet'!$B$10,Paramètres!$A$1:$I$89,3,0)*0.475*44/12</f>
        <v>9.2851078393506336E-5</v>
      </c>
      <c r="AX80" s="23">
        <f t="shared" si="60"/>
        <v>44.034128615554827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68.02484229204876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66.833935615974326</v>
      </c>
      <c r="BJ80" s="62">
        <f t="shared" si="92"/>
        <v>294.79914393693775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23.313230905754263</v>
      </c>
      <c r="BQ80" s="23">
        <f>EXP(-LN(2)/25)*BQ79+(1-EXP(-LN(2)/25))/(LN(2)/25)*Calculateur!BL80*Calculateur!BN80*VLOOKUP('Données projet'!$B$11,Paramètres!$A$1:$I$89,3,0)*0.475*44/12</f>
        <v>0.82132881929371826</v>
      </c>
      <c r="BR80" s="23">
        <f>EXP(-LN(2)/2)*BR79+(1-EXP(-LN(2)/2))/(LN(2)/2)*BL80*BO80*VLOOKUP('Données projet'!$B$11,Paramètres!$A$1:$I$89,3,0)*0.475*44/12</f>
        <v>1.5006515671486508E-8</v>
      </c>
      <c r="BS80" s="24">
        <f t="shared" si="63"/>
        <v>24.134559740054499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68.02484229204876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68.02484229204876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68.02484229204876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68.02484229204876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68.02484229204876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68.02484229204876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68.02484229204876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1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3.6666666666666665</v>
      </c>
      <c r="H81" s="70">
        <f t="shared" si="56"/>
        <v>232.46666666666667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68.059106862490609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66.513705559911728</v>
      </c>
      <c r="T81" s="62">
        <f t="shared" si="88"/>
        <v>293.21772799887617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22.716706370606989</v>
      </c>
      <c r="AA81" s="23">
        <f>EXP(-LN(2)/25)*AA80+(1-EXP(-LN(2)/25))/(LN(2)/25)*Calculateur!V81*Calculateur!X81*VLOOKUP('Données projet'!$B$9,Paramètres!$A$1:$I$89,3,0)*0.475*44/12</f>
        <v>0.79399838380943355</v>
      </c>
      <c r="AB81" s="23">
        <f>EXP(-LN(2)/2)*AB80+(1-EXP(-LN(2)/2))/(LN(2)/2)*V81*Y81*VLOOKUP('Données projet'!$B$9,Paramètres!$A$1:$I$89,3,0)*0.475*44/12</f>
        <v>1.0546506499428772E-8</v>
      </c>
      <c r="AC81" s="24">
        <f t="shared" si="57"/>
        <v>23.510704764962931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68.059106862490609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3.3992364478763198E-14</v>
      </c>
      <c r="AK81" s="14">
        <f t="shared" si="89"/>
        <v>5.790027782444094E-13</v>
      </c>
      <c r="AL81" s="22">
        <f t="shared" si="58"/>
        <v>1.0676332069095257E-12</v>
      </c>
      <c r="AM81" s="62">
        <f t="shared" si="59"/>
        <v>286.21672516246667</v>
      </c>
      <c r="AN81" s="62">
        <f ca="1">AVERAGE(OFFSET($AM$3,0,0,'Données projet'!$E$10+1,1))-AVERAGE(OFFSET($H$3,0,0,'Données projet'!$E$10+1,1))</f>
        <v>210.41468975391527</v>
      </c>
      <c r="AO81" s="62">
        <f t="shared" si="90"/>
        <v>355.1268923221744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42.280105867498996</v>
      </c>
      <c r="AV81" s="23">
        <f>EXP(-LN(2)/25)*AV80+(1-EXP(-LN(2)/25))/(LN(2)/25)*Calculateur!AQ81*Calculateur!AS81*VLOOKUP('Données projet'!$B$10,Paramètres!$A$1:$I$89,3,0)*0.475*44/12</f>
        <v>0.88342332296306136</v>
      </c>
      <c r="AW81" s="23">
        <f>EXP(-LN(2)/2)*AW80+(1-EXP(-LN(2)/2))/(LN(2)/2)*AQ81*AT81*VLOOKUP('Données projet'!$B$10,Paramètres!$A$1:$I$89,3,0)*0.475*44/12</f>
        <v>6.5655627172532056E-5</v>
      </c>
      <c r="AX81" s="23">
        <f t="shared" si="60"/>
        <v>43.163594846089232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68.059106862490609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66.833935615974326</v>
      </c>
      <c r="BJ81" s="62">
        <f t="shared" si="92"/>
        <v>294.79914393693775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22.8560726673592</v>
      </c>
      <c r="BQ81" s="23">
        <f>EXP(-LN(2)/25)*BQ80+(1-EXP(-LN(2)/25))/(LN(2)/25)*Calculateur!BL81*Calculateur!BN81*VLOOKUP('Données projet'!$B$11,Paramètres!$A$1:$I$89,3,0)*0.475*44/12</f>
        <v>0.79886953953832607</v>
      </c>
      <c r="BR81" s="23">
        <f>EXP(-LN(2)/2)*BR80+(1-EXP(-LN(2)/2))/(LN(2)/2)*BL81*BO81*VLOOKUP('Données projet'!$B$11,Paramètres!$A$1:$I$89,3,0)*0.475*44/12</f>
        <v>1.0611208993290307E-8</v>
      </c>
      <c r="BS81" s="24">
        <f t="shared" si="63"/>
        <v>23.654942217508736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68.059106862490609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68.059106862490609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68.059106862490609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68.059106862490609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68.059106862490609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68.059106862490609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68.059106862490609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1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3.6666666666666665</v>
      </c>
      <c r="H82" s="70">
        <f t="shared" si="56"/>
        <v>232.46666666666667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68.092777019239406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66.513705559911728</v>
      </c>
      <c r="T82" s="62">
        <f t="shared" si="88"/>
        <v>293.21772799887617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22.271245614502124</v>
      </c>
      <c r="AA82" s="23">
        <f>EXP(-LN(2)/25)*AA81+(1-EXP(-LN(2)/25))/(LN(2)/25)*Calculateur!V82*Calculateur!X82*VLOOKUP('Données projet'!$B$9,Paramètres!$A$1:$I$89,3,0)*0.475*44/12</f>
        <v>0.77228645624960435</v>
      </c>
      <c r="AB82" s="23">
        <f>EXP(-LN(2)/2)*AB81+(1-EXP(-LN(2)/2))/(LN(2)/2)*V82*Y82*VLOOKUP('Données projet'!$B$9,Paramètres!$A$1:$I$89,3,0)*0.475*44/12</f>
        <v>7.4575062635740821E-9</v>
      </c>
      <c r="AC82" s="24">
        <f t="shared" si="57"/>
        <v>23.043532078209232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68.092777019239406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3.3992364478763198E-14</v>
      </c>
      <c r="AK82" s="14">
        <f t="shared" si="89"/>
        <v>5.790027782444094E-13</v>
      </c>
      <c r="AL82" s="22">
        <f t="shared" si="58"/>
        <v>1.0676332069095257E-12</v>
      </c>
      <c r="AM82" s="62">
        <f t="shared" si="59"/>
        <v>286.34018240387888</v>
      </c>
      <c r="AN82" s="62">
        <f ca="1">AVERAGE(OFFSET($AM$3,0,0,'Données projet'!$E$10+1,1))-AVERAGE(OFFSET($H$3,0,0,'Données projet'!$E$10+1,1))</f>
        <v>210.41468975391527</v>
      </c>
      <c r="AO82" s="62">
        <f t="shared" si="90"/>
        <v>355.1268923221744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41.451018779755536</v>
      </c>
      <c r="AV82" s="23">
        <f>EXP(-LN(2)/25)*AV81+(1-EXP(-LN(2)/25))/(LN(2)/25)*Calculateur!AQ82*Calculateur!AS82*VLOOKUP('Données projet'!$B$10,Paramètres!$A$1:$I$89,3,0)*0.475*44/12</f>
        <v>0.85926606573942299</v>
      </c>
      <c r="AW82" s="23">
        <f>EXP(-LN(2)/2)*AW81+(1-EXP(-LN(2)/2))/(LN(2)/2)*AQ82*AT82*VLOOKUP('Données projet'!$B$10,Paramètres!$A$1:$I$89,3,0)*0.475*44/12</f>
        <v>4.6425539196753168E-5</v>
      </c>
      <c r="AX82" s="23">
        <f t="shared" si="60"/>
        <v>42.310331271034158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68.092777019239406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66.833935615974326</v>
      </c>
      <c r="BJ82" s="62">
        <f t="shared" si="92"/>
        <v>294.79914393693775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22.407879023180072</v>
      </c>
      <c r="BQ82" s="23">
        <f>EXP(-LN(2)/25)*BQ81+(1-EXP(-LN(2)/25))/(LN(2)/25)*Calculateur!BL82*Calculateur!BN82*VLOOKUP('Données projet'!$B$11,Paramètres!$A$1:$I$89,3,0)*0.475*44/12</f>
        <v>0.7770244099689273</v>
      </c>
      <c r="BR82" s="23">
        <f>EXP(-LN(2)/2)*BR81+(1-EXP(-LN(2)/2))/(LN(2)/2)*BL82*BO82*VLOOKUP('Données projet'!$B$11,Paramètres!$A$1:$I$89,3,0)*0.475*44/12</f>
        <v>7.503257835743254E-9</v>
      </c>
      <c r="BS82" s="24">
        <f t="shared" si="63"/>
        <v>23.184903440652256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68.092777019239406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68.092777019239406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68.092777019239406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68.092777019239406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68.092777019239406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68.092777019239406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68.092777019239406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1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3.6666666666666665</v>
      </c>
      <c r="H83" s="70">
        <f t="shared" si="56"/>
        <v>232.46666666666667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68.125863074043792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66.513705559911728</v>
      </c>
      <c r="T83" s="62">
        <f t="shared" si="88"/>
        <v>293.21772799887617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21.834520072120242</v>
      </c>
      <c r="AA83" s="23">
        <f>EXP(-LN(2)/25)*AA82+(1-EXP(-LN(2)/25))/(LN(2)/25)*Calculateur!V83*Calculateur!X83*VLOOKUP('Données projet'!$B$9,Paramètres!$A$1:$I$89,3,0)*0.475*44/12</f>
        <v>0.75116824249067926</v>
      </c>
      <c r="AB83" s="23">
        <f>EXP(-LN(2)/2)*AB82+(1-EXP(-LN(2)/2))/(LN(2)/2)*V83*Y83*VLOOKUP('Données projet'!$B$9,Paramètres!$A$1:$I$89,3,0)*0.475*44/12</f>
        <v>5.2732532497143861E-9</v>
      </c>
      <c r="AC83" s="24">
        <f t="shared" si="57"/>
        <v>22.585688319884174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68.125863074043792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3.3992364478763198E-14</v>
      </c>
      <c r="AK83" s="14">
        <f t="shared" si="89"/>
        <v>5.790027782444094E-13</v>
      </c>
      <c r="AL83" s="22">
        <f t="shared" si="58"/>
        <v>1.0676332069095257E-12</v>
      </c>
      <c r="AM83" s="62">
        <f t="shared" si="59"/>
        <v>286.46149793816164</v>
      </c>
      <c r="AN83" s="62">
        <f ca="1">AVERAGE(OFFSET($AM$3,0,0,'Données projet'!$E$10+1,1))-AVERAGE(OFFSET($H$3,0,0,'Données projet'!$E$10+1,1))</f>
        <v>210.41468975391527</v>
      </c>
      <c r="AO83" s="62">
        <f t="shared" si="90"/>
        <v>355.1268923221744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40.638189584109533</v>
      </c>
      <c r="AV83" s="23">
        <f>EXP(-LN(2)/25)*AV82+(1-EXP(-LN(2)/25))/(LN(2)/25)*Calculateur!AQ83*Calculateur!AS83*VLOOKUP('Données projet'!$B$10,Paramètres!$A$1:$I$89,3,0)*0.475*44/12</f>
        <v>0.83576938998493999</v>
      </c>
      <c r="AW83" s="23">
        <f>EXP(-LN(2)/2)*AW82+(1-EXP(-LN(2)/2))/(LN(2)/2)*AQ83*AT83*VLOOKUP('Données projet'!$B$10,Paramètres!$A$1:$I$89,3,0)*0.475*44/12</f>
        <v>3.2827813586266028E-5</v>
      </c>
      <c r="AX83" s="23">
        <f t="shared" si="60"/>
        <v>41.473991801908056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68.125863074043792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66.833935615974326</v>
      </c>
      <c r="BJ83" s="62">
        <f t="shared" si="92"/>
        <v>294.79914393693775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21.968474182992168</v>
      </c>
      <c r="BQ83" s="23">
        <f>EXP(-LN(2)/25)*BQ82+(1-EXP(-LN(2)/25))/(LN(2)/25)*Calculateur!BL83*Calculateur!BN83*VLOOKUP('Données projet'!$B$11,Paramètres!$A$1:$I$89,3,0)*0.475*44/12</f>
        <v>0.75577663661638916</v>
      </c>
      <c r="BR83" s="23">
        <f>EXP(-LN(2)/2)*BR82+(1-EXP(-LN(2)/2))/(LN(2)/2)*BL83*BO83*VLOOKUP('Données projet'!$B$11,Paramètres!$A$1:$I$89,3,0)*0.475*44/12</f>
        <v>5.3056044966451533E-9</v>
      </c>
      <c r="BS83" s="24">
        <f t="shared" si="63"/>
        <v>22.724250824914161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68.125863074043792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68.125863074043792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68.125863074043792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68.125863074043792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68.125863074043792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68.125863074043792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68.125863074043792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1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3.6666666666666665</v>
      </c>
      <c r="H84" s="70">
        <f t="shared" si="56"/>
        <v>232.46666666666667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68.158375159766663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66.513705559911728</v>
      </c>
      <c r="T84" s="62">
        <f t="shared" si="88"/>
        <v>293.21772799887617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21.406358451248192</v>
      </c>
      <c r="AA84" s="23">
        <f>EXP(-LN(2)/25)*AA83+(1-EXP(-LN(2)/25))/(LN(2)/25)*Calculateur!V84*Calculateur!X84*VLOOKUP('Données projet'!$B$9,Paramètres!$A$1:$I$89,3,0)*0.475*44/12</f>
        <v>0.73062750739755056</v>
      </c>
      <c r="AB84" s="23">
        <f>EXP(-LN(2)/2)*AB83+(1-EXP(-LN(2)/2))/(LN(2)/2)*V84*Y84*VLOOKUP('Données projet'!$B$9,Paramètres!$A$1:$I$89,3,0)*0.475*44/12</f>
        <v>3.7287531317870411E-9</v>
      </c>
      <c r="AC84" s="24">
        <f t="shared" si="57"/>
        <v>22.136985962374496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68.158375159766663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3.3992364478763198E-14</v>
      </c>
      <c r="AK84" s="14">
        <f t="shared" si="89"/>
        <v>5.790027782444094E-13</v>
      </c>
      <c r="AL84" s="22">
        <f t="shared" si="58"/>
        <v>1.0676332069095257E-12</v>
      </c>
      <c r="AM84" s="62">
        <f t="shared" si="59"/>
        <v>286.58070891914554</v>
      </c>
      <c r="AN84" s="62">
        <f ca="1">AVERAGE(OFFSET($AM$3,0,0,'Données projet'!$E$10+1,1))-AVERAGE(OFFSET($H$3,0,0,'Données projet'!$E$10+1,1))</f>
        <v>210.41468975391527</v>
      </c>
      <c r="AO84" s="62">
        <f t="shared" si="90"/>
        <v>355.1268923221744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39.84129947321329</v>
      </c>
      <c r="AV84" s="23">
        <f>EXP(-LN(2)/25)*AV83+(1-EXP(-LN(2)/25))/(LN(2)/25)*Calculateur!AQ84*Calculateur!AS84*VLOOKUP('Données projet'!$B$10,Paramètres!$A$1:$I$89,3,0)*0.475*44/12</f>
        <v>0.81291523206459981</v>
      </c>
      <c r="AW84" s="23">
        <f>EXP(-LN(2)/2)*AW83+(1-EXP(-LN(2)/2))/(LN(2)/2)*AQ84*AT84*VLOOKUP('Données projet'!$B$10,Paramètres!$A$1:$I$89,3,0)*0.475*44/12</f>
        <v>2.3212769598376584E-5</v>
      </c>
      <c r="AX84" s="23">
        <f t="shared" si="60"/>
        <v>40.654237918047485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68.158375159766663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66.833935615974326</v>
      </c>
      <c r="BJ84" s="62">
        <f t="shared" si="92"/>
        <v>294.79914393693775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21.537685803709856</v>
      </c>
      <c r="BQ84" s="23">
        <f>EXP(-LN(2)/25)*BQ83+(1-EXP(-LN(2)/25))/(LN(2)/25)*Calculateur!BL84*Calculateur!BN84*VLOOKUP('Données projet'!$B$11,Paramètres!$A$1:$I$89,3,0)*0.475*44/12</f>
        <v>0.73510988474354799</v>
      </c>
      <c r="BR84" s="23">
        <f>EXP(-LN(2)/2)*BR83+(1-EXP(-LN(2)/2))/(LN(2)/2)*BL84*BO84*VLOOKUP('Données projet'!$B$11,Paramètres!$A$1:$I$89,3,0)*0.475*44/12</f>
        <v>3.751628917871627E-9</v>
      </c>
      <c r="BS84" s="24">
        <f t="shared" si="63"/>
        <v>22.272795692205033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68.158375159766663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68.158375159766663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68.158375159766663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68.158375159766663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68.158375159766663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68.158375159766663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68.158375159766663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1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3.6666666666666665</v>
      </c>
      <c r="H85" s="70">
        <f t="shared" si="56"/>
        <v>232.46666666666667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68.190323233488385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66.513705559911728</v>
      </c>
      <c r="T85" s="62">
        <f t="shared" si="88"/>
        <v>293.21772799887617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20.986592818608639</v>
      </c>
      <c r="AA85" s="23">
        <f>EXP(-LN(2)/25)*AA84+(1-EXP(-LN(2)/25))/(LN(2)/25)*Calculateur!V85*Calculateur!X85*VLOOKUP('Données projet'!$B$9,Paramètres!$A$1:$I$89,3,0)*0.475*44/12</f>
        <v>0.71064845978573377</v>
      </c>
      <c r="AB85" s="23">
        <f>EXP(-LN(2)/2)*AB84+(1-EXP(-LN(2)/2))/(LN(2)/2)*V85*Y85*VLOOKUP('Données projet'!$B$9,Paramètres!$A$1:$I$89,3,0)*0.475*44/12</f>
        <v>2.636626624857193E-9</v>
      </c>
      <c r="AC85" s="24">
        <f t="shared" si="57"/>
        <v>21.697241281030998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68.190323233488385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3.3992364478763198E-14</v>
      </c>
      <c r="AK85" s="14">
        <f t="shared" si="89"/>
        <v>5.790027782444094E-13</v>
      </c>
      <c r="AL85" s="22">
        <f t="shared" si="58"/>
        <v>1.0676332069095257E-12</v>
      </c>
      <c r="AM85" s="62">
        <f t="shared" si="59"/>
        <v>286.69785185612517</v>
      </c>
      <c r="AN85" s="62">
        <f ca="1">AVERAGE(OFFSET($AM$3,0,0,'Données projet'!$E$10+1,1))-AVERAGE(OFFSET($H$3,0,0,'Données projet'!$E$10+1,1))</f>
        <v>210.41468975391527</v>
      </c>
      <c r="AO85" s="62">
        <f t="shared" si="90"/>
        <v>355.1268923221744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39.060035891336753</v>
      </c>
      <c r="AV85" s="23">
        <f>EXP(-LN(2)/25)*AV84+(1-EXP(-LN(2)/25))/(LN(2)/25)*Calculateur!AQ85*Calculateur!AS85*VLOOKUP('Données projet'!$B$10,Paramètres!$A$1:$I$89,3,0)*0.475*44/12</f>
        <v>0.79068602229443918</v>
      </c>
      <c r="AW85" s="23">
        <f>EXP(-LN(2)/2)*AW84+(1-EXP(-LN(2)/2))/(LN(2)/2)*AQ85*AT85*VLOOKUP('Données projet'!$B$10,Paramètres!$A$1:$I$89,3,0)*0.475*44/12</f>
        <v>1.6413906793133014E-5</v>
      </c>
      <c r="AX85" s="23">
        <f t="shared" si="60"/>
        <v>39.850738327537982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68.190323233488385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66.833935615974326</v>
      </c>
      <c r="BJ85" s="62">
        <f t="shared" si="92"/>
        <v>294.79914393693775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21.115344921790307</v>
      </c>
      <c r="BQ85" s="23">
        <f>EXP(-LN(2)/25)*BQ84+(1-EXP(-LN(2)/25))/(LN(2)/25)*Calculateur!BL85*Calculateur!BN85*VLOOKUP('Données projet'!$B$11,Paramètres!$A$1:$I$89,3,0)*0.475*44/12</f>
        <v>0.71500826628748693</v>
      </c>
      <c r="BR85" s="23">
        <f>EXP(-LN(2)/2)*BR84+(1-EXP(-LN(2)/2))/(LN(2)/2)*BL85*BO85*VLOOKUP('Données projet'!$B$11,Paramètres!$A$1:$I$89,3,0)*0.475*44/12</f>
        <v>2.6528022483225766E-9</v>
      </c>
      <c r="BS85" s="24">
        <f t="shared" si="63"/>
        <v>21.830353190730595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68.190323233488385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68.190323233488385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68.190323233488385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68.190323233488385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68.190323233488385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68.190323233488385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68.190323233488385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1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3.6666666666666665</v>
      </c>
      <c r="H86" s="70">
        <f t="shared" si="56"/>
        <v>232.46666666666667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68.221717079556214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66.513705559911728</v>
      </c>
      <c r="T86" s="62">
        <f t="shared" si="88"/>
        <v>293.21772799887617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20.575058533993392</v>
      </c>
      <c r="AA86" s="23">
        <f>EXP(-LN(2)/25)*AA85+(1-EXP(-LN(2)/25))/(LN(2)/25)*Calculateur!V86*Calculateur!X86*VLOOKUP('Données projet'!$B$9,Paramètres!$A$1:$I$89,3,0)*0.475*44/12</f>
        <v>0.69121574028151456</v>
      </c>
      <c r="AB86" s="23">
        <f>EXP(-LN(2)/2)*AB85+(1-EXP(-LN(2)/2))/(LN(2)/2)*V86*Y86*VLOOKUP('Données projet'!$B$9,Paramètres!$A$1:$I$89,3,0)*0.475*44/12</f>
        <v>1.8643765658935205E-9</v>
      </c>
      <c r="AC86" s="24">
        <f t="shared" si="57"/>
        <v>21.266274276139281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68.221717079556214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3.3992364478763198E-14</v>
      </c>
      <c r="AK86" s="14">
        <f t="shared" si="89"/>
        <v>5.790027782444094E-13</v>
      </c>
      <c r="AL86" s="22">
        <f t="shared" si="58"/>
        <v>1.0676332069095257E-12</v>
      </c>
      <c r="AM86" s="62">
        <f t="shared" si="59"/>
        <v>286.81296262504054</v>
      </c>
      <c r="AN86" s="62">
        <f ca="1">AVERAGE(OFFSET($AM$3,0,0,'Données projet'!$E$10+1,1))-AVERAGE(OFFSET($H$3,0,0,'Données projet'!$E$10+1,1))</f>
        <v>210.41468975391527</v>
      </c>
      <c r="AO86" s="62">
        <f t="shared" si="90"/>
        <v>355.1268923221744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38.294092411777079</v>
      </c>
      <c r="AV86" s="23">
        <f>EXP(-LN(2)/25)*AV85+(1-EXP(-LN(2)/25))/(LN(2)/25)*Calculateur!AQ86*Calculateur!AS86*VLOOKUP('Données projet'!$B$10,Paramètres!$A$1:$I$89,3,0)*0.475*44/12</f>
        <v>0.76906467143442692</v>
      </c>
      <c r="AW86" s="23">
        <f>EXP(-LN(2)/2)*AW85+(1-EXP(-LN(2)/2))/(LN(2)/2)*AQ86*AT86*VLOOKUP('Données projet'!$B$10,Paramètres!$A$1:$I$89,3,0)*0.475*44/12</f>
        <v>1.1606384799188292E-5</v>
      </c>
      <c r="AX86" s="23">
        <f t="shared" si="60"/>
        <v>39.06316868959631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68.221717079556214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66.833935615974326</v>
      </c>
      <c r="BJ86" s="62">
        <f t="shared" si="92"/>
        <v>294.79914393693775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20.701285886962697</v>
      </c>
      <c r="BQ86" s="23">
        <f>EXP(-LN(2)/25)*BQ85+(1-EXP(-LN(2)/25))/(LN(2)/25)*Calculateur!BL86*Calculateur!BN86*VLOOKUP('Données projet'!$B$11,Paramètres!$A$1:$I$89,3,0)*0.475*44/12</f>
        <v>0.69545632764520504</v>
      </c>
      <c r="BR86" s="23">
        <f>EXP(-LN(2)/2)*BR85+(1-EXP(-LN(2)/2))/(LN(2)/2)*BL86*BO86*VLOOKUP('Données projet'!$B$11,Paramètres!$A$1:$I$89,3,0)*0.475*44/12</f>
        <v>1.8758144589358135E-9</v>
      </c>
      <c r="BS86" s="24">
        <f t="shared" si="63"/>
        <v>21.396742216483716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68.221717079556214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68.221717079556214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68.221717079556214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68.221717079556214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68.221717079556214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68.221717079556214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68.221717079556214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1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3.6666666666666665</v>
      </c>
      <c r="H87" s="70">
        <f t="shared" si="56"/>
        <v>232.46666666666667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68.252566312580896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66.513705559911728</v>
      </c>
      <c r="T87" s="62">
        <f t="shared" si="88"/>
        <v>293.21772799887617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20.171594185688324</v>
      </c>
      <c r="AA87" s="23">
        <f>EXP(-LN(2)/25)*AA86+(1-EXP(-LN(2)/25))/(LN(2)/25)*Calculateur!V87*Calculateur!X87*VLOOKUP('Données projet'!$B$9,Paramètres!$A$1:$I$89,3,0)*0.475*44/12</f>
        <v>0.67231440951406052</v>
      </c>
      <c r="AB87" s="23">
        <f>EXP(-LN(2)/2)*AB86+(1-EXP(-LN(2)/2))/(LN(2)/2)*V87*Y87*VLOOKUP('Données projet'!$B$9,Paramètres!$A$1:$I$89,3,0)*0.475*44/12</f>
        <v>1.3183133124285965E-9</v>
      </c>
      <c r="AC87" s="24">
        <f t="shared" si="57"/>
        <v>20.843908596520698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68.252566312580896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3.3992364478763198E-14</v>
      </c>
      <c r="AK87" s="14">
        <f t="shared" si="89"/>
        <v>5.790027782444094E-13</v>
      </c>
      <c r="AL87" s="22">
        <f t="shared" si="58"/>
        <v>1.0676332069095257E-12</v>
      </c>
      <c r="AM87" s="62">
        <f t="shared" si="59"/>
        <v>286.92607647946437</v>
      </c>
      <c r="AN87" s="62">
        <f ca="1">AVERAGE(OFFSET($AM$3,0,0,'Données projet'!$E$10+1,1))-AVERAGE(OFFSET($H$3,0,0,'Données projet'!$E$10+1,1))</f>
        <v>210.41468975391527</v>
      </c>
      <c r="AO87" s="62">
        <f t="shared" si="90"/>
        <v>355.1268923221744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37.543168616672183</v>
      </c>
      <c r="AV87" s="23">
        <f>EXP(-LN(2)/25)*AV86+(1-EXP(-LN(2)/25))/(LN(2)/25)*Calculateur!AQ87*Calculateur!AS87*VLOOKUP('Données projet'!$B$10,Paramètres!$A$1:$I$89,3,0)*0.475*44/12</f>
        <v>0.74803455755069914</v>
      </c>
      <c r="AW87" s="23">
        <f>EXP(-LN(2)/2)*AW86+(1-EXP(-LN(2)/2))/(LN(2)/2)*AQ87*AT87*VLOOKUP('Données projet'!$B$10,Paramètres!$A$1:$I$89,3,0)*0.475*44/12</f>
        <v>8.2069533965665069E-6</v>
      </c>
      <c r="AX87" s="23">
        <f t="shared" si="60"/>
        <v>38.291211381176275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68.252566312580896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66.833935615974326</v>
      </c>
      <c r="BJ87" s="62">
        <f t="shared" si="92"/>
        <v>294.79914393693775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20.295346297256984</v>
      </c>
      <c r="BQ87" s="23">
        <f>EXP(-LN(2)/25)*BQ86+(1-EXP(-LN(2)/25))/(LN(2)/25)*Calculateur!BL87*Calculateur!BN87*VLOOKUP('Données projet'!$B$11,Paramètres!$A$1:$I$89,3,0)*0.475*44/12</f>
        <v>0.67643903779328818</v>
      </c>
      <c r="BR87" s="23">
        <f>EXP(-LN(2)/2)*BR86+(1-EXP(-LN(2)/2))/(LN(2)/2)*BL87*BO87*VLOOKUP('Données projet'!$B$11,Paramètres!$A$1:$I$89,3,0)*0.475*44/12</f>
        <v>1.3264011241612883E-9</v>
      </c>
      <c r="BS87" s="24">
        <f t="shared" si="63"/>
        <v>20.971785336376673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68.252566312580896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68.252566312580896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68.252566312580896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68.252566312580896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68.252566312580896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68.252566312580896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68.252566312580896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1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3.6666666666666665</v>
      </c>
      <c r="H88" s="70">
        <f t="shared" si="56"/>
        <v>232.46666666666667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68.282880380381158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66.513705559911728</v>
      </c>
      <c r="T88" s="62">
        <f t="shared" si="88"/>
        <v>293.21772799887617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19.776041527164566</v>
      </c>
      <c r="AA88" s="23">
        <f>EXP(-LN(2)/25)*AA87+(1-EXP(-LN(2)/25))/(LN(2)/25)*Calculateur!V88*Calculateur!X88*VLOOKUP('Données projet'!$B$9,Paramètres!$A$1:$I$89,3,0)*0.475*44/12</f>
        <v>0.65392993663042032</v>
      </c>
      <c r="AB88" s="23">
        <f>EXP(-LN(2)/2)*AB87+(1-EXP(-LN(2)/2))/(LN(2)/2)*V88*Y88*VLOOKUP('Données projet'!$B$9,Paramètres!$A$1:$I$89,3,0)*0.475*44/12</f>
        <v>9.3218828294676026E-10</v>
      </c>
      <c r="AC88" s="24">
        <f t="shared" si="57"/>
        <v>20.429971464727174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68.282880380381158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3.3992364478763198E-14</v>
      </c>
      <c r="AK88" s="14">
        <f t="shared" si="89"/>
        <v>5.790027782444094E-13</v>
      </c>
      <c r="AL88" s="22">
        <f t="shared" si="58"/>
        <v>1.0676332069095257E-12</v>
      </c>
      <c r="AM88" s="62">
        <f t="shared" si="59"/>
        <v>287.03722806139865</v>
      </c>
      <c r="AN88" s="62">
        <f ca="1">AVERAGE(OFFSET($AM$3,0,0,'Données projet'!$E$10+1,1))-AVERAGE(OFFSET($H$3,0,0,'Données projet'!$E$10+1,1))</f>
        <v>210.41468975391527</v>
      </c>
      <c r="AO88" s="62">
        <f t="shared" si="90"/>
        <v>355.1268923221744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36.806969979171001</v>
      </c>
      <c r="AV88" s="23">
        <f>EXP(-LN(2)/25)*AV87+(1-EXP(-LN(2)/25))/(LN(2)/25)*Calculateur!AQ88*Calculateur!AS88*VLOOKUP('Données projet'!$B$10,Paramètres!$A$1:$I$89,3,0)*0.475*44/12</f>
        <v>0.7275795132370475</v>
      </c>
      <c r="AW88" s="23">
        <f>EXP(-LN(2)/2)*AW87+(1-EXP(-LN(2)/2))/(LN(2)/2)*AQ88*AT88*VLOOKUP('Données projet'!$B$10,Paramètres!$A$1:$I$89,3,0)*0.475*44/12</f>
        <v>5.803192399594146E-6</v>
      </c>
      <c r="AX88" s="23">
        <f t="shared" si="60"/>
        <v>37.534555295600448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68.282880380381158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66.833935615974326</v>
      </c>
      <c r="BJ88" s="62">
        <f t="shared" si="92"/>
        <v>294.79914393693775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19.897366935306696</v>
      </c>
      <c r="BQ88" s="23">
        <f>EXP(-LN(2)/25)*BQ87+(1-EXP(-LN(2)/25))/(LN(2)/25)*Calculateur!BL88*Calculateur!BN88*VLOOKUP('Données projet'!$B$11,Paramètres!$A$1:$I$89,3,0)*0.475*44/12</f>
        <v>0.65794177673244769</v>
      </c>
      <c r="BR88" s="23">
        <f>EXP(-LN(2)/2)*BR87+(1-EXP(-LN(2)/2))/(LN(2)/2)*BL88*BO88*VLOOKUP('Données projet'!$B$11,Paramètres!$A$1:$I$89,3,0)*0.475*44/12</f>
        <v>9.3790722946790675E-10</v>
      </c>
      <c r="BS88" s="24">
        <f t="shared" si="63"/>
        <v>20.555308712977048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68.282880380381158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68.282880380381158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68.282880380381158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68.282880380381158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68.282880380381158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68.282880380381158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68.282880380381158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1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3.6666666666666665</v>
      </c>
      <c r="H89" s="70">
        <f t="shared" si="56"/>
        <v>232.46666666666667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68.312668566877193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66.513705559911728</v>
      </c>
      <c r="T89" s="62">
        <f t="shared" si="88"/>
        <v>293.21772799887617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19.388245415011156</v>
      </c>
      <c r="AA89" s="23">
        <f>EXP(-LN(2)/25)*AA88+(1-EXP(-LN(2)/25))/(LN(2)/25)*Calculateur!V89*Calculateur!X89*VLOOKUP('Données projet'!$B$9,Paramètres!$A$1:$I$89,3,0)*0.475*44/12</f>
        <v>0.63604818812458064</v>
      </c>
      <c r="AB89" s="23">
        <f>EXP(-LN(2)/2)*AB88+(1-EXP(-LN(2)/2))/(LN(2)/2)*V89*Y89*VLOOKUP('Données projet'!$B$9,Paramètres!$A$1:$I$89,3,0)*0.475*44/12</f>
        <v>6.5915665621429826E-10</v>
      </c>
      <c r="AC89" s="24">
        <f t="shared" si="57"/>
        <v>20.024293603794892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68.312668566877193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3.3992364478763198E-14</v>
      </c>
      <c r="AK89" s="14">
        <f t="shared" si="89"/>
        <v>5.790027782444094E-13</v>
      </c>
      <c r="AL89" s="22">
        <f t="shared" si="58"/>
        <v>1.0676332069095257E-12</v>
      </c>
      <c r="AM89" s="62">
        <f t="shared" si="59"/>
        <v>287.14645141188413</v>
      </c>
      <c r="AN89" s="62">
        <f ca="1">AVERAGE(OFFSET($AM$3,0,0,'Données projet'!$E$10+1,1))-AVERAGE(OFFSET($H$3,0,0,'Données projet'!$E$10+1,1))</f>
        <v>210.41468975391527</v>
      </c>
      <c r="AO89" s="62">
        <f t="shared" si="90"/>
        <v>355.1268923221744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36.085207747914389</v>
      </c>
      <c r="AV89" s="23">
        <f>EXP(-LN(2)/25)*AV88+(1-EXP(-LN(2)/25))/(LN(2)/25)*Calculateur!AQ89*Calculateur!AS89*VLOOKUP('Données projet'!$B$10,Paramètres!$A$1:$I$89,3,0)*0.475*44/12</f>
        <v>0.70768381318583673</v>
      </c>
      <c r="AW89" s="23">
        <f>EXP(-LN(2)/2)*AW88+(1-EXP(-LN(2)/2))/(LN(2)/2)*AQ89*AT89*VLOOKUP('Données projet'!$B$10,Paramètres!$A$1:$I$89,3,0)*0.475*44/12</f>
        <v>4.1034766982832535E-6</v>
      </c>
      <c r="AX89" s="23">
        <f t="shared" si="60"/>
        <v>36.792895664576925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68.312668566877193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66.833935615974326</v>
      </c>
      <c r="BJ89" s="62">
        <f t="shared" si="92"/>
        <v>294.79914393693775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19.507191705900812</v>
      </c>
      <c r="BQ89" s="23">
        <f>EXP(-LN(2)/25)*BQ88+(1-EXP(-LN(2)/25))/(LN(2)/25)*Calculateur!BL89*Calculateur!BN89*VLOOKUP('Données projet'!$B$11,Paramètres!$A$1:$I$89,3,0)*0.475*44/12</f>
        <v>0.63995032424804466</v>
      </c>
      <c r="BR89" s="23">
        <f>EXP(-LN(2)/2)*BR88+(1-EXP(-LN(2)/2))/(LN(2)/2)*BL89*BO89*VLOOKUP('Données projet'!$B$11,Paramètres!$A$1:$I$89,3,0)*0.475*44/12</f>
        <v>6.6320056208064416E-10</v>
      </c>
      <c r="BS89" s="24">
        <f t="shared" si="63"/>
        <v>20.147142030812056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68.312668566877193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68.312668566877193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68.312668566877193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68.312668566877193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68.312668566877193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68.312668566877193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68.312668566877193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1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3.6666666666666665</v>
      </c>
      <c r="H90" s="70">
        <f t="shared" si="56"/>
        <v>232.46666666666667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68.341939994933909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66.513705559911728</v>
      </c>
      <c r="T90" s="62">
        <f t="shared" si="88"/>
        <v>293.21772799887617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19.008053748084802</v>
      </c>
      <c r="AA90" s="23">
        <f>EXP(-LN(2)/25)*AA89+(1-EXP(-LN(2)/25))/(LN(2)/25)*Calculateur!V90*Calculateur!X90*VLOOKUP('Données projet'!$B$9,Paramètres!$A$1:$I$89,3,0)*0.475*44/12</f>
        <v>0.61865541697199344</v>
      </c>
      <c r="AB90" s="23">
        <f>EXP(-LN(2)/2)*AB89+(1-EXP(-LN(2)/2))/(LN(2)/2)*V90*Y90*VLOOKUP('Données projet'!$B$9,Paramètres!$A$1:$I$89,3,0)*0.475*44/12</f>
        <v>4.6609414147338013E-10</v>
      </c>
      <c r="AC90" s="24">
        <f t="shared" si="57"/>
        <v>19.62670916552289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68.341939994933909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3.3992364478763198E-14</v>
      </c>
      <c r="AK90" s="14">
        <f t="shared" si="89"/>
        <v>5.790027782444094E-13</v>
      </c>
      <c r="AL90" s="22">
        <f t="shared" si="58"/>
        <v>1.0676332069095257E-12</v>
      </c>
      <c r="AM90" s="62">
        <f t="shared" si="59"/>
        <v>287.2537799814254</v>
      </c>
      <c r="AN90" s="62">
        <f ca="1">AVERAGE(OFFSET($AM$3,0,0,'Données projet'!$E$10+1,1))-AVERAGE(OFFSET($H$3,0,0,'Données projet'!$E$10+1,1))</f>
        <v>210.41468975391527</v>
      </c>
      <c r="AO90" s="62">
        <f t="shared" si="90"/>
        <v>355.1268923221744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35.377598833781228</v>
      </c>
      <c r="AV90" s="23">
        <f>EXP(-LN(2)/25)*AV89+(1-EXP(-LN(2)/25))/(LN(2)/25)*Calculateur!AQ90*Calculateur!AS90*VLOOKUP('Données projet'!$B$10,Paramètres!$A$1:$I$89,3,0)*0.475*44/12</f>
        <v>0.68833216209879577</v>
      </c>
      <c r="AW90" s="23">
        <f>EXP(-LN(2)/2)*AW89+(1-EXP(-LN(2)/2))/(LN(2)/2)*AQ90*AT90*VLOOKUP('Données projet'!$B$10,Paramètres!$A$1:$I$89,3,0)*0.475*44/12</f>
        <v>2.901596199797073E-6</v>
      </c>
      <c r="AX90" s="23">
        <f t="shared" si="60"/>
        <v>36.065933897476221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68.341939994933909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66.833935615974326</v>
      </c>
      <c r="BJ90" s="62">
        <f t="shared" si="92"/>
        <v>294.79914393693775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19.124667574760188</v>
      </c>
      <c r="BQ90" s="23">
        <f>EXP(-LN(2)/25)*BQ89+(1-EXP(-LN(2)/25))/(LN(2)/25)*Calculateur!BL90*Calculateur!BN90*VLOOKUP('Données projet'!$B$11,Paramètres!$A$1:$I$89,3,0)*0.475*44/12</f>
        <v>0.62245084897795699</v>
      </c>
      <c r="BR90" s="23">
        <f>EXP(-LN(2)/2)*BR89+(1-EXP(-LN(2)/2))/(LN(2)/2)*BL90*BO90*VLOOKUP('Données projet'!$B$11,Paramètres!$A$1:$I$89,3,0)*0.475*44/12</f>
        <v>4.6895361473395338E-10</v>
      </c>
      <c r="BS90" s="24">
        <f t="shared" si="63"/>
        <v>19.747118424207098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68.341939994933909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68.341939994933909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68.341939994933909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68.341939994933909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68.341939994933909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68.341939994933909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68.341939994933909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1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3.6666666666666665</v>
      </c>
      <c r="H91" s="70">
        <f t="shared" si="56"/>
        <v>232.46666666666667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68.370703629154974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66.513705559911728</v>
      </c>
      <c r="T91" s="62">
        <f t="shared" si="88"/>
        <v>293.21772799887617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18.635317407852856</v>
      </c>
      <c r="AA91" s="23">
        <f>EXP(-LN(2)/25)*AA90+(1-EXP(-LN(2)/25))/(LN(2)/25)*Calculateur!V91*Calculateur!X91*VLOOKUP('Données projet'!$B$9,Paramètres!$A$1:$I$89,3,0)*0.475*44/12</f>
        <v>0.60173825206121989</v>
      </c>
      <c r="AB91" s="23">
        <f>EXP(-LN(2)/2)*AB90+(1-EXP(-LN(2)/2))/(LN(2)/2)*V91*Y91*VLOOKUP('Données projet'!$B$9,Paramètres!$A$1:$I$89,3,0)*0.475*44/12</f>
        <v>3.2957832810714913E-10</v>
      </c>
      <c r="AC91" s="24">
        <f t="shared" si="57"/>
        <v>19.237055660243655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68.370703629154974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3.3992364478763198E-14</v>
      </c>
      <c r="AK91" s="14">
        <f t="shared" si="89"/>
        <v>5.790027782444094E-13</v>
      </c>
      <c r="AL91" s="22">
        <f t="shared" si="58"/>
        <v>1.0676332069095257E-12</v>
      </c>
      <c r="AM91" s="62">
        <f t="shared" si="59"/>
        <v>287.35924664023599</v>
      </c>
      <c r="AN91" s="62">
        <f ca="1">AVERAGE(OFFSET($AM$3,0,0,'Données projet'!$E$10+1,1))-AVERAGE(OFFSET($H$3,0,0,'Données projet'!$E$10+1,1))</f>
        <v>210.41468975391527</v>
      </c>
      <c r="AO91" s="62">
        <f t="shared" si="90"/>
        <v>355.1268923221744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34.683865698855399</v>
      </c>
      <c r="AV91" s="23">
        <f>EXP(-LN(2)/25)*AV90+(1-EXP(-LN(2)/25))/(LN(2)/25)*Calculateur!AQ91*Calculateur!AS91*VLOOKUP('Données projet'!$B$10,Paramètres!$A$1:$I$89,3,0)*0.475*44/12</f>
        <v>0.66950968292838897</v>
      </c>
      <c r="AW91" s="23">
        <f>EXP(-LN(2)/2)*AW90+(1-EXP(-LN(2)/2))/(LN(2)/2)*AQ91*AT91*VLOOKUP('Données projet'!$B$10,Paramètres!$A$1:$I$89,3,0)*0.475*44/12</f>
        <v>2.0517383491416267E-6</v>
      </c>
      <c r="AX91" s="23">
        <f t="shared" si="60"/>
        <v>35.353377433522134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68.370703629154974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66.833935615974326</v>
      </c>
      <c r="BJ91" s="62">
        <f t="shared" si="92"/>
        <v>294.79914393693775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18.74964450851455</v>
      </c>
      <c r="BQ91" s="23">
        <f>EXP(-LN(2)/25)*BQ90+(1-EXP(-LN(2)/25))/(LN(2)/25)*Calculateur!BL91*Calculateur!BN91*VLOOKUP('Données projet'!$B$11,Paramètres!$A$1:$I$89,3,0)*0.475*44/12</f>
        <v>0.60542989777938727</v>
      </c>
      <c r="BR91" s="23">
        <f>EXP(-LN(2)/2)*BR90+(1-EXP(-LN(2)/2))/(LN(2)/2)*BL91*BO91*VLOOKUP('Données projet'!$B$11,Paramètres!$A$1:$I$89,3,0)*0.475*44/12</f>
        <v>3.3160028104032208E-10</v>
      </c>
      <c r="BS91" s="24">
        <f t="shared" si="63"/>
        <v>19.355074406625537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68.370703629154974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68.370703629154974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68.370703629154974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68.370703629154974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68.370703629154974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68.370703629154974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68.370703629154974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1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3.6666666666666665</v>
      </c>
      <c r="H92" s="70">
        <f t="shared" si="56"/>
        <v>232.46666666666667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68.398968278628132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66.513705559911728</v>
      </c>
      <c r="T92" s="62">
        <f t="shared" si="88"/>
        <v>293.21772799887617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18.26989019990614</v>
      </c>
      <c r="AA92" s="23">
        <f>EXP(-LN(2)/25)*AA91+(1-EXP(-LN(2)/25))/(LN(2)/25)*Calculateur!V92*Calculateur!X92*VLOOKUP('Données projet'!$B$9,Paramètres!$A$1:$I$89,3,0)*0.475*44/12</f>
        <v>0.58528368791456642</v>
      </c>
      <c r="AB92" s="23">
        <f>EXP(-LN(2)/2)*AB91+(1-EXP(-LN(2)/2))/(LN(2)/2)*V92*Y92*VLOOKUP('Données projet'!$B$9,Paramètres!$A$1:$I$89,3,0)*0.475*44/12</f>
        <v>2.3304707073669007E-10</v>
      </c>
      <c r="AC92" s="24">
        <f t="shared" si="57"/>
        <v>18.855173888053752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68.398968278628132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3.3992364478763198E-14</v>
      </c>
      <c r="AK92" s="14">
        <f t="shared" si="89"/>
        <v>5.790027782444094E-13</v>
      </c>
      <c r="AL92" s="22">
        <f t="shared" si="58"/>
        <v>1.0676332069095257E-12</v>
      </c>
      <c r="AM92" s="62">
        <f t="shared" si="59"/>
        <v>287.46288368830426</v>
      </c>
      <c r="AN92" s="62">
        <f ca="1">AVERAGE(OFFSET($AM$3,0,0,'Données projet'!$E$10+1,1))-AVERAGE(OFFSET($H$3,0,0,'Données projet'!$E$10+1,1))</f>
        <v>210.41468975391527</v>
      </c>
      <c r="AO92" s="62">
        <f t="shared" si="90"/>
        <v>355.1268923221744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34.003736247570032</v>
      </c>
      <c r="AV92" s="23">
        <f>EXP(-LN(2)/25)*AV91+(1-EXP(-LN(2)/25))/(LN(2)/25)*Calculateur!AQ92*Calculateur!AS92*VLOOKUP('Données projet'!$B$10,Paramètres!$A$1:$I$89,3,0)*0.475*44/12</f>
        <v>0.65120190544072809</v>
      </c>
      <c r="AW92" s="23">
        <f>EXP(-LN(2)/2)*AW91+(1-EXP(-LN(2)/2))/(LN(2)/2)*AQ92*AT92*VLOOKUP('Données projet'!$B$10,Paramètres!$A$1:$I$89,3,0)*0.475*44/12</f>
        <v>1.4507980998985365E-6</v>
      </c>
      <c r="AX92" s="23">
        <f t="shared" si="60"/>
        <v>34.654939603808863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68.398968278628132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66.833935615974326</v>
      </c>
      <c r="BJ92" s="62">
        <f t="shared" si="92"/>
        <v>294.79914393693775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18.381975415856502</v>
      </c>
      <c r="BQ92" s="23">
        <f>EXP(-LN(2)/25)*BQ91+(1-EXP(-LN(2)/25))/(LN(2)/25)*Calculateur!BL92*Calculateur!BN92*VLOOKUP('Données projet'!$B$11,Paramètres!$A$1:$I$89,3,0)*0.475*44/12</f>
        <v>0.58887438538643533</v>
      </c>
      <c r="BR92" s="23">
        <f>EXP(-LN(2)/2)*BR91+(1-EXP(-LN(2)/2))/(LN(2)/2)*BL92*BO92*VLOOKUP('Données projet'!$B$11,Paramètres!$A$1:$I$89,3,0)*0.475*44/12</f>
        <v>2.3447680736697669E-10</v>
      </c>
      <c r="BS92" s="24">
        <f t="shared" si="63"/>
        <v>18.970849801477414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68.398968278628132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68.398968278628132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68.398968278628132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68.398968278628132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68.398968278628132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68.398968278628132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68.398968278628132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1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3.6666666666666665</v>
      </c>
      <c r="H93" s="70">
        <f t="shared" si="56"/>
        <v>232.46666666666667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68.426742599623239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66.513705559911728</v>
      </c>
      <c r="T93" s="62">
        <f t="shared" si="88"/>
        <v>293.21772799887617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17.911628796618668</v>
      </c>
      <c r="AA93" s="23">
        <f>EXP(-LN(2)/25)*AA92+(1-EXP(-LN(2)/25))/(LN(2)/25)*Calculateur!V93*Calculateur!X93*VLOOKUP('Données projet'!$B$9,Paramètres!$A$1:$I$89,3,0)*0.475*44/12</f>
        <v>0.56927907468981109</v>
      </c>
      <c r="AB93" s="23">
        <f>EXP(-LN(2)/2)*AB92+(1-EXP(-LN(2)/2))/(LN(2)/2)*V93*Y93*VLOOKUP('Données projet'!$B$9,Paramètres!$A$1:$I$89,3,0)*0.475*44/12</f>
        <v>1.6478916405357456E-10</v>
      </c>
      <c r="AC93" s="24">
        <f t="shared" si="57"/>
        <v>18.480907871473267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68.426742599623239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3.3992364478763198E-14</v>
      </c>
      <c r="AK93" s="14">
        <f t="shared" si="89"/>
        <v>5.790027782444094E-13</v>
      </c>
      <c r="AL93" s="22">
        <f t="shared" si="58"/>
        <v>1.0676332069095257E-12</v>
      </c>
      <c r="AM93" s="62">
        <f t="shared" si="59"/>
        <v>287.56472286528629</v>
      </c>
      <c r="AN93" s="62">
        <f ca="1">AVERAGE(OFFSET($AM$3,0,0,'Données projet'!$E$10+1,1))-AVERAGE(OFFSET($H$3,0,0,'Données projet'!$E$10+1,1))</f>
        <v>210.41468975391527</v>
      </c>
      <c r="AO93" s="62">
        <f t="shared" si="90"/>
        <v>355.1268923221744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33.336943719986365</v>
      </c>
      <c r="AV93" s="23">
        <f>EXP(-LN(2)/25)*AV92+(1-EXP(-LN(2)/25))/(LN(2)/25)*Calculateur!AQ93*Calculateur!AS93*VLOOKUP('Données projet'!$B$10,Paramètres!$A$1:$I$89,3,0)*0.475*44/12</f>
        <v>0.63339475509123155</v>
      </c>
      <c r="AW93" s="23">
        <f>EXP(-LN(2)/2)*AW92+(1-EXP(-LN(2)/2))/(LN(2)/2)*AQ93*AT93*VLOOKUP('Données projet'!$B$10,Paramètres!$A$1:$I$89,3,0)*0.475*44/12</f>
        <v>1.0258691745708134E-6</v>
      </c>
      <c r="AX93" s="23">
        <f t="shared" si="60"/>
        <v>33.970339500946771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68.426742599623239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66.833935615974326</v>
      </c>
      <c r="BJ93" s="62">
        <f t="shared" si="92"/>
        <v>294.79914393693775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18.021516089849477</v>
      </c>
      <c r="BQ93" s="23">
        <f>EXP(-LN(2)/25)*BQ92+(1-EXP(-LN(2)/25))/(LN(2)/25)*Calculateur!BL93*Calculateur!BN93*VLOOKUP('Données projet'!$B$11,Paramètres!$A$1:$I$89,3,0)*0.475*44/12</f>
        <v>0.57277158435048525</v>
      </c>
      <c r="BR93" s="23">
        <f>EXP(-LN(2)/2)*BR92+(1-EXP(-LN(2)/2))/(LN(2)/2)*BL93*BO93*VLOOKUP('Données projet'!$B$11,Paramètres!$A$1:$I$89,3,0)*0.475*44/12</f>
        <v>1.6580014052016104E-10</v>
      </c>
      <c r="BS93" s="24">
        <f t="shared" si="63"/>
        <v>18.594287674365763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68.426742599623239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68.426742599623239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68.426742599623239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68.426742599623239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68.426742599623239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68.426742599623239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68.426742599623239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1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3.6666666666666665</v>
      </c>
      <c r="H94" s="70">
        <f t="shared" si="56"/>
        <v>232.46666666666667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68.454035098243153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66.513705559911728</v>
      </c>
      <c r="T94" s="62">
        <f t="shared" si="88"/>
        <v>293.21772799887617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17.560392680931788</v>
      </c>
      <c r="AA94" s="23">
        <f>EXP(-LN(2)/25)*AA93+(1-EXP(-LN(2)/25))/(LN(2)/25)*Calculateur!V94*Calculateur!X94*VLOOKUP('Données projet'!$B$9,Paramètres!$A$1:$I$89,3,0)*0.475*44/12</f>
        <v>0.55371210845533281</v>
      </c>
      <c r="AB94" s="23">
        <f>EXP(-LN(2)/2)*AB93+(1-EXP(-LN(2)/2))/(LN(2)/2)*V94*Y94*VLOOKUP('Données projet'!$B$9,Paramètres!$A$1:$I$89,3,0)*0.475*44/12</f>
        <v>1.1652353536834503E-10</v>
      </c>
      <c r="AC94" s="24">
        <f t="shared" si="57"/>
        <v>18.114104789503642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68.454035098243153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3.3992364478763198E-14</v>
      </c>
      <c r="AK94" s="14">
        <f t="shared" si="89"/>
        <v>5.790027782444094E-13</v>
      </c>
      <c r="AL94" s="22">
        <f t="shared" si="58"/>
        <v>1.0676332069095257E-12</v>
      </c>
      <c r="AM94" s="62">
        <f t="shared" si="59"/>
        <v>287.66479536022598</v>
      </c>
      <c r="AN94" s="62">
        <f ca="1">AVERAGE(OFFSET($AM$3,0,0,'Données projet'!$E$10+1,1))-AVERAGE(OFFSET($H$3,0,0,'Données projet'!$E$10+1,1))</f>
        <v>210.41468975391527</v>
      </c>
      <c r="AO94" s="62">
        <f t="shared" si="90"/>
        <v>355.1268923221744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32.683226587165336</v>
      </c>
      <c r="AV94" s="23">
        <f>EXP(-LN(2)/25)*AV93+(1-EXP(-LN(2)/25))/(LN(2)/25)*Calculateur!AQ94*Calculateur!AS94*VLOOKUP('Données projet'!$B$10,Paramètres!$A$1:$I$89,3,0)*0.475*44/12</f>
        <v>0.61607454220447933</v>
      </c>
      <c r="AW94" s="23">
        <f>EXP(-LN(2)/2)*AW93+(1-EXP(-LN(2)/2))/(LN(2)/2)*AQ94*AT94*VLOOKUP('Données projet'!$B$10,Paramètres!$A$1:$I$89,3,0)*0.475*44/12</f>
        <v>7.2539904994926825E-7</v>
      </c>
      <c r="AX94" s="23">
        <f t="shared" si="60"/>
        <v>33.299301854768864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68.454035098243153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66.833935615974326</v>
      </c>
      <c r="BJ94" s="62">
        <f t="shared" si="92"/>
        <v>294.79914393693775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17.668125151366969</v>
      </c>
      <c r="BQ94" s="23">
        <f>EXP(-LN(2)/25)*BQ93+(1-EXP(-LN(2)/25))/(LN(2)/25)*Calculateur!BL94*Calculateur!BN94*VLOOKUP('Données projet'!$B$11,Paramètres!$A$1:$I$89,3,0)*0.475*44/12</f>
        <v>0.55710911525567275</v>
      </c>
      <c r="BR94" s="23">
        <f>EXP(-LN(2)/2)*BR93+(1-EXP(-LN(2)/2))/(LN(2)/2)*BL94*BO94*VLOOKUP('Données projet'!$B$11,Paramètres!$A$1:$I$89,3,0)*0.475*44/12</f>
        <v>1.1723840368348834E-10</v>
      </c>
      <c r="BS94" s="24">
        <f t="shared" si="63"/>
        <v>18.225234266739882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68.454035098243153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68.454035098243153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68.454035098243153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68.454035098243153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68.454035098243153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68.454035098243153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68.454035098243153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1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3.6666666666666665</v>
      </c>
      <c r="H95" s="70">
        <f t="shared" si="56"/>
        <v>232.46666666666667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68.480854133028899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66.513705559911728</v>
      </c>
      <c r="T95" s="62">
        <f t="shared" si="88"/>
        <v>293.21772799887617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17.216044091240647</v>
      </c>
      <c r="AA95" s="23">
        <f>EXP(-LN(2)/25)*AA94+(1-EXP(-LN(2)/25))/(LN(2)/25)*Calculateur!V95*Calculateur!X95*VLOOKUP('Données projet'!$B$9,Paramètres!$A$1:$I$89,3,0)*0.475*44/12</f>
        <v>0.53857082173116744</v>
      </c>
      <c r="AB95" s="23">
        <f>EXP(-LN(2)/2)*AB94+(1-EXP(-LN(2)/2))/(LN(2)/2)*V95*Y95*VLOOKUP('Données projet'!$B$9,Paramètres!$A$1:$I$89,3,0)*0.475*44/12</f>
        <v>8.2394582026787282E-11</v>
      </c>
      <c r="AC95" s="24">
        <f t="shared" si="57"/>
        <v>17.754614913054208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68.480854133028899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3.3992364478763198E-14</v>
      </c>
      <c r="AK95" s="14">
        <f t="shared" si="89"/>
        <v>5.790027782444094E-13</v>
      </c>
      <c r="AL95" s="22">
        <f t="shared" si="58"/>
        <v>1.0676332069095257E-12</v>
      </c>
      <c r="AM95" s="62">
        <f t="shared" si="59"/>
        <v>287.76313182110704</v>
      </c>
      <c r="AN95" s="62">
        <f ca="1">AVERAGE(OFFSET($AM$3,0,0,'Données projet'!$E$10+1,1))-AVERAGE(OFFSET($H$3,0,0,'Données projet'!$E$10+1,1))</f>
        <v>210.41468975391527</v>
      </c>
      <c r="AO95" s="62">
        <f t="shared" si="90"/>
        <v>355.1268923221744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32.042328448590844</v>
      </c>
      <c r="AV95" s="23">
        <f>EXP(-LN(2)/25)*AV94+(1-EXP(-LN(2)/25))/(LN(2)/25)*Calculateur!AQ95*Calculateur!AS95*VLOOKUP('Données projet'!$B$10,Paramètres!$A$1:$I$89,3,0)*0.475*44/12</f>
        <v>0.59922795144994567</v>
      </c>
      <c r="AW95" s="23">
        <f>EXP(-LN(2)/2)*AW94+(1-EXP(-LN(2)/2))/(LN(2)/2)*AQ95*AT95*VLOOKUP('Données projet'!$B$10,Paramètres!$A$1:$I$89,3,0)*0.475*44/12</f>
        <v>5.1293458728540668E-7</v>
      </c>
      <c r="AX95" s="23">
        <f t="shared" si="60"/>
        <v>32.641556912975382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68.480854133028899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66.833935615974326</v>
      </c>
      <c r="BJ95" s="62">
        <f t="shared" si="92"/>
        <v>294.79914393693775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17.321663993640914</v>
      </c>
      <c r="BQ95" s="23">
        <f>EXP(-LN(2)/25)*BQ94+(1-EXP(-LN(2)/25))/(LN(2)/25)*Calculateur!BL95*Calculateur!BN95*VLOOKUP('Données projet'!$B$11,Paramètres!$A$1:$I$89,3,0)*0.475*44/12</f>
        <v>0.54187493720191127</v>
      </c>
      <c r="BR95" s="23">
        <f>EXP(-LN(2)/2)*BR94+(1-EXP(-LN(2)/2))/(LN(2)/2)*BL95*BO95*VLOOKUP('Données projet'!$B$11,Paramètres!$A$1:$I$89,3,0)*0.475*44/12</f>
        <v>8.290007026008052E-11</v>
      </c>
      <c r="BS95" s="24">
        <f t="shared" si="63"/>
        <v>17.863538930925724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68.480854133028899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68.480854133028899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68.480854133028899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68.480854133028899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68.480854133028899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68.480854133028899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68.480854133028899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1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3.6666666666666665</v>
      </c>
      <c r="H96" s="70">
        <f t="shared" si="56"/>
        <v>232.46666666666667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68.507207917519494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66.513705559911728</v>
      </c>
      <c r="T96" s="62">
        <f t="shared" si="88"/>
        <v>293.21772799887617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16.878447967361449</v>
      </c>
      <c r="AA96" s="23">
        <f>EXP(-LN(2)/25)*AA95+(1-EXP(-LN(2)/25))/(LN(2)/25)*Calculateur!V96*Calculateur!X96*VLOOKUP('Données projet'!$B$9,Paramètres!$A$1:$I$89,3,0)*0.475*44/12</f>
        <v>0.52384357428872008</v>
      </c>
      <c r="AB96" s="23">
        <f>EXP(-LN(2)/2)*AB95+(1-EXP(-LN(2)/2))/(LN(2)/2)*V96*Y96*VLOOKUP('Données projet'!$B$9,Paramètres!$A$1:$I$89,3,0)*0.475*44/12</f>
        <v>5.8261767684172516E-11</v>
      </c>
      <c r="AC96" s="24">
        <f t="shared" si="57"/>
        <v>17.402291541708429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68.507207917519494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3.3992364478763198E-14</v>
      </c>
      <c r="AK96" s="14">
        <f t="shared" si="89"/>
        <v>5.790027782444094E-13</v>
      </c>
      <c r="AL96" s="22">
        <f t="shared" si="58"/>
        <v>1.0676332069095257E-12</v>
      </c>
      <c r="AM96" s="62">
        <f t="shared" si="59"/>
        <v>287.85976236423926</v>
      </c>
      <c r="AN96" s="62">
        <f ca="1">AVERAGE(OFFSET($AM$3,0,0,'Données projet'!$E$10+1,1))-AVERAGE(OFFSET($H$3,0,0,'Données projet'!$E$10+1,1))</f>
        <v>210.41468975391527</v>
      </c>
      <c r="AO96" s="62">
        <f t="shared" si="90"/>
        <v>355.1268923221744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31.413997931604531</v>
      </c>
      <c r="AV96" s="23">
        <f>EXP(-LN(2)/25)*AV95+(1-EXP(-LN(2)/25))/(LN(2)/25)*Calculateur!AQ96*Calculateur!AS96*VLOOKUP('Données projet'!$B$10,Paramètres!$A$1:$I$89,3,0)*0.475*44/12</f>
        <v>0.58284203160551851</v>
      </c>
      <c r="AW96" s="23">
        <f>EXP(-LN(2)/2)*AW95+(1-EXP(-LN(2)/2))/(LN(2)/2)*AQ96*AT96*VLOOKUP('Données projet'!$B$10,Paramètres!$A$1:$I$89,3,0)*0.475*44/12</f>
        <v>3.6269952497463413E-7</v>
      </c>
      <c r="AX96" s="23">
        <f t="shared" si="60"/>
        <v>31.996840325909574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68.507207917519494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66.833935615974326</v>
      </c>
      <c r="BJ96" s="62">
        <f t="shared" si="92"/>
        <v>294.79914393693775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16.981996727897428</v>
      </c>
      <c r="BQ96" s="23">
        <f>EXP(-LN(2)/25)*BQ95+(1-EXP(-LN(2)/25))/(LN(2)/25)*Calculateur!BL96*Calculateur!BN96*VLOOKUP('Données projet'!$B$11,Paramètres!$A$1:$I$89,3,0)*0.475*44/12</f>
        <v>0.5270573385481605</v>
      </c>
      <c r="BR96" s="23">
        <f>EXP(-LN(2)/2)*BR95+(1-EXP(-LN(2)/2))/(LN(2)/2)*BL96*BO96*VLOOKUP('Données projet'!$B$11,Paramètres!$A$1:$I$89,3,0)*0.475*44/12</f>
        <v>5.8619201841744172E-11</v>
      </c>
      <c r="BS96" s="24">
        <f t="shared" si="63"/>
        <v>17.509054066504209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68.507207917519494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68.507207917519494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68.507207917519494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68.507207917519494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68.507207917519494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68.507207917519494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68.507207917519494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1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3.6666666666666665</v>
      </c>
      <c r="H97" s="70">
        <f t="shared" si="56"/>
        <v>232.46666666666667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68.533104522767417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66.513705559911728</v>
      </c>
      <c r="T97" s="62">
        <f t="shared" si="88"/>
        <v>293.21772799887617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16.547471897558221</v>
      </c>
      <c r="AA97" s="23">
        <f>EXP(-LN(2)/25)*AA96+(1-EXP(-LN(2)/25))/(LN(2)/25)*Calculateur!V97*Calculateur!X97*VLOOKUP('Données projet'!$B$9,Paramètres!$A$1:$I$89,3,0)*0.475*44/12</f>
        <v>0.50951904420205874</v>
      </c>
      <c r="AB97" s="23">
        <f>EXP(-LN(2)/2)*AB96+(1-EXP(-LN(2)/2))/(LN(2)/2)*V97*Y97*VLOOKUP('Données projet'!$B$9,Paramètres!$A$1:$I$89,3,0)*0.475*44/12</f>
        <v>4.1197291013393641E-11</v>
      </c>
      <c r="AC97" s="24">
        <f t="shared" si="57"/>
        <v>17.056990941801477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68.533104522767417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3.3992364478763198E-14</v>
      </c>
      <c r="AK97" s="14">
        <f t="shared" si="89"/>
        <v>5.790027782444094E-13</v>
      </c>
      <c r="AL97" s="22">
        <f t="shared" si="58"/>
        <v>1.0676332069095257E-12</v>
      </c>
      <c r="AM97" s="62">
        <f t="shared" si="59"/>
        <v>287.95471658348163</v>
      </c>
      <c r="AN97" s="62">
        <f ca="1">AVERAGE(OFFSET($AM$3,0,0,'Données projet'!$E$10+1,1))-AVERAGE(OFFSET($H$3,0,0,'Données projet'!$E$10+1,1))</f>
        <v>210.41468975391527</v>
      </c>
      <c r="AO97" s="62">
        <f t="shared" si="90"/>
        <v>355.1268923221744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30.797988592812548</v>
      </c>
      <c r="AV97" s="23">
        <f>EXP(-LN(2)/25)*AV96+(1-EXP(-LN(2)/25))/(LN(2)/25)*Calculateur!AQ97*Calculateur!AS97*VLOOKUP('Données projet'!$B$10,Paramètres!$A$1:$I$89,3,0)*0.475*44/12</f>
        <v>0.56690418560093525</v>
      </c>
      <c r="AW97" s="23">
        <f>EXP(-LN(2)/2)*AW96+(1-EXP(-LN(2)/2))/(LN(2)/2)*AQ97*AT97*VLOOKUP('Données projet'!$B$10,Paramètres!$A$1:$I$89,3,0)*0.475*44/12</f>
        <v>2.5646729364270334E-7</v>
      </c>
      <c r="AX97" s="23">
        <f t="shared" si="60"/>
        <v>31.36489303488078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68.533104522767417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66.833935615974326</v>
      </c>
      <c r="BJ97" s="62">
        <f t="shared" si="92"/>
        <v>294.79914393693775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16.648990130058596</v>
      </c>
      <c r="BQ97" s="23">
        <f>EXP(-LN(2)/25)*BQ96+(1-EXP(-LN(2)/25))/(LN(2)/25)*Calculateur!BL97*Calculateur!BN97*VLOOKUP('Données projet'!$B$11,Paramètres!$A$1:$I$89,3,0)*0.475*44/12</f>
        <v>0.51264492790882021</v>
      </c>
      <c r="BR97" s="23">
        <f>EXP(-LN(2)/2)*BR96+(1-EXP(-LN(2)/2))/(LN(2)/2)*BL97*BO97*VLOOKUP('Données projet'!$B$11,Paramètres!$A$1:$I$89,3,0)*0.475*44/12</f>
        <v>4.145003513004026E-11</v>
      </c>
      <c r="BS97" s="24">
        <f t="shared" si="63"/>
        <v>17.161635058008866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68.533104522767417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68.533104522767417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68.533104522767417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68.533104522767417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68.533104522767417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68.533104522767417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68.533104522767417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1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3.6666666666666665</v>
      </c>
      <c r="H98" s="70">
        <f t="shared" si="56"/>
        <v>232.46666666666667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68.558551879810409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66.513705559911728</v>
      </c>
      <c r="T98" s="62">
        <f t="shared" si="88"/>
        <v>293.21772799887617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16.222986066608364</v>
      </c>
      <c r="AA98" s="23">
        <f>EXP(-LN(2)/25)*AA97+(1-EXP(-LN(2)/25))/(LN(2)/25)*Calculateur!V98*Calculateur!X98*VLOOKUP('Données projet'!$B$9,Paramètres!$A$1:$I$89,3,0)*0.475*44/12</f>
        <v>0.49558621914391143</v>
      </c>
      <c r="AB98" s="23">
        <f>EXP(-LN(2)/2)*AB97+(1-EXP(-LN(2)/2))/(LN(2)/2)*V98*Y98*VLOOKUP('Données projet'!$B$9,Paramètres!$A$1:$I$89,3,0)*0.475*44/12</f>
        <v>2.9130883842086258E-11</v>
      </c>
      <c r="AC98" s="24">
        <f t="shared" si="57"/>
        <v>16.718572285781409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68.558551879810409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3.3992364478763198E-14</v>
      </c>
      <c r="AK98" s="14">
        <f t="shared" si="89"/>
        <v>5.790027782444094E-13</v>
      </c>
      <c r="AL98" s="22">
        <f t="shared" si="58"/>
        <v>1.0676332069095257E-12</v>
      </c>
      <c r="AM98" s="62">
        <f t="shared" si="59"/>
        <v>288.04802355930588</v>
      </c>
      <c r="AN98" s="62">
        <f ca="1">AVERAGE(OFFSET($AM$3,0,0,'Données projet'!$E$10+1,1))-AVERAGE(OFFSET($H$3,0,0,'Données projet'!$E$10+1,1))</f>
        <v>210.41468975391527</v>
      </c>
      <c r="AO98" s="62">
        <f t="shared" si="90"/>
        <v>355.1268923221744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30.194058821425678</v>
      </c>
      <c r="AV98" s="23">
        <f>EXP(-LN(2)/25)*AV97+(1-EXP(-LN(2)/25))/(LN(2)/25)*Calculateur!AQ98*Calculateur!AS98*VLOOKUP('Données projet'!$B$10,Paramètres!$A$1:$I$89,3,0)*0.475*44/12</f>
        <v>0.55140216083348226</v>
      </c>
      <c r="AW98" s="23">
        <f>EXP(-LN(2)/2)*AW97+(1-EXP(-LN(2)/2))/(LN(2)/2)*AQ98*AT98*VLOOKUP('Données projet'!$B$10,Paramètres!$A$1:$I$89,3,0)*0.475*44/12</f>
        <v>1.8134976248731706E-7</v>
      </c>
      <c r="AX98" s="23">
        <f t="shared" si="60"/>
        <v>30.745461163608923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68.558551879810409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66.833935615974326</v>
      </c>
      <c r="BJ98" s="62">
        <f t="shared" si="92"/>
        <v>294.79914393693775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16.322513588489414</v>
      </c>
      <c r="BQ98" s="23">
        <f>EXP(-LN(2)/25)*BQ97+(1-EXP(-LN(2)/25))/(LN(2)/25)*Calculateur!BL98*Calculateur!BN98*VLOOKUP('Données projet'!$B$11,Paramètres!$A$1:$I$89,3,0)*0.475*44/12</f>
        <v>0.4986266253963284</v>
      </c>
      <c r="BR98" s="23">
        <f>EXP(-LN(2)/2)*BR97+(1-EXP(-LN(2)/2))/(LN(2)/2)*BL98*BO98*VLOOKUP('Données projet'!$B$11,Paramètres!$A$1:$I$89,3,0)*0.475*44/12</f>
        <v>2.9309600920872086E-11</v>
      </c>
      <c r="BS98" s="24">
        <f t="shared" si="63"/>
        <v>16.821140213915054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68.558551879810409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68.558551879810409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68.558551879810409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68.558551879810409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68.558551879810409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68.558551879810409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68.558551879810409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1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3.6666666666666665</v>
      </c>
      <c r="H99" s="70">
        <f t="shared" si="56"/>
        <v>232.46666666666667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68.583557782100485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66.513705559911728</v>
      </c>
      <c r="T99" s="62">
        <f t="shared" si="88"/>
        <v>293.21772799887617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15.90486320488662</v>
      </c>
      <c r="AA99" s="23">
        <f>EXP(-LN(2)/25)*AA98+(1-EXP(-LN(2)/25))/(LN(2)/25)*Calculateur!V99*Calculateur!X99*VLOOKUP('Données projet'!$B$9,Paramètres!$A$1:$I$89,3,0)*0.475*44/12</f>
        <v>0.48203438791967457</v>
      </c>
      <c r="AB99" s="23">
        <f>EXP(-LN(2)/2)*AB98+(1-EXP(-LN(2)/2))/(LN(2)/2)*V99*Y99*VLOOKUP('Données projet'!$B$9,Paramètres!$A$1:$I$89,3,0)*0.475*44/12</f>
        <v>2.0598645506696821E-11</v>
      </c>
      <c r="AC99" s="24">
        <f t="shared" si="57"/>
        <v>16.386897592826895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68.583557782100485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3.3992364478763198E-14</v>
      </c>
      <c r="AK99" s="14">
        <f t="shared" si="89"/>
        <v>5.790027782444094E-13</v>
      </c>
      <c r="AL99" s="22">
        <f t="shared" si="58"/>
        <v>1.0676332069095257E-12</v>
      </c>
      <c r="AM99" s="62">
        <f t="shared" si="59"/>
        <v>288.13971186770289</v>
      </c>
      <c r="AN99" s="62">
        <f ca="1">AVERAGE(OFFSET($AM$3,0,0,'Données projet'!$E$10+1,1))-AVERAGE(OFFSET($H$3,0,0,'Données projet'!$E$10+1,1))</f>
        <v>210.41468975391527</v>
      </c>
      <c r="AO99" s="62">
        <f t="shared" si="90"/>
        <v>355.1268923221744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29.601971744494918</v>
      </c>
      <c r="AV99" s="23">
        <f>EXP(-LN(2)/25)*AV98+(1-EXP(-LN(2)/25))/(LN(2)/25)*Calculateur!AQ99*Calculateur!AS99*VLOOKUP('Données projet'!$B$10,Paramètres!$A$1:$I$89,3,0)*0.475*44/12</f>
        <v>0.53632403974851128</v>
      </c>
      <c r="AW99" s="23">
        <f>EXP(-LN(2)/2)*AW98+(1-EXP(-LN(2)/2))/(LN(2)/2)*AQ99*AT99*VLOOKUP('Données projet'!$B$10,Paramètres!$A$1:$I$89,3,0)*0.475*44/12</f>
        <v>1.2823364682135167E-7</v>
      </c>
      <c r="AX99" s="23">
        <f t="shared" si="60"/>
        <v>30.138295912477076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68.583557782100485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66.833935615974326</v>
      </c>
      <c r="BJ99" s="62">
        <f t="shared" si="92"/>
        <v>294.79914393693775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16.002439052769379</v>
      </c>
      <c r="BQ99" s="23">
        <f>EXP(-LN(2)/25)*BQ98+(1-EXP(-LN(2)/25))/(LN(2)/25)*Calculateur!BL99*Calculateur!BN99*VLOOKUP('Données projet'!$B$11,Paramètres!$A$1:$I$89,3,0)*0.475*44/12</f>
        <v>0.4849916541032312</v>
      </c>
      <c r="BR99" s="23">
        <f>EXP(-LN(2)/2)*BR98+(1-EXP(-LN(2)/2))/(LN(2)/2)*BL99*BO99*VLOOKUP('Données projet'!$B$11,Paramètres!$A$1:$I$89,3,0)*0.475*44/12</f>
        <v>2.072501756502013E-11</v>
      </c>
      <c r="BS99" s="24">
        <f t="shared" si="63"/>
        <v>16.487430706893338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68.583557782100485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68.583557782100485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68.583557782100485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68.583557782100485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68.583557782100485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68.583557782100485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68.583557782100485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1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3.6666666666666665</v>
      </c>
      <c r="H100" s="70">
        <f t="shared" si="56"/>
        <v>232.46666666666667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68.608129887890641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66.513705559911728</v>
      </c>
      <c r="T100" s="62">
        <f t="shared" si="88"/>
        <v>293.21772799887617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15.592978538447454</v>
      </c>
      <c r="AA100" s="23">
        <f>EXP(-LN(2)/25)*AA99+(1-EXP(-LN(2)/25))/(LN(2)/25)*Calculateur!V100*Calculateur!X100*VLOOKUP('Données projet'!$B$9,Paramètres!$A$1:$I$89,3,0)*0.475*44/12</f>
        <v>0.4688531322329243</v>
      </c>
      <c r="AB100" s="23">
        <f>EXP(-LN(2)/2)*AB99+(1-EXP(-LN(2)/2))/(LN(2)/2)*V100*Y100*VLOOKUP('Données projet'!$B$9,Paramètres!$A$1:$I$89,3,0)*0.475*44/12</f>
        <v>1.4565441921043129E-11</v>
      </c>
      <c r="AC100" s="24">
        <f t="shared" si="57"/>
        <v>16.061831670694943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68.608129887890641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3.3992364478763198E-14</v>
      </c>
      <c r="AK100" s="14">
        <f t="shared" si="89"/>
        <v>5.790027782444094E-13</v>
      </c>
      <c r="AL100" s="22">
        <f t="shared" si="58"/>
        <v>1.0676332069095257E-12</v>
      </c>
      <c r="AM100" s="62">
        <f t="shared" si="59"/>
        <v>288.22980958893345</v>
      </c>
      <c r="AN100" s="62">
        <f ca="1">AVERAGE(OFFSET($AM$3,0,0,'Données projet'!$E$10+1,1))-AVERAGE(OFFSET($H$3,0,0,'Données projet'!$E$10+1,1))</f>
        <v>210.41468975391527</v>
      </c>
      <c r="AO100" s="62">
        <f t="shared" si="90"/>
        <v>355.1268923221744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29.021495134005313</v>
      </c>
      <c r="AV100" s="23">
        <f>EXP(-LN(2)/25)*AV99+(1-EXP(-LN(2)/25))/(LN(2)/25)*Calculateur!AQ100*Calculateur!AS100*VLOOKUP('Données projet'!$B$10,Paramètres!$A$1:$I$89,3,0)*0.475*44/12</f>
        <v>0.52165823067753281</v>
      </c>
      <c r="AW100" s="23">
        <f>EXP(-LN(2)/2)*AW99+(1-EXP(-LN(2)/2))/(LN(2)/2)*AQ100*AT100*VLOOKUP('Données projet'!$B$10,Paramètres!$A$1:$I$89,3,0)*0.475*44/12</f>
        <v>9.0674881243658531E-8</v>
      </c>
      <c r="AX100" s="23">
        <f t="shared" si="60"/>
        <v>29.543153455357729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68.608129887890641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66.833935615974326</v>
      </c>
      <c r="BJ100" s="62">
        <f t="shared" si="92"/>
        <v>294.79914393693775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15.688640983468622</v>
      </c>
      <c r="BQ100" s="23">
        <f>EXP(-LN(2)/25)*BQ99+(1-EXP(-LN(2)/25))/(LN(2)/25)*Calculateur!BL100*Calculateur!BN100*VLOOKUP('Données projet'!$B$11,Paramètres!$A$1:$I$89,3,0)*0.475*44/12</f>
        <v>0.4717295318171757</v>
      </c>
      <c r="BR100" s="23">
        <f>EXP(-LN(2)/2)*BR99+(1-EXP(-LN(2)/2))/(LN(2)/2)*BL100*BO100*VLOOKUP('Données projet'!$B$11,Paramètres!$A$1:$I$89,3,0)*0.475*44/12</f>
        <v>1.4654800460436043E-11</v>
      </c>
      <c r="BS100" s="24">
        <f t="shared" si="63"/>
        <v>16.160370515300453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68.608129887890641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68.608129887890641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68.608129887890641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68.608129887890641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68.608129887890641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68.608129887890641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68.608129887890641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1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3.6666666666666665</v>
      </c>
      <c r="H101" s="70">
        <f t="shared" si="56"/>
        <v>232.46666666666667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68.632275722580346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66.513705559911728</v>
      </c>
      <c r="T101" s="62">
        <f t="shared" si="88"/>
        <v>293.21772799887617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15.287209740086297</v>
      </c>
      <c r="AA101" s="23">
        <f>EXP(-LN(2)/25)*AA100+(1-EXP(-LN(2)/25))/(LN(2)/25)*Calculateur!V101*Calculateur!X101*VLOOKUP('Données projet'!$B$9,Paramètres!$A$1:$I$89,3,0)*0.475*44/12</f>
        <v>0.45603231867610033</v>
      </c>
      <c r="AB101" s="23">
        <f>EXP(-LN(2)/2)*AB100+(1-EXP(-LN(2)/2))/(LN(2)/2)*V101*Y101*VLOOKUP('Données projet'!$B$9,Paramètres!$A$1:$I$89,3,0)*0.475*44/12</f>
        <v>1.029932275334841E-11</v>
      </c>
      <c r="AC101" s="24">
        <f t="shared" si="57"/>
        <v>15.743242058772697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68.632275722580346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3.3992364478763198E-14</v>
      </c>
      <c r="AK101" s="14">
        <f t="shared" si="89"/>
        <v>5.790027782444094E-13</v>
      </c>
      <c r="AL101" s="22">
        <f t="shared" si="58"/>
        <v>1.0676332069095257E-12</v>
      </c>
      <c r="AM101" s="62">
        <f t="shared" si="59"/>
        <v>288.31834431612901</v>
      </c>
      <c r="AN101" s="62">
        <f ca="1">AVERAGE(OFFSET($AM$3,0,0,'Données projet'!$E$10+1,1))-AVERAGE(OFFSET($H$3,0,0,'Données projet'!$E$10+1,1))</f>
        <v>210.41468975391527</v>
      </c>
      <c r="AO101" s="62">
        <f t="shared" si="90"/>
        <v>355.1268923221744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28.452401315791636</v>
      </c>
      <c r="AV101" s="23">
        <f>EXP(-LN(2)/25)*AV100+(1-EXP(-LN(2)/25))/(LN(2)/25)*Calculateur!AQ101*Calculateur!AS101*VLOOKUP('Données projet'!$B$10,Paramètres!$A$1:$I$89,3,0)*0.475*44/12</f>
        <v>0.50739345892684162</v>
      </c>
      <c r="AW101" s="23">
        <f>EXP(-LN(2)/2)*AW100+(1-EXP(-LN(2)/2))/(LN(2)/2)*AQ101*AT101*VLOOKUP('Données projet'!$B$10,Paramètres!$A$1:$I$89,3,0)*0.475*44/12</f>
        <v>6.4116823410675835E-8</v>
      </c>
      <c r="AX101" s="23">
        <f t="shared" si="60"/>
        <v>28.9597948388353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68.632275722580346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66.833935615974326</v>
      </c>
      <c r="BJ101" s="62">
        <f t="shared" si="92"/>
        <v>294.79914393693775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15.38099630290893</v>
      </c>
      <c r="BQ101" s="23">
        <f>EXP(-LN(2)/25)*BQ100+(1-EXP(-LN(2)/25))/(LN(2)/25)*Calculateur!BL101*Calculateur!BN101*VLOOKUP('Données projet'!$B$11,Paramètres!$A$1:$I$89,3,0)*0.475*44/12</f>
        <v>0.4588300629624571</v>
      </c>
      <c r="BR101" s="23">
        <f>EXP(-LN(2)/2)*BR100+(1-EXP(-LN(2)/2))/(LN(2)/2)*BL101*BO101*VLOOKUP('Données projet'!$B$11,Paramètres!$A$1:$I$89,3,0)*0.475*44/12</f>
        <v>1.0362508782510065E-11</v>
      </c>
      <c r="BS101" s="24">
        <f t="shared" si="63"/>
        <v>15.83982636588175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68.632275722580346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68.632275722580346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68.632275722580346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68.632275722580346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68.632275722580346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68.632275722580346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68.632275722580346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1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3.6666666666666665</v>
      </c>
      <c r="H102" s="70">
        <f t="shared" si="56"/>
        <v>232.46666666666667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68.656002681020183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66.513705559911728</v>
      </c>
      <c r="T102" s="62">
        <f t="shared" si="88"/>
        <v>293.21772799887617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14.98743688136045</v>
      </c>
      <c r="AA102" s="23">
        <f>EXP(-LN(2)/25)*AA101+(1-EXP(-LN(2)/25))/(LN(2)/25)*Calculateur!V102*Calculateur!X102*VLOOKUP('Données projet'!$B$9,Paramètres!$A$1:$I$89,3,0)*0.475*44/12</f>
        <v>0.44356209094020499</v>
      </c>
      <c r="AB102" s="23">
        <f>EXP(-LN(2)/2)*AB101+(1-EXP(-LN(2)/2))/(LN(2)/2)*V102*Y102*VLOOKUP('Données projet'!$B$9,Paramètres!$A$1:$I$89,3,0)*0.475*44/12</f>
        <v>7.2827209605215646E-12</v>
      </c>
      <c r="AC102" s="24">
        <f t="shared" si="57"/>
        <v>15.430998972307938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68.656002681020183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3.3992364478763198E-14</v>
      </c>
      <c r="AK102" s="14">
        <f t="shared" si="89"/>
        <v>5.790027782444094E-13</v>
      </c>
      <c r="AL102" s="22">
        <f t="shared" si="58"/>
        <v>1.0676332069095257E-12</v>
      </c>
      <c r="AM102" s="62">
        <f t="shared" si="59"/>
        <v>288.40534316374175</v>
      </c>
      <c r="AN102" s="62">
        <f ca="1">AVERAGE(OFFSET($AM$3,0,0,'Données projet'!$E$10+1,1))-AVERAGE(OFFSET($H$3,0,0,'Données projet'!$E$10+1,1))</f>
        <v>210.41468975391527</v>
      </c>
      <c r="AO102" s="62">
        <f t="shared" si="90"/>
        <v>355.1268923221744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27.894467080240176</v>
      </c>
      <c r="AV102" s="23">
        <f>EXP(-LN(2)/25)*AV101+(1-EXP(-LN(2)/25))/(LN(2)/25)*Calculateur!AQ102*Calculateur!AS102*VLOOKUP('Données projet'!$B$10,Paramètres!$A$1:$I$89,3,0)*0.475*44/12</f>
        <v>0.49351875810982482</v>
      </c>
      <c r="AW102" s="23">
        <f>EXP(-LN(2)/2)*AW101+(1-EXP(-LN(2)/2))/(LN(2)/2)*AQ102*AT102*VLOOKUP('Données projet'!$B$10,Paramètres!$A$1:$I$89,3,0)*0.475*44/12</f>
        <v>4.5337440621829266E-8</v>
      </c>
      <c r="AX102" s="23">
        <f t="shared" si="60"/>
        <v>28.387985883687442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68.656002681020183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66.833935615974326</v>
      </c>
      <c r="BJ102" s="62">
        <f t="shared" si="92"/>
        <v>294.79914393693775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15.079384346890286</v>
      </c>
      <c r="BQ102" s="23">
        <f>EXP(-LN(2)/25)*BQ101+(1-EXP(-LN(2)/25))/(LN(2)/25)*Calculateur!BL102*Calculateur!BN102*VLOOKUP('Données projet'!$B$11,Paramètres!$A$1:$I$89,3,0)*0.475*44/12</f>
        <v>0.44628333076192439</v>
      </c>
      <c r="BR102" s="23">
        <f>EXP(-LN(2)/2)*BR101+(1-EXP(-LN(2)/2))/(LN(2)/2)*BL102*BO102*VLOOKUP('Données projet'!$B$11,Paramètres!$A$1:$I$89,3,0)*0.475*44/12</f>
        <v>7.3274002302180215E-12</v>
      </c>
      <c r="BS102" s="24">
        <f t="shared" si="63"/>
        <v>15.525667677659538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68.656002681020183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68.656002681020183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68.656002681020183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68.656002681020183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68.656002681020183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68.656002681020183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68.656002681020183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1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3.6666666666666665</v>
      </c>
      <c r="H103" s="70">
        <f t="shared" si="56"/>
        <v>232.46666666666667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68.679318029776624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66.513705559911728</v>
      </c>
      <c r="T103" s="62">
        <f t="shared" si="88"/>
        <v>293.21772799887617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14.693542385550828</v>
      </c>
      <c r="AA103" s="23">
        <f>EXP(-LN(2)/25)*AA102+(1-EXP(-LN(2)/25))/(LN(2)/25)*Calculateur!V103*Calculateur!X103*VLOOKUP('Données projet'!$B$9,Paramètres!$A$1:$I$89,3,0)*0.475*44/12</f>
        <v>0.43143286223752847</v>
      </c>
      <c r="AB103" s="23">
        <f>EXP(-LN(2)/2)*AB102+(1-EXP(-LN(2)/2))/(LN(2)/2)*V103*Y103*VLOOKUP('Données projet'!$B$9,Paramètres!$A$1:$I$89,3,0)*0.475*44/12</f>
        <v>5.1496613766742052E-12</v>
      </c>
      <c r="AC103" s="24">
        <f t="shared" si="57"/>
        <v>15.124975247793506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68.679318029776624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3.3992364478763198E-14</v>
      </c>
      <c r="AK103" s="14">
        <f t="shared" si="89"/>
        <v>5.790027782444094E-13</v>
      </c>
      <c r="AL103" s="22">
        <f t="shared" si="58"/>
        <v>1.0676332069095257E-12</v>
      </c>
      <c r="AM103" s="62">
        <f t="shared" si="59"/>
        <v>288.49083277584873</v>
      </c>
      <c r="AN103" s="62">
        <f ca="1">AVERAGE(OFFSET($AM$3,0,0,'Données projet'!$E$10+1,1))-AVERAGE(OFFSET($H$3,0,0,'Données projet'!$E$10+1,1))</f>
        <v>210.41468975391527</v>
      </c>
      <c r="AO103" s="62">
        <f t="shared" si="90"/>
        <v>355.1268923221744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27.347473594741597</v>
      </c>
      <c r="AV103" s="23">
        <f>EXP(-LN(2)/25)*AV102+(1-EXP(-LN(2)/25))/(LN(2)/25)*Calculateur!AQ103*Calculateur!AS103*VLOOKUP('Données projet'!$B$10,Paramètres!$A$1:$I$89,3,0)*0.475*44/12</f>
        <v>0.48002346171628812</v>
      </c>
      <c r="AW103" s="23">
        <f>EXP(-LN(2)/2)*AW102+(1-EXP(-LN(2)/2))/(LN(2)/2)*AQ103*AT103*VLOOKUP('Données projet'!$B$10,Paramètres!$A$1:$I$89,3,0)*0.475*44/12</f>
        <v>3.2058411705337918E-8</v>
      </c>
      <c r="AX103" s="23">
        <f t="shared" si="60"/>
        <v>27.827497088516299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68.679318029776624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66.833935615974326</v>
      </c>
      <c r="BJ103" s="62">
        <f t="shared" si="92"/>
        <v>294.79914393693775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14.783686817364041</v>
      </c>
      <c r="BQ103" s="23">
        <f>EXP(-LN(2)/25)*BQ102+(1-EXP(-LN(2)/25))/(LN(2)/25)*Calculateur!BL103*Calculateur!BN103*VLOOKUP('Données projet'!$B$11,Paramètres!$A$1:$I$89,3,0)*0.475*44/12</f>
        <v>0.43407968961321919</v>
      </c>
      <c r="BR103" s="23">
        <f>EXP(-LN(2)/2)*BR102+(1-EXP(-LN(2)/2))/(LN(2)/2)*BL103*BO103*VLOOKUP('Données projet'!$B$11,Paramètres!$A$1:$I$89,3,0)*0.475*44/12</f>
        <v>5.1812543912550325E-12</v>
      </c>
      <c r="BS103" s="24">
        <f t="shared" si="63"/>
        <v>15.217766506982441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68.679318029776624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68.679318029776624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68.679318029776624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68.679318029776624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68.679318029776624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68.679318029776624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68.679318029776624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1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3.6666666666666665</v>
      </c>
      <c r="H104" s="70">
        <f t="shared" si="56"/>
        <v>232.46666666666667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68.702228909357444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66.513705559911728</v>
      </c>
      <c r="T104" s="62">
        <f t="shared" si="88"/>
        <v>293.21772799887617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14.40541098154609</v>
      </c>
      <c r="AA104" s="23">
        <f>EXP(-LN(2)/25)*AA103+(1-EXP(-LN(2)/25))/(LN(2)/25)*Calculateur!V104*Calculateur!X104*VLOOKUP('Données projet'!$B$9,Paramètres!$A$1:$I$89,3,0)*0.475*44/12</f>
        <v>0.41963530793157511</v>
      </c>
      <c r="AB104" s="23">
        <f>EXP(-LN(2)/2)*AB103+(1-EXP(-LN(2)/2))/(LN(2)/2)*V104*Y104*VLOOKUP('Données projet'!$B$9,Paramètres!$A$1:$I$89,3,0)*0.475*44/12</f>
        <v>3.6413604802607823E-12</v>
      </c>
      <c r="AC104" s="24">
        <f t="shared" si="57"/>
        <v>14.825046289481307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68.702228909357444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3.3992364478763198E-14</v>
      </c>
      <c r="AK104" s="14">
        <f t="shared" si="89"/>
        <v>5.790027782444094E-13</v>
      </c>
      <c r="AL104" s="22">
        <f t="shared" si="58"/>
        <v>1.0676332069095257E-12</v>
      </c>
      <c r="AM104" s="62">
        <f t="shared" si="59"/>
        <v>288.57483933431172</v>
      </c>
      <c r="AN104" s="62">
        <f ca="1">AVERAGE(OFFSET($AM$3,0,0,'Données projet'!$E$10+1,1))-AVERAGE(OFFSET($H$3,0,0,'Données projet'!$E$10+1,1))</f>
        <v>210.41468975391527</v>
      </c>
      <c r="AO104" s="62">
        <f t="shared" si="90"/>
        <v>355.1268923221744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26.811206317860563</v>
      </c>
      <c r="AV104" s="23">
        <f>EXP(-LN(2)/25)*AV103+(1-EXP(-LN(2)/25))/(LN(2)/25)*Calculateur!AQ104*Calculateur!AS104*VLOOKUP('Données projet'!$B$10,Paramètres!$A$1:$I$89,3,0)*0.475*44/12</f>
        <v>0.46689719491231946</v>
      </c>
      <c r="AW104" s="23">
        <f>EXP(-LN(2)/2)*AW103+(1-EXP(-LN(2)/2))/(LN(2)/2)*AQ104*AT104*VLOOKUP('Données projet'!$B$10,Paramètres!$A$1:$I$89,3,0)*0.475*44/12</f>
        <v>2.2668720310914633E-8</v>
      </c>
      <c r="AX104" s="23">
        <f t="shared" si="60"/>
        <v>27.278103535441605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68.702228909357444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66.833935615974326</v>
      </c>
      <c r="BJ104" s="62">
        <f t="shared" si="92"/>
        <v>294.79914393693775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14.49378773603412</v>
      </c>
      <c r="BQ104" s="23">
        <f>EXP(-LN(2)/25)*BQ103+(1-EXP(-LN(2)/25))/(LN(2)/25)*Calculateur!BL104*Calculateur!BN104*VLOOKUP('Données projet'!$B$11,Paramètres!$A$1:$I$89,3,0)*0.475*44/12</f>
        <v>0.42220975767348695</v>
      </c>
      <c r="BR104" s="23">
        <f>EXP(-LN(2)/2)*BR103+(1-EXP(-LN(2)/2))/(LN(2)/2)*BL104*BO104*VLOOKUP('Données projet'!$B$11,Paramètres!$A$1:$I$89,3,0)*0.475*44/12</f>
        <v>3.6637001151090107E-12</v>
      </c>
      <c r="BS104" s="24">
        <f t="shared" si="63"/>
        <v>14.91599749371127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68.702228909357444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68.702228909357444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68.702228909357444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68.702228909357444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68.702228909357444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68.702228909357444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68.702228909357444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1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3.6666666666666665</v>
      </c>
      <c r="H105" s="70">
        <f t="shared" si="56"/>
        <v>232.46666666666667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68.724742336398592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66.513705559911728</v>
      </c>
      <c r="T105" s="62">
        <f t="shared" si="88"/>
        <v>293.21772799887617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14.122929658631081</v>
      </c>
      <c r="AA105" s="23">
        <f>EXP(-LN(2)/25)*AA104+(1-EXP(-LN(2)/25))/(LN(2)/25)*Calculateur!V105*Calculateur!X105*VLOOKUP('Données projet'!$B$9,Paramètres!$A$1:$I$89,3,0)*0.475*44/12</f>
        <v>0.40816035836852443</v>
      </c>
      <c r="AB105" s="23">
        <f>EXP(-LN(2)/2)*AB104+(1-EXP(-LN(2)/2))/(LN(2)/2)*V105*Y105*VLOOKUP('Données projet'!$B$9,Paramètres!$A$1:$I$89,3,0)*0.475*44/12</f>
        <v>2.5748306883371026E-12</v>
      </c>
      <c r="AC105" s="24">
        <f t="shared" si="57"/>
        <v>14.531090017002182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68.724742336398592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3.3992364478763198E-14</v>
      </c>
      <c r="AK105" s="14">
        <f t="shared" si="89"/>
        <v>5.790027782444094E-13</v>
      </c>
      <c r="AL105" s="22">
        <f t="shared" si="58"/>
        <v>1.0676332069095257E-12</v>
      </c>
      <c r="AM105" s="62">
        <f t="shared" si="59"/>
        <v>288.65738856679593</v>
      </c>
      <c r="AN105" s="62">
        <f ca="1">AVERAGE(OFFSET($AM$3,0,0,'Données projet'!$E$10+1,1))-AVERAGE(OFFSET($H$3,0,0,'Données projet'!$E$10+1,1))</f>
        <v>210.41468975391527</v>
      </c>
      <c r="AO105" s="62">
        <f t="shared" si="90"/>
        <v>355.1268923221744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26.285454915188424</v>
      </c>
      <c r="AV105" s="23">
        <f>EXP(-LN(2)/25)*AV104+(1-EXP(-LN(2)/25))/(LN(2)/25)*Calculateur!AQ105*Calculateur!AS105*VLOOKUP('Données projet'!$B$10,Paramètres!$A$1:$I$89,3,0)*0.475*44/12</f>
        <v>0.4541298665643857</v>
      </c>
      <c r="AW105" s="23">
        <f>EXP(-LN(2)/2)*AW104+(1-EXP(-LN(2)/2))/(LN(2)/2)*AQ105*AT105*VLOOKUP('Données projet'!$B$10,Paramètres!$A$1:$I$89,3,0)*0.475*44/12</f>
        <v>1.6029205852668959E-8</v>
      </c>
      <c r="AX105" s="23">
        <f t="shared" si="60"/>
        <v>26.739584797782015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68.724742336398592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66.833935615974326</v>
      </c>
      <c r="BJ105" s="62">
        <f t="shared" si="92"/>
        <v>294.79914393693775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14.209573398868098</v>
      </c>
      <c r="BQ105" s="23">
        <f>EXP(-LN(2)/25)*BQ104+(1-EXP(-LN(2)/25))/(LN(2)/25)*Calculateur!BL105*Calculateur!BN105*VLOOKUP('Données projet'!$B$11,Paramètres!$A$1:$I$89,3,0)*0.475*44/12</f>
        <v>0.41066440964685924</v>
      </c>
      <c r="BR105" s="23">
        <f>EXP(-LN(2)/2)*BR104+(1-EXP(-LN(2)/2))/(LN(2)/2)*BL105*BO105*VLOOKUP('Données projet'!$B$11,Paramètres!$A$1:$I$89,3,0)*0.475*44/12</f>
        <v>2.5906271956275163E-12</v>
      </c>
      <c r="BS105" s="24">
        <f t="shared" si="63"/>
        <v>14.620237808517548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68.724742336398592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68.724742336398592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68.724742336398592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68.724742336398592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68.724742336398592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68.724742336398592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68.724742336398592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1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3.6666666666666665</v>
      </c>
      <c r="H106" s="70">
        <f t="shared" si="56"/>
        <v>232.46666666666667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68.746865205813052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66.513705559911728</v>
      </c>
      <c r="T106" s="62">
        <f t="shared" si="88"/>
        <v>293.21772799887617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13.845987622161843</v>
      </c>
      <c r="AA106" s="23">
        <f>EXP(-LN(2)/25)*AA105+(1-EXP(-LN(2)/25))/(LN(2)/25)*Calculateur!V106*Calculateur!X106*VLOOKUP('Données projet'!$B$9,Paramètres!$A$1:$I$89,3,0)*0.475*44/12</f>
        <v>0.39699919190471677</v>
      </c>
      <c r="AB106" s="23">
        <f>EXP(-LN(2)/2)*AB105+(1-EXP(-LN(2)/2))/(LN(2)/2)*V106*Y106*VLOOKUP('Données projet'!$B$9,Paramètres!$A$1:$I$89,3,0)*0.475*44/12</f>
        <v>1.8206802401303911E-12</v>
      </c>
      <c r="AC106" s="24">
        <f t="shared" si="57"/>
        <v>14.242986814068381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68.746865205813052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3.3992364478763198E-14</v>
      </c>
      <c r="AK106" s="14">
        <f t="shared" si="89"/>
        <v>5.790027782444094E-13</v>
      </c>
      <c r="AL106" s="22">
        <f t="shared" si="58"/>
        <v>1.0676332069095257E-12</v>
      </c>
      <c r="AM106" s="62">
        <f t="shared" si="59"/>
        <v>288.73850575464894</v>
      </c>
      <c r="AN106" s="62">
        <f ca="1">AVERAGE(OFFSET($AM$3,0,0,'Données projet'!$E$10+1,1))-AVERAGE(OFFSET($H$3,0,0,'Données projet'!$E$10+1,1))</f>
        <v>210.41468975391527</v>
      </c>
      <c r="AO106" s="62">
        <f t="shared" si="90"/>
        <v>355.1268923221744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25.770013176845996</v>
      </c>
      <c r="AV106" s="23">
        <f>EXP(-LN(2)/25)*AV105+(1-EXP(-LN(2)/25))/(LN(2)/25)*Calculateur!AQ106*Calculateur!AS106*VLOOKUP('Données projet'!$B$10,Paramètres!$A$1:$I$89,3,0)*0.475*44/12</f>
        <v>0.44171166148153079</v>
      </c>
      <c r="AW106" s="23">
        <f>EXP(-LN(2)/2)*AW105+(1-EXP(-LN(2)/2))/(LN(2)/2)*AQ106*AT106*VLOOKUP('Données projet'!$B$10,Paramètres!$A$1:$I$89,3,0)*0.475*44/12</f>
        <v>1.1334360155457316E-8</v>
      </c>
      <c r="AX106" s="23">
        <f t="shared" si="60"/>
        <v>26.211724849661888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68.746865205813052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66.833935615974326</v>
      </c>
      <c r="BJ106" s="62">
        <f t="shared" si="92"/>
        <v>294.79914393693775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13.930932331500275</v>
      </c>
      <c r="BQ106" s="23">
        <f>EXP(-LN(2)/25)*BQ105+(1-EXP(-LN(2)/25))/(LN(2)/25)*Calculateur!BL106*Calculateur!BN106*VLOOKUP('Données projet'!$B$11,Paramètres!$A$1:$I$89,3,0)*0.475*44/12</f>
        <v>0.39943476976916314</v>
      </c>
      <c r="BR106" s="23">
        <f>EXP(-LN(2)/2)*BR105+(1-EXP(-LN(2)/2))/(LN(2)/2)*BL106*BO106*VLOOKUP('Données projet'!$B$11,Paramètres!$A$1:$I$89,3,0)*0.475*44/12</f>
        <v>1.8318500575545054E-12</v>
      </c>
      <c r="BS106" s="24">
        <f t="shared" si="63"/>
        <v>14.330367101271269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68.746865205813052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68.746865205813052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68.746865205813052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68.746865205813052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68.746865205813052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68.746865205813052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68.746865205813052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1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3.6666666666666665</v>
      </c>
      <c r="H107" s="70">
        <f t="shared" si="56"/>
        <v>232.46666666666667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68.768604292902509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66.513705559911728</v>
      </c>
      <c r="T107" s="62">
        <f t="shared" si="88"/>
        <v>293.21772799887617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13.574476250109802</v>
      </c>
      <c r="AA107" s="23">
        <f>EXP(-LN(2)/25)*AA106+(1-EXP(-LN(2)/25))/(LN(2)/25)*Calculateur!V107*Calculateur!X107*VLOOKUP('Données projet'!$B$9,Paramètres!$A$1:$I$89,3,0)*0.475*44/12</f>
        <v>0.38614322812480217</v>
      </c>
      <c r="AB107" s="23">
        <f>EXP(-LN(2)/2)*AB106+(1-EXP(-LN(2)/2))/(LN(2)/2)*V107*Y107*VLOOKUP('Données projet'!$B$9,Paramètres!$A$1:$I$89,3,0)*0.475*44/12</f>
        <v>1.2874153441685513E-12</v>
      </c>
      <c r="AC107" s="24">
        <f t="shared" si="57"/>
        <v>13.960619478235891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68.768604292902509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3.3992364478763198E-14</v>
      </c>
      <c r="AK107" s="14">
        <f t="shared" si="89"/>
        <v>5.790027782444094E-13</v>
      </c>
      <c r="AL107" s="22">
        <f t="shared" si="58"/>
        <v>1.0676332069095257E-12</v>
      </c>
      <c r="AM107" s="62">
        <f t="shared" si="59"/>
        <v>288.81821574064361</v>
      </c>
      <c r="AN107" s="62">
        <f ca="1">AVERAGE(OFFSET($AM$3,0,0,'Données projet'!$E$10+1,1))-AVERAGE(OFFSET($H$3,0,0,'Données projet'!$E$10+1,1))</f>
        <v>210.41468975391527</v>
      </c>
      <c r="AO107" s="62">
        <f t="shared" si="90"/>
        <v>355.1268923221744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25.264678936604046</v>
      </c>
      <c r="AV107" s="23">
        <f>EXP(-LN(2)/25)*AV106+(1-EXP(-LN(2)/25))/(LN(2)/25)*Calculateur!AQ107*Calculateur!AS107*VLOOKUP('Données projet'!$B$10,Paramètres!$A$1:$I$89,3,0)*0.475*44/12</f>
        <v>0.42963303286971161</v>
      </c>
      <c r="AW107" s="23">
        <f>EXP(-LN(2)/2)*AW106+(1-EXP(-LN(2)/2))/(LN(2)/2)*AQ107*AT107*VLOOKUP('Données projet'!$B$10,Paramètres!$A$1:$I$89,3,0)*0.475*44/12</f>
        <v>8.0146029263344794E-9</v>
      </c>
      <c r="AX107" s="23">
        <f t="shared" si="60"/>
        <v>25.694311977488361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68.768604292902509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66.833935615974326</v>
      </c>
      <c r="BJ107" s="62">
        <f t="shared" si="92"/>
        <v>294.79914393693775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13.657755245509264</v>
      </c>
      <c r="BQ107" s="23">
        <f>EXP(-LN(2)/25)*BQ106+(1-EXP(-LN(2)/25))/(LN(2)/25)*Calculateur!BL107*Calculateur!BN107*VLOOKUP('Données projet'!$B$11,Paramètres!$A$1:$I$89,3,0)*0.475*44/12</f>
        <v>0.38851220498446376</v>
      </c>
      <c r="BR107" s="23">
        <f>EXP(-LN(2)/2)*BR106+(1-EXP(-LN(2)/2))/(LN(2)/2)*BL107*BO107*VLOOKUP('Données projet'!$B$11,Paramètres!$A$1:$I$89,3,0)*0.475*44/12</f>
        <v>1.2953135978137581E-12</v>
      </c>
      <c r="BS107" s="24">
        <f t="shared" si="63"/>
        <v>14.046267450495023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68.768604292902509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68.768604292902509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68.768604292902509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68.768604292902509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68.768604292902509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68.768604292902509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68.768604292902509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1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3.6666666666666665</v>
      </c>
      <c r="H108" s="70">
        <f t="shared" si="56"/>
        <v>232.46666666666667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68.789966255432276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66.513705559911728</v>
      </c>
      <c r="T108" s="62">
        <f t="shared" si="88"/>
        <v>293.21772799887617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13.308289050458118</v>
      </c>
      <c r="AA108" s="23">
        <f>EXP(-LN(2)/25)*AA107+(1-EXP(-LN(2)/25))/(LN(2)/25)*Calculateur!V108*Calculateur!X108*VLOOKUP('Données projet'!$B$9,Paramètres!$A$1:$I$89,3,0)*0.475*44/12</f>
        <v>0.37558412124533963</v>
      </c>
      <c r="AB108" s="23">
        <f>EXP(-LN(2)/2)*AB107+(1-EXP(-LN(2)/2))/(LN(2)/2)*V108*Y108*VLOOKUP('Données projet'!$B$9,Paramètres!$A$1:$I$89,3,0)*0.475*44/12</f>
        <v>9.1034012006519557E-13</v>
      </c>
      <c r="AC108" s="24">
        <f t="shared" si="57"/>
        <v>13.683873171704366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68.789966255432276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3.3992364478763198E-14</v>
      </c>
      <c r="AK108" s="14">
        <f t="shared" si="89"/>
        <v>5.790027782444094E-13</v>
      </c>
      <c r="AL108" s="22">
        <f t="shared" si="58"/>
        <v>1.0676332069095257E-12</v>
      </c>
      <c r="AM108" s="62">
        <f t="shared" si="59"/>
        <v>288.89654293658612</v>
      </c>
      <c r="AN108" s="62">
        <f ca="1">AVERAGE(OFFSET($AM$3,0,0,'Données projet'!$E$10+1,1))-AVERAGE(OFFSET($H$3,0,0,'Données projet'!$E$10+1,1))</f>
        <v>210.41468975391527</v>
      </c>
      <c r="AO108" s="62">
        <f t="shared" si="90"/>
        <v>355.1268923221744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24.769253992589789</v>
      </c>
      <c r="AV108" s="23">
        <f>EXP(-LN(2)/25)*AV107+(1-EXP(-LN(2)/25))/(LN(2)/25)*Calculateur!AQ108*Calculateur!AS108*VLOOKUP('Données projet'!$B$10,Paramètres!$A$1:$I$89,3,0)*0.475*44/12</f>
        <v>0.41788469499247011</v>
      </c>
      <c r="AW108" s="23">
        <f>EXP(-LN(2)/2)*AW107+(1-EXP(-LN(2)/2))/(LN(2)/2)*AQ108*AT108*VLOOKUP('Données projet'!$B$10,Paramètres!$A$1:$I$89,3,0)*0.475*44/12</f>
        <v>5.6671800777286582E-9</v>
      </c>
      <c r="AX108" s="23">
        <f t="shared" si="60"/>
        <v>25.187138693249437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68.789966255432276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66.833935615974326</v>
      </c>
      <c r="BJ108" s="62">
        <f t="shared" si="92"/>
        <v>294.79914393693775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13.389934995552968</v>
      </c>
      <c r="BQ108" s="23">
        <f>EXP(-LN(2)/25)*BQ107+(1-EXP(-LN(2)/25))/(LN(2)/25)*Calculateur!BL108*Calculateur!BN108*VLOOKUP('Données projet'!$B$11,Paramètres!$A$1:$I$89,3,0)*0.475*44/12</f>
        <v>0.37788831830819469</v>
      </c>
      <c r="BR108" s="23">
        <f>EXP(-LN(2)/2)*BR107+(1-EXP(-LN(2)/2))/(LN(2)/2)*BL108*BO108*VLOOKUP('Données projet'!$B$11,Paramètres!$A$1:$I$89,3,0)*0.475*44/12</f>
        <v>9.1592502877725269E-13</v>
      </c>
      <c r="BS108" s="24">
        <f t="shared" si="63"/>
        <v>13.767823313862079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68.789966255432276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68.789966255432276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68.789966255432276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68.789966255432276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68.789966255432276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68.789966255432276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68.789966255432276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1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3.6666666666666665</v>
      </c>
      <c r="H109" s="70">
        <f t="shared" si="56"/>
        <v>232.46666666666667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68.810957635670349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66.513705559911728</v>
      </c>
      <c r="T109" s="62">
        <f t="shared" si="88"/>
        <v>293.21772799887617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13.047321619433443</v>
      </c>
      <c r="AA109" s="23">
        <f>EXP(-LN(2)/25)*AA108+(1-EXP(-LN(2)/25))/(LN(2)/25)*Calculateur!V109*Calculateur!X109*VLOOKUP('Données projet'!$B$9,Paramètres!$A$1:$I$89,3,0)*0.475*44/12</f>
        <v>0.36531375369877528</v>
      </c>
      <c r="AB109" s="23">
        <f>EXP(-LN(2)/2)*AB108+(1-EXP(-LN(2)/2))/(LN(2)/2)*V109*Y109*VLOOKUP('Données projet'!$B$9,Paramètres!$A$1:$I$89,3,0)*0.475*44/12</f>
        <v>6.4370767208427564E-13</v>
      </c>
      <c r="AC109" s="24">
        <f t="shared" si="57"/>
        <v>13.412635373132861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68.810957635670349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3.3992364478763198E-14</v>
      </c>
      <c r="AK109" s="14">
        <f t="shared" si="89"/>
        <v>5.790027782444094E-13</v>
      </c>
      <c r="AL109" s="22">
        <f t="shared" si="58"/>
        <v>1.0676332069095257E-12</v>
      </c>
      <c r="AM109" s="62">
        <f t="shared" si="59"/>
        <v>288.97351133079235</v>
      </c>
      <c r="AN109" s="62">
        <f ca="1">AVERAGE(OFFSET($AM$3,0,0,'Données projet'!$E$10+1,1))-AVERAGE(OFFSET($H$3,0,0,'Données projet'!$E$10+1,1))</f>
        <v>210.41468975391527</v>
      </c>
      <c r="AO109" s="62">
        <f t="shared" si="90"/>
        <v>355.1268923221744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24.283544029548271</v>
      </c>
      <c r="AV109" s="23">
        <f>EXP(-LN(2)/25)*AV108+(1-EXP(-LN(2)/25))/(LN(2)/25)*Calculateur!AQ109*Calculateur!AS109*VLOOKUP('Données projet'!$B$10,Paramètres!$A$1:$I$89,3,0)*0.475*44/12</f>
        <v>0.40645761603230002</v>
      </c>
      <c r="AW109" s="23">
        <f>EXP(-LN(2)/2)*AW108+(1-EXP(-LN(2)/2))/(LN(2)/2)*AQ109*AT109*VLOOKUP('Données projet'!$B$10,Paramètres!$A$1:$I$89,3,0)*0.475*44/12</f>
        <v>4.0073014631672397E-9</v>
      </c>
      <c r="AX109" s="23">
        <f t="shared" si="60"/>
        <v>24.69000164958787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68.810957635670349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66.833935615974326</v>
      </c>
      <c r="BJ109" s="62">
        <f t="shared" si="92"/>
        <v>294.79914393693775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13.127366537344093</v>
      </c>
      <c r="BQ109" s="23">
        <f>EXP(-LN(2)/25)*BQ108+(1-EXP(-LN(2)/25))/(LN(2)/25)*Calculateur!BL109*Calculateur!BN109*VLOOKUP('Données projet'!$B$11,Paramètres!$A$1:$I$89,3,0)*0.475*44/12</f>
        <v>0.36755494237177411</v>
      </c>
      <c r="BR109" s="23">
        <f>EXP(-LN(2)/2)*BR108+(1-EXP(-LN(2)/2))/(LN(2)/2)*BL109*BO109*VLOOKUP('Données projet'!$B$11,Paramètres!$A$1:$I$89,3,0)*0.475*44/12</f>
        <v>6.4765679890687906E-13</v>
      </c>
      <c r="BS109" s="24">
        <f t="shared" si="63"/>
        <v>13.494921479716515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68.810957635670349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68.810957635670349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68.810957635670349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68.810957635670349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68.810957635670349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68.810957635670349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68.810957635670349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1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3.6666666666666665</v>
      </c>
      <c r="H110" s="70">
        <f t="shared" si="56"/>
        <v>232.46666666666667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68.831584862390983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66.513705559911728</v>
      </c>
      <c r="T110" s="62">
        <f t="shared" si="88"/>
        <v>293.21772799887617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12.791471600556747</v>
      </c>
      <c r="AA110" s="23">
        <f>EXP(-LN(2)/25)*AA109+(1-EXP(-LN(2)/25))/(LN(2)/25)*Calculateur!V110*Calculateur!X110*VLOOKUP('Données projet'!$B$9,Paramètres!$A$1:$I$89,3,0)*0.475*44/12</f>
        <v>0.35532422989286688</v>
      </c>
      <c r="AB110" s="23">
        <f>EXP(-LN(2)/2)*AB109+(1-EXP(-LN(2)/2))/(LN(2)/2)*V110*Y110*VLOOKUP('Données projet'!$B$9,Paramètres!$A$1:$I$89,3,0)*0.475*44/12</f>
        <v>4.5517006003259778E-13</v>
      </c>
      <c r="AC110" s="24">
        <f t="shared" si="57"/>
        <v>13.146795830450069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68.831584862390983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3.3992364478763198E-14</v>
      </c>
      <c r="AK110" s="14">
        <f t="shared" si="89"/>
        <v>5.790027782444094E-13</v>
      </c>
      <c r="AL110" s="22">
        <f t="shared" si="58"/>
        <v>1.0676332069095257E-12</v>
      </c>
      <c r="AM110" s="62">
        <f t="shared" si="59"/>
        <v>289.04914449543469</v>
      </c>
      <c r="AN110" s="62">
        <f ca="1">AVERAGE(OFFSET($AM$3,0,0,'Données projet'!$E$10+1,1))-AVERAGE(OFFSET($H$3,0,0,'Données projet'!$E$10+1,1))</f>
        <v>210.41468975391527</v>
      </c>
      <c r="AO110" s="62">
        <f t="shared" si="90"/>
        <v>355.1268923221744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23.807358542628172</v>
      </c>
      <c r="AV110" s="23">
        <f>EXP(-LN(2)/25)*AV109+(1-EXP(-LN(2)/25))/(LN(2)/25)*Calculateur!AQ110*Calculateur!AS110*VLOOKUP('Données projet'!$B$10,Paramètres!$A$1:$I$89,3,0)*0.475*44/12</f>
        <v>0.3953430111472197</v>
      </c>
      <c r="AW110" s="23">
        <f>EXP(-LN(2)/2)*AW109+(1-EXP(-LN(2)/2))/(LN(2)/2)*AQ110*AT110*VLOOKUP('Données projet'!$B$10,Paramètres!$A$1:$I$89,3,0)*0.475*44/12</f>
        <v>2.8335900388643291E-9</v>
      </c>
      <c r="AX110" s="23">
        <f t="shared" si="60"/>
        <v>24.202701556608982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68.831584862390983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66.833935615974326</v>
      </c>
      <c r="BJ110" s="62">
        <f t="shared" si="92"/>
        <v>294.79914393693775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12.869946886449748</v>
      </c>
      <c r="BQ110" s="23">
        <f>EXP(-LN(2)/25)*BQ109+(1-EXP(-LN(2)/25))/(LN(2)/25)*Calculateur!BL110*Calculateur!BN110*VLOOKUP('Données projet'!$B$11,Paramètres!$A$1:$I$89,3,0)*0.475*44/12</f>
        <v>0.35750413314374357</v>
      </c>
      <c r="BR110" s="23">
        <f>EXP(-LN(2)/2)*BR109+(1-EXP(-LN(2)/2))/(LN(2)/2)*BL110*BO110*VLOOKUP('Données projet'!$B$11,Paramètres!$A$1:$I$89,3,0)*0.475*44/12</f>
        <v>4.5796251438862634E-13</v>
      </c>
      <c r="BS110" s="24">
        <f t="shared" si="63"/>
        <v>13.22745101959395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68.831584862390983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68.831584862390983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68.831584862390983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68.831584862390983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68.831584862390983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68.831584862390983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68.831584862390983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1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3.6666666666666665</v>
      </c>
      <c r="H111" s="70">
        <f t="shared" si="56"/>
        <v>232.46666666666667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68.85185425284358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66.513705559911728</v>
      </c>
      <c r="T111" s="62">
        <f t="shared" si="88"/>
        <v>293.21772799887617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12.54063864449712</v>
      </c>
      <c r="AA111" s="23">
        <f>EXP(-LN(2)/25)*AA110+(1-EXP(-LN(2)/25))/(LN(2)/25)*Calculateur!V111*Calculateur!X111*VLOOKUP('Données projet'!$B$9,Paramètres!$A$1:$I$89,3,0)*0.475*44/12</f>
        <v>0.34560787014075728</v>
      </c>
      <c r="AB111" s="23">
        <f>EXP(-LN(2)/2)*AB110+(1-EXP(-LN(2)/2))/(LN(2)/2)*V111*Y111*VLOOKUP('Données projet'!$B$9,Paramètres!$A$1:$I$89,3,0)*0.475*44/12</f>
        <v>3.2185383604213782E-13</v>
      </c>
      <c r="AC111" s="24">
        <f t="shared" si="57"/>
        <v>12.886246514638199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68.85185425284358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3.3992364478763198E-14</v>
      </c>
      <c r="AK111" s="14">
        <f t="shared" si="89"/>
        <v>5.790027782444094E-13</v>
      </c>
      <c r="AL111" s="22">
        <f t="shared" si="58"/>
        <v>1.0676332069095257E-12</v>
      </c>
      <c r="AM111" s="62">
        <f t="shared" si="59"/>
        <v>289.1234655937609</v>
      </c>
      <c r="AN111" s="62">
        <f ca="1">AVERAGE(OFFSET($AM$3,0,0,'Données projet'!$E$10+1,1))-AVERAGE(OFFSET($H$3,0,0,'Données projet'!$E$10+1,1))</f>
        <v>210.41468975391527</v>
      </c>
      <c r="AO111" s="62">
        <f t="shared" si="90"/>
        <v>355.1268923221744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23.34051076266211</v>
      </c>
      <c r="AV111" s="23">
        <f>EXP(-LN(2)/25)*AV110+(1-EXP(-LN(2)/25))/(LN(2)/25)*Calculateur!AQ111*Calculateur!AS111*VLOOKUP('Données projet'!$B$10,Paramètres!$A$1:$I$89,3,0)*0.475*44/12</f>
        <v>0.38453233571721357</v>
      </c>
      <c r="AW111" s="23">
        <f>EXP(-LN(2)/2)*AW110+(1-EXP(-LN(2)/2))/(LN(2)/2)*AQ111*AT111*VLOOKUP('Données projet'!$B$10,Paramètres!$A$1:$I$89,3,0)*0.475*44/12</f>
        <v>2.0036507315836199E-9</v>
      </c>
      <c r="AX111" s="23">
        <f t="shared" si="60"/>
        <v>23.725043100382976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68.85185425284358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66.833935615974326</v>
      </c>
      <c r="BJ111" s="62">
        <f t="shared" si="92"/>
        <v>294.79914393693775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12.617575077898957</v>
      </c>
      <c r="BQ111" s="23">
        <f>EXP(-LN(2)/25)*BQ110+(1-EXP(-LN(2)/25))/(LN(2)/25)*Calculateur!BL111*Calculateur!BN111*VLOOKUP('Données projet'!$B$11,Paramètres!$A$1:$I$89,3,0)*0.475*44/12</f>
        <v>0.34772816382260263</v>
      </c>
      <c r="BR111" s="23">
        <f>EXP(-LN(2)/2)*BR110+(1-EXP(-LN(2)/2))/(LN(2)/2)*BL111*BO111*VLOOKUP('Données projet'!$B$11,Paramètres!$A$1:$I$89,3,0)*0.475*44/12</f>
        <v>3.2382839945343953E-13</v>
      </c>
      <c r="BS111" s="24">
        <f t="shared" si="63"/>
        <v>12.965303241721884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68.85185425284358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68.85185425284358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68.85185425284358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68.85185425284358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68.85185425284358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68.85185425284358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68.85185425284358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1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3.6666666666666665</v>
      </c>
      <c r="H112" s="70">
        <f t="shared" si="56"/>
        <v>232.46666666666667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68.871772014687394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66.513705559911728</v>
      </c>
      <c r="T112" s="62">
        <f t="shared" si="88"/>
        <v>293.21772799887617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12.294724369712826</v>
      </c>
      <c r="AA112" s="23">
        <f>EXP(-LN(2)/25)*AA111+(1-EXP(-LN(2)/25))/(LN(2)/25)*Calculateur!V112*Calculateur!X112*VLOOKUP('Données projet'!$B$9,Paramètres!$A$1:$I$89,3,0)*0.475*44/12</f>
        <v>0.33615720475703026</v>
      </c>
      <c r="AB112" s="23">
        <f>EXP(-LN(2)/2)*AB111+(1-EXP(-LN(2)/2))/(LN(2)/2)*V112*Y112*VLOOKUP('Données projet'!$B$9,Paramètres!$A$1:$I$89,3,0)*0.475*44/12</f>
        <v>2.2758503001629889E-13</v>
      </c>
      <c r="AC112" s="24">
        <f t="shared" si="57"/>
        <v>12.630881574470084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68.871772014687394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3.3992364478763198E-14</v>
      </c>
      <c r="AK112" s="14">
        <f t="shared" si="89"/>
        <v>5.790027782444094E-13</v>
      </c>
      <c r="AL112" s="22">
        <f t="shared" si="58"/>
        <v>1.0676332069095257E-12</v>
      </c>
      <c r="AM112" s="62">
        <f t="shared" si="59"/>
        <v>289.19649738718817</v>
      </c>
      <c r="AN112" s="62">
        <f ca="1">AVERAGE(OFFSET($AM$3,0,0,'Données projet'!$E$10+1,1))-AVERAGE(OFFSET($H$3,0,0,'Données projet'!$E$10+1,1))</f>
        <v>210.41468975391527</v>
      </c>
      <c r="AO112" s="62">
        <f t="shared" si="90"/>
        <v>355.1268923221744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22.882817582912153</v>
      </c>
      <c r="AV112" s="23">
        <f>EXP(-LN(2)/25)*AV111+(1-EXP(-LN(2)/25))/(LN(2)/25)*Calculateur!AQ112*Calculateur!AS112*VLOOKUP('Données projet'!$B$10,Paramètres!$A$1:$I$89,3,0)*0.475*44/12</f>
        <v>0.37401727877534968</v>
      </c>
      <c r="AW112" s="23">
        <f>EXP(-LN(2)/2)*AW111+(1-EXP(-LN(2)/2))/(LN(2)/2)*AQ112*AT112*VLOOKUP('Données projet'!$B$10,Paramètres!$A$1:$I$89,3,0)*0.475*44/12</f>
        <v>1.4167950194321646E-9</v>
      </c>
      <c r="AX112" s="23">
        <f t="shared" si="60"/>
        <v>23.256834863104295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68.871772014687394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66.833935615974326</v>
      </c>
      <c r="BJ112" s="62">
        <f t="shared" si="92"/>
        <v>294.79914393693775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12.370152126582243</v>
      </c>
      <c r="BQ112" s="23">
        <f>EXP(-LN(2)/25)*BQ111+(1-EXP(-LN(2)/25))/(LN(2)/25)*Calculateur!BL112*Calculateur!BN112*VLOOKUP('Données projet'!$B$11,Paramètres!$A$1:$I$89,3,0)*0.475*44/12</f>
        <v>0.33821951889664414</v>
      </c>
      <c r="BR112" s="23">
        <f>EXP(-LN(2)/2)*BR111+(1-EXP(-LN(2)/2))/(LN(2)/2)*BL112*BO112*VLOOKUP('Données projet'!$B$11,Paramètres!$A$1:$I$89,3,0)*0.475*44/12</f>
        <v>2.2898125719431317E-13</v>
      </c>
      <c r="BS112" s="24">
        <f t="shared" si="63"/>
        <v>12.708371645479115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68.871772014687394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68.871772014687394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68.871772014687394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68.871772014687394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68.871772014687394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68.871772014687394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68.871772014687394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1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3.6666666666666665</v>
      </c>
      <c r="H113" s="70">
        <f t="shared" si="56"/>
        <v>232.46666666666667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68.891344247892675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66.513705559911728</v>
      </c>
      <c r="T113" s="62">
        <f t="shared" si="88"/>
        <v>293.21772799887617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12.053632323864154</v>
      </c>
      <c r="AA113" s="23">
        <f>EXP(-LN(2)/25)*AA112+(1-EXP(-LN(2)/25))/(LN(2)/25)*Calculateur!V113*Calculateur!X113*VLOOKUP('Données projet'!$B$9,Paramètres!$A$1:$I$89,3,0)*0.475*44/12</f>
        <v>0.32696496831521016</v>
      </c>
      <c r="AB113" s="23">
        <f>EXP(-LN(2)/2)*AB112+(1-EXP(-LN(2)/2))/(LN(2)/2)*V113*Y113*VLOOKUP('Données projet'!$B$9,Paramètres!$A$1:$I$89,3,0)*0.475*44/12</f>
        <v>1.6092691802106891E-13</v>
      </c>
      <c r="AC113" s="24">
        <f t="shared" si="57"/>
        <v>12.380597292179525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68.891344247892675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3.3992364478763198E-14</v>
      </c>
      <c r="AK113" s="14">
        <f t="shared" si="89"/>
        <v>5.790027782444094E-13</v>
      </c>
      <c r="AL113" s="22">
        <f t="shared" si="58"/>
        <v>1.0676332069095257E-12</v>
      </c>
      <c r="AM113" s="62">
        <f t="shared" si="59"/>
        <v>289.2682622422742</v>
      </c>
      <c r="AN113" s="62">
        <f ca="1">AVERAGE(OFFSET($AM$3,0,0,'Données projet'!$E$10+1,1))-AVERAGE(OFFSET($H$3,0,0,'Données projet'!$E$10+1,1))</f>
        <v>210.41468975391527</v>
      </c>
      <c r="AO113" s="62">
        <f t="shared" si="90"/>
        <v>355.1268923221744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22.434099487251817</v>
      </c>
      <c r="AV113" s="23">
        <f>EXP(-LN(2)/25)*AV112+(1-EXP(-LN(2)/25))/(LN(2)/25)*Calculateur!AQ113*Calculateur!AS113*VLOOKUP('Données projet'!$B$10,Paramètres!$A$1:$I$89,3,0)*0.475*44/12</f>
        <v>0.36378975661852386</v>
      </c>
      <c r="AW113" s="23">
        <f>EXP(-LN(2)/2)*AW112+(1-EXP(-LN(2)/2))/(LN(2)/2)*AQ113*AT113*VLOOKUP('Données projet'!$B$10,Paramètres!$A$1:$I$89,3,0)*0.475*44/12</f>
        <v>1.0018253657918099E-9</v>
      </c>
      <c r="AX113" s="23">
        <f t="shared" si="60"/>
        <v>22.797889244872167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68.891344247892675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66.833935615974326</v>
      </c>
      <c r="BJ113" s="62">
        <f t="shared" si="92"/>
        <v>294.79914393693775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12.12758098842775</v>
      </c>
      <c r="BQ113" s="23">
        <f>EXP(-LN(2)/25)*BQ112+(1-EXP(-LN(2)/25))/(LN(2)/25)*Calculateur!BL113*Calculateur!BN113*VLOOKUP('Données projet'!$B$11,Paramètres!$A$1:$I$89,3,0)*0.475*44/12</f>
        <v>0.3289708883662239</v>
      </c>
      <c r="BR113" s="23">
        <f>EXP(-LN(2)/2)*BR112+(1-EXP(-LN(2)/2))/(LN(2)/2)*BL113*BO113*VLOOKUP('Données projet'!$B$11,Paramètres!$A$1:$I$89,3,0)*0.475*44/12</f>
        <v>1.6191419972671977E-13</v>
      </c>
      <c r="BS113" s="24">
        <f t="shared" si="63"/>
        <v>12.456551876794135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68.891344247892675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68.891344247892675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68.891344247892675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68.891344247892675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68.891344247892675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68.891344247892675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68.891344247892675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1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3.6666666666666665</v>
      </c>
      <c r="H114" s="70">
        <f t="shared" si="56"/>
        <v>232.46666666666667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68.910576946608785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66.513705559911728</v>
      </c>
      <c r="T114" s="62">
        <f t="shared" si="88"/>
        <v>293.21772799887617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11.817267945982946</v>
      </c>
      <c r="AA114" s="23">
        <f>EXP(-LN(2)/25)*AA113+(1-EXP(-LN(2)/25))/(LN(2)/25)*Calculateur!V114*Calculateur!X114*VLOOKUP('Données projet'!$B$9,Paramètres!$A$1:$I$89,3,0)*0.475*44/12</f>
        <v>0.31802409406229032</v>
      </c>
      <c r="AB114" s="23">
        <f>EXP(-LN(2)/2)*AB113+(1-EXP(-LN(2)/2))/(LN(2)/2)*V114*Y114*VLOOKUP('Données projet'!$B$9,Paramètres!$A$1:$I$89,3,0)*0.475*44/12</f>
        <v>1.1379251500814945E-13</v>
      </c>
      <c r="AC114" s="24">
        <f t="shared" si="57"/>
        <v>12.13529204004535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68.910576946608785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3.3992364478763198E-14</v>
      </c>
      <c r="AK114" s="14">
        <f t="shared" si="89"/>
        <v>5.790027782444094E-13</v>
      </c>
      <c r="AL114" s="22">
        <f t="shared" si="58"/>
        <v>1.0676332069095257E-12</v>
      </c>
      <c r="AM114" s="62">
        <f t="shared" si="59"/>
        <v>289.33878213756662</v>
      </c>
      <c r="AN114" s="62">
        <f ca="1">AVERAGE(OFFSET($AM$3,0,0,'Données projet'!$E$10+1,1))-AVERAGE(OFFSET($H$3,0,0,'Données projet'!$E$10+1,1))</f>
        <v>210.41468975391527</v>
      </c>
      <c r="AO114" s="62">
        <f t="shared" si="90"/>
        <v>355.1268923221744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21.994180479756366</v>
      </c>
      <c r="AV114" s="23">
        <f>EXP(-LN(2)/25)*AV113+(1-EXP(-LN(2)/25))/(LN(2)/25)*Calculateur!AQ114*Calculateur!AS114*VLOOKUP('Données projet'!$B$10,Paramètres!$A$1:$I$89,3,0)*0.475*44/12</f>
        <v>0.35384190659291848</v>
      </c>
      <c r="AW114" s="23">
        <f>EXP(-LN(2)/2)*AW113+(1-EXP(-LN(2)/2))/(LN(2)/2)*AQ114*AT114*VLOOKUP('Données projet'!$B$10,Paramètres!$A$1:$I$89,3,0)*0.475*44/12</f>
        <v>7.0839750971608228E-10</v>
      </c>
      <c r="AX114" s="23">
        <f t="shared" si="60"/>
        <v>22.348022387057682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68.910576946608785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66.833935615974326</v>
      </c>
      <c r="BJ114" s="62">
        <f t="shared" si="92"/>
        <v>294.79914393693775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11.889766522338682</v>
      </c>
      <c r="BQ114" s="23">
        <f>EXP(-LN(2)/25)*BQ113+(1-EXP(-LN(2)/25))/(LN(2)/25)*Calculateur!BL114*Calculateur!BN114*VLOOKUP('Données projet'!$B$11,Paramètres!$A$1:$I$89,3,0)*0.475*44/12</f>
        <v>0.31997516212402238</v>
      </c>
      <c r="BR114" s="23">
        <f>EXP(-LN(2)/2)*BR113+(1-EXP(-LN(2)/2))/(LN(2)/2)*BL114*BO114*VLOOKUP('Données projet'!$B$11,Paramètres!$A$1:$I$89,3,0)*0.475*44/12</f>
        <v>1.1449062859715659E-13</v>
      </c>
      <c r="BS114" s="24">
        <f t="shared" si="63"/>
        <v>12.209741684462818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68.910576946608785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68.910576946608785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68.910576946608785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68.910576946608785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68.910576946608785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68.910576946608785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68.910576946608785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1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3.6666666666666665</v>
      </c>
      <c r="H115" s="70">
        <f t="shared" si="56"/>
        <v>232.46666666666667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68.929476001000054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66.513705559911728</v>
      </c>
      <c r="T115" s="62">
        <f t="shared" si="88"/>
        <v>293.21772799887617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11.585538529383955</v>
      </c>
      <c r="AA115" s="23">
        <f>EXP(-LN(2)/25)*AA114+(1-EXP(-LN(2)/25))/(LN(2)/25)*Calculateur!V115*Calculateur!X115*VLOOKUP('Données projet'!$B$9,Paramètres!$A$1:$I$89,3,0)*0.475*44/12</f>
        <v>0.30932770848599672</v>
      </c>
      <c r="AB115" s="23">
        <f>EXP(-LN(2)/2)*AB114+(1-EXP(-LN(2)/2))/(LN(2)/2)*V115*Y115*VLOOKUP('Données projet'!$B$9,Paramètres!$A$1:$I$89,3,0)*0.475*44/12</f>
        <v>8.0463459010534456E-14</v>
      </c>
      <c r="AC115" s="24">
        <f t="shared" si="57"/>
        <v>11.894866237870032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68.929476001000054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3.3992364478763198E-14</v>
      </c>
      <c r="AK115" s="14">
        <f t="shared" si="89"/>
        <v>5.790027782444094E-13</v>
      </c>
      <c r="AL115" s="22">
        <f t="shared" si="58"/>
        <v>1.0676332069095257E-12</v>
      </c>
      <c r="AM115" s="62">
        <f t="shared" si="59"/>
        <v>289.40807867033459</v>
      </c>
      <c r="AN115" s="62">
        <f ca="1">AVERAGE(OFFSET($AM$3,0,0,'Données projet'!$E$10+1,1))-AVERAGE(OFFSET($H$3,0,0,'Données projet'!$E$10+1,1))</f>
        <v>210.41468975391527</v>
      </c>
      <c r="AO115" s="62">
        <f t="shared" si="90"/>
        <v>355.1268923221744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21.562888015673803</v>
      </c>
      <c r="AV115" s="23">
        <f>EXP(-LN(2)/25)*AV114+(1-EXP(-LN(2)/25))/(LN(2)/25)*Calculateur!AQ115*Calculateur!AS115*VLOOKUP('Données projet'!$B$10,Paramètres!$A$1:$I$89,3,0)*0.475*44/12</f>
        <v>0.34416608104939794</v>
      </c>
      <c r="AW115" s="23">
        <f>EXP(-LN(2)/2)*AW114+(1-EXP(-LN(2)/2))/(LN(2)/2)*AQ115*AT115*VLOOKUP('Données projet'!$B$10,Paramètres!$A$1:$I$89,3,0)*0.475*44/12</f>
        <v>5.0091268289590496E-10</v>
      </c>
      <c r="AX115" s="23">
        <f t="shared" si="60"/>
        <v>21.907054097224112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68.929476001000054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66.833935615974326</v>
      </c>
      <c r="BJ115" s="62">
        <f t="shared" si="92"/>
        <v>294.79914393693775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11.656615452877119</v>
      </c>
      <c r="BQ115" s="23">
        <f>EXP(-LN(2)/25)*BQ114+(1-EXP(-LN(2)/25))/(LN(2)/25)*Calculateur!BL115*Calculateur!BN115*VLOOKUP('Données projet'!$B$11,Paramètres!$A$1:$I$89,3,0)*0.475*44/12</f>
        <v>0.31122542448897855</v>
      </c>
      <c r="BR115" s="23">
        <f>EXP(-LN(2)/2)*BR114+(1-EXP(-LN(2)/2))/(LN(2)/2)*BL115*BO115*VLOOKUP('Données projet'!$B$11,Paramètres!$A$1:$I$89,3,0)*0.475*44/12</f>
        <v>8.0957099863359883E-14</v>
      </c>
      <c r="BS115" s="24">
        <f t="shared" si="63"/>
        <v>11.96784087736618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68.929476001000054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68.929476001000054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68.929476001000054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68.929476001000054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68.929476001000054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68.929476001000054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68.929476001000054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1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3.6666666666666665</v>
      </c>
      <c r="H116" s="70">
        <f t="shared" si="56"/>
        <v>232.46666666666667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68.948047199049597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66.513705559911728</v>
      </c>
      <c r="T116" s="62">
        <f t="shared" si="88"/>
        <v>293.21772799887617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11.358353185303482</v>
      </c>
      <c r="AA116" s="23">
        <f>EXP(-LN(2)/25)*AA115+(1-EXP(-LN(2)/25))/(LN(2)/25)*Calculateur!V116*Calculateur!X116*VLOOKUP('Données projet'!$B$9,Paramètres!$A$1:$I$89,3,0)*0.475*44/12</f>
        <v>0.30086912603060995</v>
      </c>
      <c r="AB116" s="23">
        <f>EXP(-LN(2)/2)*AB115+(1-EXP(-LN(2)/2))/(LN(2)/2)*V116*Y116*VLOOKUP('Données projet'!$B$9,Paramètres!$A$1:$I$89,3,0)*0.475*44/12</f>
        <v>5.6896257504074723E-14</v>
      </c>
      <c r="AC116" s="24">
        <f t="shared" si="57"/>
        <v>11.659222311334149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68.948047199049597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3.3992364478763198E-14</v>
      </c>
      <c r="AK116" s="14">
        <f t="shared" si="89"/>
        <v>5.790027782444094E-13</v>
      </c>
      <c r="AL116" s="22">
        <f t="shared" si="58"/>
        <v>1.0676332069095257E-12</v>
      </c>
      <c r="AM116" s="62">
        <f t="shared" si="59"/>
        <v>289.47617306318296</v>
      </c>
      <c r="AN116" s="62">
        <f ca="1">AVERAGE(OFFSET($AM$3,0,0,'Données projet'!$E$10+1,1))-AVERAGE(OFFSET($H$3,0,0,'Données projet'!$E$10+1,1))</f>
        <v>210.41468975391527</v>
      </c>
      <c r="AO116" s="62">
        <f t="shared" si="90"/>
        <v>355.1268923221744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21.14005293374947</v>
      </c>
      <c r="AV116" s="23">
        <f>EXP(-LN(2)/25)*AV115+(1-EXP(-LN(2)/25))/(LN(2)/25)*Calculateur!AQ116*Calculateur!AS116*VLOOKUP('Données projet'!$B$10,Paramètres!$A$1:$I$89,3,0)*0.475*44/12</f>
        <v>0.33475484146419454</v>
      </c>
      <c r="AW116" s="23">
        <f>EXP(-LN(2)/2)*AW115+(1-EXP(-LN(2)/2))/(LN(2)/2)*AQ116*AT116*VLOOKUP('Données projet'!$B$10,Paramètres!$A$1:$I$89,3,0)*0.475*44/12</f>
        <v>3.5419875485804114E-10</v>
      </c>
      <c r="AX116" s="23">
        <f t="shared" si="60"/>
        <v>21.474807775567861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68.948047199049597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66.833935615974326</v>
      </c>
      <c r="BJ116" s="62">
        <f t="shared" si="92"/>
        <v>294.79914393693775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11.428036333679588</v>
      </c>
      <c r="BQ116" s="23">
        <f>EXP(-LN(2)/25)*BQ115+(1-EXP(-LN(2)/25))/(LN(2)/25)*Calculateur!BL116*Calculateur!BN116*VLOOKUP('Données projet'!$B$11,Paramètres!$A$1:$I$89,3,0)*0.475*44/12</f>
        <v>0.30271494888969369</v>
      </c>
      <c r="BR116" s="23">
        <f>EXP(-LN(2)/2)*BR115+(1-EXP(-LN(2)/2))/(LN(2)/2)*BL116*BO116*VLOOKUP('Données projet'!$B$11,Paramètres!$A$1:$I$89,3,0)*0.475*44/12</f>
        <v>5.7245314298578293E-14</v>
      </c>
      <c r="BS116" s="24">
        <f t="shared" si="63"/>
        <v>11.730751282569338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68.948047199049597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68.948047199049597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68.948047199049597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68.948047199049597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68.948047199049597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68.948047199049597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68.948047199049597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1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3.6666666666666665</v>
      </c>
      <c r="H117" s="70">
        <f t="shared" si="56"/>
        <v>232.46666666666667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68.966296228331942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66.513705559911728</v>
      </c>
      <c r="T117" s="62">
        <f t="shared" si="88"/>
        <v>293.21772799887617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11.13562280725105</v>
      </c>
      <c r="AA117" s="23">
        <f>EXP(-LN(2)/25)*AA116+(1-EXP(-LN(2)/25))/(LN(2)/25)*Calculateur!V117*Calculateur!X117*VLOOKUP('Données projet'!$B$9,Paramètres!$A$1:$I$89,3,0)*0.475*44/12</f>
        <v>0.29264184395728321</v>
      </c>
      <c r="AB117" s="23">
        <f>EXP(-LN(2)/2)*AB116+(1-EXP(-LN(2)/2))/(LN(2)/2)*V117*Y117*VLOOKUP('Données projet'!$B$9,Paramètres!$A$1:$I$89,3,0)*0.475*44/12</f>
        <v>4.0231729505267228E-14</v>
      </c>
      <c r="AC117" s="24">
        <f t="shared" si="57"/>
        <v>11.428264651208373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68.966296228331942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3.3992364478763198E-14</v>
      </c>
      <c r="AK117" s="14">
        <f t="shared" si="89"/>
        <v>5.790027782444094E-13</v>
      </c>
      <c r="AL117" s="22">
        <f t="shared" si="58"/>
        <v>1.0676332069095257E-12</v>
      </c>
      <c r="AM117" s="62">
        <f t="shared" si="59"/>
        <v>289.54308617055153</v>
      </c>
      <c r="AN117" s="62">
        <f ca="1">AVERAGE(OFFSET($AM$3,0,0,'Données projet'!$E$10+1,1))-AVERAGE(OFFSET($H$3,0,0,'Données projet'!$E$10+1,1))</f>
        <v>210.41468975391527</v>
      </c>
      <c r="AO117" s="62">
        <f t="shared" si="90"/>
        <v>355.1268923221744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20.72550938987774</v>
      </c>
      <c r="AV117" s="23">
        <f>EXP(-LN(2)/25)*AV116+(1-EXP(-LN(2)/25))/(LN(2)/25)*Calculateur!AQ117*Calculateur!AS117*VLOOKUP('Données projet'!$B$10,Paramètres!$A$1:$I$89,3,0)*0.475*44/12</f>
        <v>0.3256009527203641</v>
      </c>
      <c r="AW117" s="23">
        <f>EXP(-LN(2)/2)*AW116+(1-EXP(-LN(2)/2))/(LN(2)/2)*AQ117*AT117*VLOOKUP('Données projet'!$B$10,Paramètres!$A$1:$I$89,3,0)*0.475*44/12</f>
        <v>2.5045634144795248E-10</v>
      </c>
      <c r="AX117" s="23">
        <f t="shared" si="60"/>
        <v>21.05111034284856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68.966296228331942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66.833935615974326</v>
      </c>
      <c r="BJ117" s="62">
        <f t="shared" si="92"/>
        <v>294.79914393693775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11.203939511590024</v>
      </c>
      <c r="BQ117" s="23">
        <f>EXP(-LN(2)/25)*BQ116+(1-EXP(-LN(2)/25))/(LN(2)/25)*Calculateur!BL117*Calculateur!BN117*VLOOKUP('Données projet'!$B$11,Paramètres!$A$1:$I$89,3,0)*0.475*44/12</f>
        <v>0.29443719269321772</v>
      </c>
      <c r="BR117" s="23">
        <f>EXP(-LN(2)/2)*BR116+(1-EXP(-LN(2)/2))/(LN(2)/2)*BL117*BO117*VLOOKUP('Données projet'!$B$11,Paramètres!$A$1:$I$89,3,0)*0.475*44/12</f>
        <v>4.0478549931679941E-14</v>
      </c>
      <c r="BS117" s="24">
        <f t="shared" si="63"/>
        <v>11.498376704283283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68.966296228331942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68.966296228331942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68.966296228331942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68.966296228331942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68.966296228331942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68.966296228331942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68.966296228331942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1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3.6666666666666665</v>
      </c>
      <c r="H118" s="70">
        <f t="shared" si="56"/>
        <v>232.46666666666667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68.98422867775497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66.513705559911728</v>
      </c>
      <c r="T118" s="62">
        <f t="shared" si="88"/>
        <v>293.21772799887617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10.917260036060108</v>
      </c>
      <c r="AA118" s="23">
        <f>EXP(-LN(2)/25)*AA117+(1-EXP(-LN(2)/25))/(LN(2)/25)*Calculateur!V118*Calculateur!X118*VLOOKUP('Données projet'!$B$9,Paramètres!$A$1:$I$89,3,0)*0.475*44/12</f>
        <v>0.28463953734490555</v>
      </c>
      <c r="AB118" s="23">
        <f>EXP(-LN(2)/2)*AB117+(1-EXP(-LN(2)/2))/(LN(2)/2)*V118*Y118*VLOOKUP('Données projet'!$B$9,Paramètres!$A$1:$I$89,3,0)*0.475*44/12</f>
        <v>2.8448128752037362E-14</v>
      </c>
      <c r="AC118" s="24">
        <f t="shared" si="57"/>
        <v>11.201899573405042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68.98422867775497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3.3992364478763198E-14</v>
      </c>
      <c r="AK118" s="14">
        <f t="shared" si="89"/>
        <v>5.790027782444094E-13</v>
      </c>
      <c r="AL118" s="22">
        <f t="shared" si="58"/>
        <v>1.0676332069095257E-12</v>
      </c>
      <c r="AM118" s="62">
        <f t="shared" si="59"/>
        <v>289.60883848510264</v>
      </c>
      <c r="AN118" s="62">
        <f ca="1">AVERAGE(OFFSET($AM$3,0,0,'Données projet'!$E$10+1,1))-AVERAGE(OFFSET($H$3,0,0,'Données projet'!$E$10+1,1))</f>
        <v>210.41468975391527</v>
      </c>
      <c r="AO118" s="62">
        <f t="shared" si="90"/>
        <v>355.1268923221744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20.319094792054738</v>
      </c>
      <c r="AV118" s="23">
        <f>EXP(-LN(2)/25)*AV117+(1-EXP(-LN(2)/25))/(LN(2)/25)*Calculateur!AQ118*Calculateur!AS118*VLOOKUP('Données projet'!$B$10,Paramètres!$A$1:$I$89,3,0)*0.475*44/12</f>
        <v>0.31669737754561583</v>
      </c>
      <c r="AW118" s="23">
        <f>EXP(-LN(2)/2)*AW117+(1-EXP(-LN(2)/2))/(LN(2)/2)*AQ118*AT118*VLOOKUP('Données projet'!$B$10,Paramètres!$A$1:$I$89,3,0)*0.475*44/12</f>
        <v>1.7709937742902057E-10</v>
      </c>
      <c r="AX118" s="23">
        <f t="shared" si="60"/>
        <v>20.635792169777453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68.98422867775497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66.833935615974326</v>
      </c>
      <c r="BJ118" s="62">
        <f t="shared" si="92"/>
        <v>294.79914393693775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10.984237091496071</v>
      </c>
      <c r="BQ118" s="23">
        <f>EXP(-LN(2)/25)*BQ117+(1-EXP(-LN(2)/25))/(LN(2)/25)*Calculateur!BL118*Calculateur!BN118*VLOOKUP('Données projet'!$B$11,Paramètres!$A$1:$I$89,3,0)*0.475*44/12</f>
        <v>0.28638579217524268</v>
      </c>
      <c r="BR118" s="23">
        <f>EXP(-LN(2)/2)*BR117+(1-EXP(-LN(2)/2))/(LN(2)/2)*BL118*BO118*VLOOKUP('Données projet'!$B$11,Paramètres!$A$1:$I$89,3,0)*0.475*44/12</f>
        <v>2.8622657149289146E-14</v>
      </c>
      <c r="BS118" s="24">
        <f t="shared" si="63"/>
        <v>11.270622883671342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68.98422867775497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68.98422867775497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68.98422867775497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68.98422867775497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68.98422867775497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68.98422867775497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68.98422867775497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1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3.6666666666666665</v>
      </c>
      <c r="H119" s="70">
        <f t="shared" si="56"/>
        <v>232.46666666666667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69.00185003927146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66.513705559911728</v>
      </c>
      <c r="T119" s="62">
        <f t="shared" si="88"/>
        <v>293.21772799887617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10.703179225624083</v>
      </c>
      <c r="AA119" s="23">
        <f>EXP(-LN(2)/25)*AA118+(1-EXP(-LN(2)/25))/(LN(2)/25)*Calculateur!V119*Calculateur!X119*VLOOKUP('Données projet'!$B$9,Paramètres!$A$1:$I$89,3,0)*0.475*44/12</f>
        <v>0.2768560542276664</v>
      </c>
      <c r="AB119" s="23">
        <f>EXP(-LN(2)/2)*AB118+(1-EXP(-LN(2)/2))/(LN(2)/2)*V119*Y119*VLOOKUP('Données projet'!$B$9,Paramètres!$A$1:$I$89,3,0)*0.475*44/12</f>
        <v>2.0115864752633614E-14</v>
      </c>
      <c r="AC119" s="24">
        <f t="shared" si="57"/>
        <v>10.980035279851769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69.00185003927146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3.3992364478763198E-14</v>
      </c>
      <c r="AK119" s="14">
        <f t="shared" si="89"/>
        <v>5.790027782444094E-13</v>
      </c>
      <c r="AL119" s="22">
        <f t="shared" si="58"/>
        <v>1.0676332069095257E-12</v>
      </c>
      <c r="AM119" s="62">
        <f t="shared" si="59"/>
        <v>289.67345014399643</v>
      </c>
      <c r="AN119" s="62">
        <f ca="1">AVERAGE(OFFSET($AM$3,0,0,'Données projet'!$E$10+1,1))-AVERAGE(OFFSET($H$3,0,0,'Données projet'!$E$10+1,1))</f>
        <v>210.41468975391527</v>
      </c>
      <c r="AO119" s="62">
        <f t="shared" si="90"/>
        <v>355.1268923221744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19.92064973660662</v>
      </c>
      <c r="AV119" s="23">
        <f>EXP(-LN(2)/25)*AV118+(1-EXP(-LN(2)/25))/(LN(2)/25)*Calculateur!AQ119*Calculateur!AS119*VLOOKUP('Données projet'!$B$10,Paramètres!$A$1:$I$89,3,0)*0.475*44/12</f>
        <v>0.30803727110223972</v>
      </c>
      <c r="AW119" s="23">
        <f>EXP(-LN(2)/2)*AW118+(1-EXP(-LN(2)/2))/(LN(2)/2)*AQ119*AT119*VLOOKUP('Données projet'!$B$10,Paramètres!$A$1:$I$89,3,0)*0.475*44/12</f>
        <v>1.2522817072397624E-10</v>
      </c>
      <c r="AX119" s="23">
        <f t="shared" si="60"/>
        <v>20.22868700783409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69.00185003927146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66.833935615974326</v>
      </c>
      <c r="BJ119" s="62">
        <f t="shared" si="92"/>
        <v>294.79914393693775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10.768842901854917</v>
      </c>
      <c r="BQ119" s="23">
        <f>EXP(-LN(2)/25)*BQ118+(1-EXP(-LN(2)/25))/(LN(2)/25)*Calculateur!BL119*Calculateur!BN119*VLOOKUP('Données projet'!$B$11,Paramètres!$A$1:$I$89,3,0)*0.475*44/12</f>
        <v>0.27855455762783643</v>
      </c>
      <c r="BR119" s="23">
        <f>EXP(-LN(2)/2)*BR118+(1-EXP(-LN(2)/2))/(LN(2)/2)*BL119*BO119*VLOOKUP('Données projet'!$B$11,Paramètres!$A$1:$I$89,3,0)*0.475*44/12</f>
        <v>2.0239274965839971E-14</v>
      </c>
      <c r="BS119" s="24">
        <f t="shared" si="63"/>
        <v>11.047397459482774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69.00185003927146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69.00185003927146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69.00185003927146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69.00185003927146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69.00185003927146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69.00185003927146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69.00185003927146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1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3.6666666666666665</v>
      </c>
      <c r="H120" s="70">
        <f t="shared" si="56"/>
        <v>232.46666666666667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69.019165709561094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66.513705559911728</v>
      </c>
      <c r="T120" s="62">
        <f t="shared" si="88"/>
        <v>293.21772799887617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10.493296409304307</v>
      </c>
      <c r="AA120" s="23">
        <f>EXP(-LN(2)/25)*AA119+(1-EXP(-LN(2)/25))/(LN(2)/25)*Calculateur!V120*Calculateur!X120*VLOOKUP('Données projet'!$B$9,Paramètres!$A$1:$I$89,3,0)*0.475*44/12</f>
        <v>0.26928541086558372</v>
      </c>
      <c r="AB120" s="23">
        <f>EXP(-LN(2)/2)*AB119+(1-EXP(-LN(2)/2))/(LN(2)/2)*V120*Y120*VLOOKUP('Données projet'!$B$9,Paramètres!$A$1:$I$89,3,0)*0.475*44/12</f>
        <v>1.4224064376018681E-14</v>
      </c>
      <c r="AC120" s="24">
        <f t="shared" si="57"/>
        <v>10.762581820169904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69.019165709561094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3.3992364478763198E-14</v>
      </c>
      <c r="AK120" s="14">
        <f t="shared" si="89"/>
        <v>5.790027782444094E-13</v>
      </c>
      <c r="AL120" s="22">
        <f t="shared" si="58"/>
        <v>1.0676332069095257E-12</v>
      </c>
      <c r="AM120" s="62">
        <f t="shared" si="59"/>
        <v>289.73694093505844</v>
      </c>
      <c r="AN120" s="62">
        <f ca="1">AVERAGE(OFFSET($AM$3,0,0,'Données projet'!$E$10+1,1))-AVERAGE(OFFSET($H$3,0,0,'Données projet'!$E$10+1,1))</f>
        <v>210.41468975391527</v>
      </c>
      <c r="AO120" s="62">
        <f t="shared" si="90"/>
        <v>355.1268923221744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19.530017945668352</v>
      </c>
      <c r="AV120" s="23">
        <f>EXP(-LN(2)/25)*AV119+(1-EXP(-LN(2)/25))/(LN(2)/25)*Calculateur!AQ120*Calculateur!AS120*VLOOKUP('Données projet'!$B$10,Paramètres!$A$1:$I$89,3,0)*0.475*44/12</f>
        <v>0.29961397572497289</v>
      </c>
      <c r="AW120" s="23">
        <f>EXP(-LN(2)/2)*AW119+(1-EXP(-LN(2)/2))/(LN(2)/2)*AQ120*AT120*VLOOKUP('Données projet'!$B$10,Paramètres!$A$1:$I$89,3,0)*0.475*44/12</f>
        <v>8.8549688714510285E-11</v>
      </c>
      <c r="AX120" s="23">
        <f t="shared" si="60"/>
        <v>19.829631921481877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69.019165709561094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66.833935615974326</v>
      </c>
      <c r="BJ120" s="62">
        <f t="shared" si="92"/>
        <v>294.79914393693775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10.557672460895143</v>
      </c>
      <c r="BQ120" s="23">
        <f>EXP(-LN(2)/25)*BQ119+(1-EXP(-LN(2)/25))/(LN(2)/25)*Calculateur!BL120*Calculateur!BN120*VLOOKUP('Données projet'!$B$11,Paramètres!$A$1:$I$89,3,0)*0.475*44/12</f>
        <v>0.27093746860095569</v>
      </c>
      <c r="BR120" s="23">
        <f>EXP(-LN(2)/2)*BR119+(1-EXP(-LN(2)/2))/(LN(2)/2)*BL120*BO120*VLOOKUP('Données projet'!$B$11,Paramètres!$A$1:$I$89,3,0)*0.475*44/12</f>
        <v>1.4311328574644573E-14</v>
      </c>
      <c r="BS120" s="24">
        <f t="shared" si="63"/>
        <v>10.828609929496112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69.019165709561094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69.019165709561094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69.019165709561094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69.019165709561094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69.019165709561094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69.019165709561094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69.019165709561094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1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3.6666666666666665</v>
      </c>
      <c r="H121" s="70">
        <f t="shared" si="56"/>
        <v>232.46666666666667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69.036180991683239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66.513705559911728</v>
      </c>
      <c r="T121" s="62">
        <f t="shared" si="88"/>
        <v>293.21772799887617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10.287529266996684</v>
      </c>
      <c r="AA121" s="23">
        <f>EXP(-LN(2)/25)*AA120+(1-EXP(-LN(2)/25))/(LN(2)/25)*Calculateur!V121*Calculateur!X121*VLOOKUP('Données projet'!$B$9,Paramètres!$A$1:$I$89,3,0)*0.475*44/12</f>
        <v>0.26192178714436004</v>
      </c>
      <c r="AB121" s="23">
        <f>EXP(-LN(2)/2)*AB120+(1-EXP(-LN(2)/2))/(LN(2)/2)*V121*Y121*VLOOKUP('Données projet'!$B$9,Paramètres!$A$1:$I$89,3,0)*0.475*44/12</f>
        <v>1.0057932376316807E-14</v>
      </c>
      <c r="AC121" s="24">
        <f t="shared" si="57"/>
        <v>10.549451054141054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69.036180991683239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3.3992364478763198E-14</v>
      </c>
      <c r="AK121" s="14">
        <f t="shared" si="89"/>
        <v>5.790027782444094E-13</v>
      </c>
      <c r="AL121" s="22">
        <f t="shared" si="58"/>
        <v>1.0676332069095257E-12</v>
      </c>
      <c r="AM121" s="62">
        <f t="shared" si="59"/>
        <v>289.79933030283962</v>
      </c>
      <c r="AN121" s="62">
        <f ca="1">AVERAGE(OFFSET($AM$3,0,0,'Données projet'!$E$10+1,1))-AVERAGE(OFFSET($H$3,0,0,'Données projet'!$E$10+1,1))</f>
        <v>210.41468975391527</v>
      </c>
      <c r="AO121" s="62">
        <f t="shared" si="90"/>
        <v>355.1268923221744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19.147046205888515</v>
      </c>
      <c r="AV121" s="23">
        <f>EXP(-LN(2)/25)*AV120+(1-EXP(-LN(2)/25))/(LN(2)/25)*Calculateur!AQ121*Calculateur!AS121*VLOOKUP('Données projet'!$B$10,Paramètres!$A$1:$I$89,3,0)*0.475*44/12</f>
        <v>0.29142101580275931</v>
      </c>
      <c r="AW121" s="23">
        <f>EXP(-LN(2)/2)*AW120+(1-EXP(-LN(2)/2))/(LN(2)/2)*AQ121*AT121*VLOOKUP('Données projet'!$B$10,Paramètres!$A$1:$I$89,3,0)*0.475*44/12</f>
        <v>6.2614085361988121E-11</v>
      </c>
      <c r="AX121" s="23">
        <f t="shared" si="60"/>
        <v>19.438467221753886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69.036180991683239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66.833935615974326</v>
      </c>
      <c r="BJ121" s="62">
        <f t="shared" si="92"/>
        <v>294.79914393693775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10.350642943481338</v>
      </c>
      <c r="BQ121" s="23">
        <f>EXP(-LN(2)/25)*BQ120+(1-EXP(-LN(2)/25))/(LN(2)/25)*Calculateur!BL121*Calculateur!BN121*VLOOKUP('Données projet'!$B$11,Paramètres!$A$1:$I$89,3,0)*0.475*44/12</f>
        <v>0.26352866927408031</v>
      </c>
      <c r="BR121" s="23">
        <f>EXP(-LN(2)/2)*BR120+(1-EXP(-LN(2)/2))/(LN(2)/2)*BL121*BO121*VLOOKUP('Données projet'!$B$11,Paramètres!$A$1:$I$89,3,0)*0.475*44/12</f>
        <v>1.0119637482919985E-14</v>
      </c>
      <c r="BS121" s="24">
        <f t="shared" si="63"/>
        <v>10.614171612755429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69.036180991683239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69.036180991683239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69.036180991683239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69.036180991683239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69.036180991683239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69.036180991683239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69.036180991683239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1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3.6666666666666665</v>
      </c>
      <c r="H122" s="70">
        <f t="shared" si="56"/>
        <v>232.46666666666667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69.052901096701035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66.513705559911728</v>
      </c>
      <c r="T122" s="62">
        <f t="shared" si="88"/>
        <v>293.21772799887617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10.08579709284415</v>
      </c>
      <c r="AA122" s="23">
        <f>EXP(-LN(2)/25)*AA121+(1-EXP(-LN(2)/25))/(LN(2)/25)*Calculateur!V122*Calculateur!X122*VLOOKUP('Données projet'!$B$9,Paramètres!$A$1:$I$89,3,0)*0.475*44/12</f>
        <v>0.25475952210102937</v>
      </c>
      <c r="AB122" s="23">
        <f>EXP(-LN(2)/2)*AB121+(1-EXP(-LN(2)/2))/(LN(2)/2)*V122*Y122*VLOOKUP('Données projet'!$B$9,Paramètres!$A$1:$I$89,3,0)*0.475*44/12</f>
        <v>7.1120321880093404E-15</v>
      </c>
      <c r="AC122" s="24">
        <f t="shared" si="57"/>
        <v>10.340556614945186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69.052901096701035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3.3992364478763198E-14</v>
      </c>
      <c r="AK122" s="14">
        <f t="shared" si="89"/>
        <v>5.790027782444094E-13</v>
      </c>
      <c r="AL122" s="22">
        <f t="shared" si="58"/>
        <v>1.0676332069095257E-12</v>
      </c>
      <c r="AM122" s="62">
        <f t="shared" si="59"/>
        <v>289.86063735457151</v>
      </c>
      <c r="AN122" s="62">
        <f ca="1">AVERAGE(OFFSET($AM$3,0,0,'Données projet'!$E$10+1,1))-AVERAGE(OFFSET($H$3,0,0,'Données projet'!$E$10+1,1))</f>
        <v>210.41468975391527</v>
      </c>
      <c r="AO122" s="62">
        <f t="shared" si="90"/>
        <v>355.1268923221744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18.771584308336067</v>
      </c>
      <c r="AV122" s="23">
        <f>EXP(-LN(2)/25)*AV121+(1-EXP(-LN(2)/25))/(LN(2)/25)*Calculateur!AQ122*Calculateur!AS122*VLOOKUP('Données projet'!$B$10,Paramètres!$A$1:$I$89,3,0)*0.475*44/12</f>
        <v>0.28345209280046768</v>
      </c>
      <c r="AW122" s="23">
        <f>EXP(-LN(2)/2)*AW121+(1-EXP(-LN(2)/2))/(LN(2)/2)*AQ122*AT122*VLOOKUP('Données projet'!$B$10,Paramètres!$A$1:$I$89,3,0)*0.475*44/12</f>
        <v>4.4274844357255142E-11</v>
      </c>
      <c r="AX122" s="23">
        <f t="shared" si="60"/>
        <v>19.055036401180807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69.052901096701035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66.833935615974326</v>
      </c>
      <c r="BJ122" s="62">
        <f t="shared" si="92"/>
        <v>294.79914393693775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10.147673148628481</v>
      </c>
      <c r="BQ122" s="23">
        <f>EXP(-LN(2)/25)*BQ121+(1-EXP(-LN(2)/25))/(LN(2)/25)*Calculateur!BL122*Calculateur!BN122*VLOOKUP('Données projet'!$B$11,Paramètres!$A$1:$I$89,3,0)*0.475*44/12</f>
        <v>0.25632246395441016</v>
      </c>
      <c r="BR122" s="23">
        <f>EXP(-LN(2)/2)*BR121+(1-EXP(-LN(2)/2))/(LN(2)/2)*BL122*BO122*VLOOKUP('Données projet'!$B$11,Paramètres!$A$1:$I$89,3,0)*0.475*44/12</f>
        <v>7.1556642873222866E-15</v>
      </c>
      <c r="BS122" s="24">
        <f t="shared" si="63"/>
        <v>10.403995612582898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69.052901096701035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69.052901096701035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69.052901096701035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69.052901096701035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69.052901096701035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69.052901096701035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69.052901096701035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1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3.6666666666666665</v>
      </c>
      <c r="H123" s="70">
        <f t="shared" si="56"/>
        <v>232.46666666666667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69.069331145277346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66.513705559911728</v>
      </c>
      <c r="T123" s="62">
        <f t="shared" si="88"/>
        <v>293.21772799887617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9.8880207635822703</v>
      </c>
      <c r="AA123" s="23">
        <f>EXP(-LN(2)/25)*AA122+(1-EXP(-LN(2)/25))/(LN(2)/25)*Calculateur!V123*Calculateur!X123*VLOOKUP('Données projet'!$B$9,Paramètres!$A$1:$I$89,3,0)*0.475*44/12</f>
        <v>0.24779310957195572</v>
      </c>
      <c r="AB123" s="23">
        <f>EXP(-LN(2)/2)*AB122+(1-EXP(-LN(2)/2))/(LN(2)/2)*V123*Y123*VLOOKUP('Données projet'!$B$9,Paramètres!$A$1:$I$89,3,0)*0.475*44/12</f>
        <v>5.0289661881584035E-15</v>
      </c>
      <c r="AC123" s="24">
        <f t="shared" si="57"/>
        <v>10.135813873154232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69.069331145277346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3.3992364478763198E-14</v>
      </c>
      <c r="AK123" s="14">
        <f t="shared" si="89"/>
        <v>5.790027782444094E-13</v>
      </c>
      <c r="AL123" s="22">
        <f t="shared" si="58"/>
        <v>1.0676332069095257E-12</v>
      </c>
      <c r="AM123" s="62">
        <f t="shared" si="59"/>
        <v>289.92088086601802</v>
      </c>
      <c r="AN123" s="62">
        <f ca="1">AVERAGE(OFFSET($AM$3,0,0,'Données projet'!$E$10+1,1))-AVERAGE(OFFSET($H$3,0,0,'Données projet'!$E$10+1,1))</f>
        <v>210.41468975391527</v>
      </c>
      <c r="AO123" s="62">
        <f t="shared" si="90"/>
        <v>355.1268923221744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18.403484989585476</v>
      </c>
      <c r="AV123" s="23">
        <f>EXP(-LN(2)/25)*AV122+(1-EXP(-LN(2)/25))/(LN(2)/25)*Calculateur!AQ123*Calculateur!AS123*VLOOKUP('Données projet'!$B$10,Paramètres!$A$1:$I$89,3,0)*0.475*44/12</f>
        <v>0.27570108041674118</v>
      </c>
      <c r="AW123" s="23">
        <f>EXP(-LN(2)/2)*AW122+(1-EXP(-LN(2)/2))/(LN(2)/2)*AQ123*AT123*VLOOKUP('Données projet'!$B$10,Paramètres!$A$1:$I$89,3,0)*0.475*44/12</f>
        <v>3.130704268099406E-11</v>
      </c>
      <c r="AX123" s="23">
        <f t="shared" si="60"/>
        <v>18.679186070033523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69.069331145277346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66.833935615974326</v>
      </c>
      <c r="BJ123" s="62">
        <f t="shared" si="92"/>
        <v>294.79914393693775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9.9486834676533373</v>
      </c>
      <c r="BQ123" s="23">
        <f>EXP(-LN(2)/25)*BQ122+(1-EXP(-LN(2)/25))/(LN(2)/25)*Calculateur!BL123*Calculateur!BN123*VLOOKUP('Données projet'!$B$11,Paramètres!$A$1:$I$89,3,0)*0.475*44/12</f>
        <v>0.24931331269816426</v>
      </c>
      <c r="BR123" s="23">
        <f>EXP(-LN(2)/2)*BR122+(1-EXP(-LN(2)/2))/(LN(2)/2)*BL123*BO123*VLOOKUP('Données projet'!$B$11,Paramètres!$A$1:$I$89,3,0)*0.475*44/12</f>
        <v>5.0598187414599927E-15</v>
      </c>
      <c r="BS123" s="24">
        <f t="shared" si="63"/>
        <v>10.197996780351508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69.069331145277346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69.069331145277346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69.069331145277346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69.069331145277346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69.069331145277346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69.069331145277346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69.069331145277346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1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3.6666666666666665</v>
      </c>
      <c r="H124" s="70">
        <f t="shared" si="56"/>
        <v>232.46666666666667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69.085476169242924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66.513705559911728</v>
      </c>
      <c r="T124" s="62">
        <f t="shared" si="88"/>
        <v>293.21772799887617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9.6941227075055671</v>
      </c>
      <c r="AA124" s="23">
        <f>EXP(-LN(2)/25)*AA123+(1-EXP(-LN(2)/25))/(LN(2)/25)*Calculateur!V124*Calculateur!X124*VLOOKUP('Données projet'!$B$9,Paramètres!$A$1:$I$89,3,0)*0.475*44/12</f>
        <v>0.24101719395983728</v>
      </c>
      <c r="AB124" s="23">
        <f>EXP(-LN(2)/2)*AB123+(1-EXP(-LN(2)/2))/(LN(2)/2)*V124*Y124*VLOOKUP('Données projet'!$B$9,Paramètres!$A$1:$I$89,3,0)*0.475*44/12</f>
        <v>3.5560160940046702E-15</v>
      </c>
      <c r="AC124" s="24">
        <f t="shared" si="57"/>
        <v>9.9351399014654085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69.085476169242924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3.3992364478763198E-14</v>
      </c>
      <c r="AK124" s="14">
        <f t="shared" si="89"/>
        <v>5.790027782444094E-13</v>
      </c>
      <c r="AL124" s="22">
        <f t="shared" si="58"/>
        <v>1.0676332069095257E-12</v>
      </c>
      <c r="AM124" s="62">
        <f t="shared" si="59"/>
        <v>289.98007928722512</v>
      </c>
      <c r="AN124" s="62">
        <f ca="1">AVERAGE(OFFSET($AM$3,0,0,'Données projet'!$E$10+1,1))-AVERAGE(OFFSET($H$3,0,0,'Données projet'!$E$10+1,1))</f>
        <v>210.41468975391527</v>
      </c>
      <c r="AO124" s="62">
        <f t="shared" si="90"/>
        <v>355.1268923221744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18.042603873957169</v>
      </c>
      <c r="AV124" s="23">
        <f>EXP(-LN(2)/25)*AV123+(1-EXP(-LN(2)/25))/(LN(2)/25)*Calculateur!AQ124*Calculateur!AS124*VLOOKUP('Données projet'!$B$10,Paramètres!$A$1:$I$89,3,0)*0.475*44/12</f>
        <v>0.2681620198742557</v>
      </c>
      <c r="AW124" s="23">
        <f>EXP(-LN(2)/2)*AW123+(1-EXP(-LN(2)/2))/(LN(2)/2)*AQ124*AT124*VLOOKUP('Données projet'!$B$10,Paramètres!$A$1:$I$89,3,0)*0.475*44/12</f>
        <v>2.2137422178627571E-11</v>
      </c>
      <c r="AX124" s="23">
        <f t="shared" si="60"/>
        <v>18.310765893853564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69.085476169242924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66.833935615974326</v>
      </c>
      <c r="BJ124" s="62">
        <f t="shared" si="92"/>
        <v>294.79914393693775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9.7535958529503954</v>
      </c>
      <c r="BQ124" s="23">
        <f>EXP(-LN(2)/25)*BQ123+(1-EXP(-LN(2)/25))/(LN(2)/25)*Calculateur!BL124*Calculateur!BN124*VLOOKUP('Données projet'!$B$11,Paramètres!$A$1:$I$89,3,0)*0.475*44/12</f>
        <v>0.24249582705161565</v>
      </c>
      <c r="BR124" s="23">
        <f>EXP(-LN(2)/2)*BR123+(1-EXP(-LN(2)/2))/(LN(2)/2)*BL124*BO124*VLOOKUP('Données projet'!$B$11,Paramètres!$A$1:$I$89,3,0)*0.475*44/12</f>
        <v>3.5778321436611433E-15</v>
      </c>
      <c r="BS124" s="24">
        <f t="shared" si="63"/>
        <v>9.9960916800020154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69.085476169242924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69.085476169242924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69.085476169242924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69.085476169242924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69.085476169242924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69.085476169242924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69.085476169242924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1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3.6666666666666665</v>
      </c>
      <c r="H125" s="70">
        <f t="shared" si="56"/>
        <v>232.46666666666667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69.101341113137579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66.513705559911728</v>
      </c>
      <c r="T125" s="62">
        <f t="shared" si="88"/>
        <v>293.21772799887617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9.5040268740423901</v>
      </c>
      <c r="AA125" s="23">
        <f>EXP(-LN(2)/25)*AA124+(1-EXP(-LN(2)/25))/(LN(2)/25)*Calculateur!V125*Calculateur!X125*VLOOKUP('Données projet'!$B$9,Paramètres!$A$1:$I$89,3,0)*0.475*44/12</f>
        <v>0.23442656611646215</v>
      </c>
      <c r="AB125" s="23">
        <f>EXP(-LN(2)/2)*AB124+(1-EXP(-LN(2)/2))/(LN(2)/2)*V125*Y125*VLOOKUP('Données projet'!$B$9,Paramètres!$A$1:$I$89,3,0)*0.475*44/12</f>
        <v>2.5144830940792017E-15</v>
      </c>
      <c r="AC125" s="24">
        <f t="shared" si="57"/>
        <v>9.7384534401588532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69.101341113137579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3.3992364478763198E-14</v>
      </c>
      <c r="AK125" s="14">
        <f t="shared" si="89"/>
        <v>5.790027782444094E-13</v>
      </c>
      <c r="AL125" s="22">
        <f t="shared" si="58"/>
        <v>1.0676332069095257E-12</v>
      </c>
      <c r="AM125" s="62">
        <f t="shared" si="59"/>
        <v>290.03825074817223</v>
      </c>
      <c r="AN125" s="62">
        <f ca="1">AVERAGE(OFFSET($AM$3,0,0,'Données projet'!$E$10+1,1))-AVERAGE(OFFSET($H$3,0,0,'Données projet'!$E$10+1,1))</f>
        <v>210.41468975391527</v>
      </c>
      <c r="AO125" s="62">
        <f t="shared" si="90"/>
        <v>355.1268923221744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17.688799416890589</v>
      </c>
      <c r="AV125" s="23">
        <f>EXP(-LN(2)/25)*AV124+(1-EXP(-LN(2)/25))/(LN(2)/25)*Calculateur!AQ125*Calculateur!AS125*VLOOKUP('Données projet'!$B$10,Paramètres!$A$1:$I$89,3,0)*0.475*44/12</f>
        <v>0.26082911533876646</v>
      </c>
      <c r="AW125" s="23">
        <f>EXP(-LN(2)/2)*AW124+(1-EXP(-LN(2)/2))/(LN(2)/2)*AQ125*AT125*VLOOKUP('Données projet'!$B$10,Paramètres!$A$1:$I$89,3,0)*0.475*44/12</f>
        <v>1.565352134049703E-11</v>
      </c>
      <c r="AX125" s="23">
        <f t="shared" si="60"/>
        <v>17.949628532245008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69.101341113137579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66.833935615974326</v>
      </c>
      <c r="BJ125" s="62">
        <f t="shared" si="92"/>
        <v>294.79914393693775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9.5623337873800835</v>
      </c>
      <c r="BQ125" s="23">
        <f>EXP(-LN(2)/25)*BQ124+(1-EXP(-LN(2)/25))/(LN(2)/25)*Calculateur!BL125*Calculateur!BN125*VLOOKUP('Données projet'!$B$11,Paramètres!$A$1:$I$89,3,0)*0.475*44/12</f>
        <v>0.2358647659085879</v>
      </c>
      <c r="BR125" s="23">
        <f>EXP(-LN(2)/2)*BR124+(1-EXP(-LN(2)/2))/(LN(2)/2)*BL125*BO125*VLOOKUP('Données projet'!$B$11,Paramètres!$A$1:$I$89,3,0)*0.475*44/12</f>
        <v>2.5299093707299963E-15</v>
      </c>
      <c r="BS125" s="24">
        <f t="shared" si="63"/>
        <v>9.7981985532886728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69.101341113137579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69.101341113137579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69.101341113137579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69.101341113137579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69.101341113137579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69.101341113137579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69.101341113137579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1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3.6666666666666665</v>
      </c>
      <c r="H126" s="70">
        <f t="shared" si="56"/>
        <v>232.46666666666667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69.116930835724347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66.513705559911728</v>
      </c>
      <c r="T126" s="62">
        <f t="shared" si="88"/>
        <v>293.21772799887617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9.3176587039264174</v>
      </c>
      <c r="AA126" s="23">
        <f>EXP(-LN(2)/25)*AA125+(1-EXP(-LN(2)/25))/(LN(2)/25)*Calculateur!V126*Calculateur!X126*VLOOKUP('Données projet'!$B$9,Paramètres!$A$1:$I$89,3,0)*0.475*44/12</f>
        <v>0.22801615933805017</v>
      </c>
      <c r="AB126" s="23">
        <f>EXP(-LN(2)/2)*AB125+(1-EXP(-LN(2)/2))/(LN(2)/2)*V126*Y126*VLOOKUP('Données projet'!$B$9,Paramètres!$A$1:$I$89,3,0)*0.475*44/12</f>
        <v>1.7780080470023351E-15</v>
      </c>
      <c r="AC126" s="24">
        <f t="shared" si="57"/>
        <v>9.5456748632644697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69.116930835724347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3.3992364478763198E-14</v>
      </c>
      <c r="AK126" s="14">
        <f t="shared" si="89"/>
        <v>5.790027782444094E-13</v>
      </c>
      <c r="AL126" s="22">
        <f t="shared" si="58"/>
        <v>1.0676332069095257E-12</v>
      </c>
      <c r="AM126" s="62">
        <f t="shared" si="59"/>
        <v>290.09541306432368</v>
      </c>
      <c r="AN126" s="62">
        <f ca="1">AVERAGE(OFFSET($AM$3,0,0,'Données projet'!$E$10+1,1))-AVERAGE(OFFSET($H$3,0,0,'Données projet'!$E$10+1,1))</f>
        <v>210.41468975391527</v>
      </c>
      <c r="AO126" s="62">
        <f t="shared" si="90"/>
        <v>355.1268923221744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17.341932849427675</v>
      </c>
      <c r="AV126" s="23">
        <f>EXP(-LN(2)/25)*AV125+(1-EXP(-LN(2)/25))/(LN(2)/25)*Calculateur!AQ126*Calculateur!AS126*VLOOKUP('Données projet'!$B$10,Paramètres!$A$1:$I$89,3,0)*0.475*44/12</f>
        <v>0.25369672946342087</v>
      </c>
      <c r="AW126" s="23">
        <f>EXP(-LN(2)/2)*AW125+(1-EXP(-LN(2)/2))/(LN(2)/2)*AQ126*AT126*VLOOKUP('Données projet'!$B$10,Paramètres!$A$1:$I$89,3,0)*0.475*44/12</f>
        <v>1.1068711089313786E-11</v>
      </c>
      <c r="AX126" s="23">
        <f t="shared" si="60"/>
        <v>17.595629578902166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69.116930835724347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66.833935615974326</v>
      </c>
      <c r="BJ126" s="62">
        <f t="shared" si="92"/>
        <v>294.79914393693775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9.3748222542572641</v>
      </c>
      <c r="BQ126" s="23">
        <f>EXP(-LN(2)/25)*BQ125+(1-EXP(-LN(2)/25))/(LN(2)/25)*Calculateur!BL126*Calculateur!BN126*VLOOKUP('Données projet'!$B$11,Paramètres!$A$1:$I$89,3,0)*0.475*44/12</f>
        <v>0.2294150314812286</v>
      </c>
      <c r="BR126" s="23">
        <f>EXP(-LN(2)/2)*BR125+(1-EXP(-LN(2)/2))/(LN(2)/2)*BL126*BO126*VLOOKUP('Données projet'!$B$11,Paramètres!$A$1:$I$89,3,0)*0.475*44/12</f>
        <v>1.7889160718305717E-15</v>
      </c>
      <c r="BS126" s="24">
        <f t="shared" si="63"/>
        <v>9.6042372857384937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69.116930835724347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69.116930835724347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69.116930835724347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69.116930835724347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69.116930835724347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69.116930835724347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69.116930835724347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1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3.6666666666666665</v>
      </c>
      <c r="H127" s="70">
        <f t="shared" si="56"/>
        <v>232.46666666666667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69.132250111477646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66.513705559911728</v>
      </c>
      <c r="T127" s="62">
        <f t="shared" si="88"/>
        <v>293.21772799887617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9.1349450999530593</v>
      </c>
      <c r="AA127" s="23">
        <f>EXP(-LN(2)/25)*AA126+(1-EXP(-LN(2)/25))/(LN(2)/25)*Calculateur!V127*Calculateur!X127*VLOOKUP('Données projet'!$B$9,Paramètres!$A$1:$I$89,3,0)*0.475*44/12</f>
        <v>0.22178104547010249</v>
      </c>
      <c r="AB127" s="23">
        <f>EXP(-LN(2)/2)*AB126+(1-EXP(-LN(2)/2))/(LN(2)/2)*V127*Y127*VLOOKUP('Données projet'!$B$9,Paramètres!$A$1:$I$89,3,0)*0.475*44/12</f>
        <v>1.2572415470396009E-15</v>
      </c>
      <c r="AC127" s="24">
        <f t="shared" si="57"/>
        <v>9.3567261454231634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69.132250111477646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3.3992364478763198E-14</v>
      </c>
      <c r="AK127" s="14">
        <f t="shared" si="89"/>
        <v>5.790027782444094E-13</v>
      </c>
      <c r="AL127" s="22">
        <f t="shared" si="58"/>
        <v>1.0676332069095257E-12</v>
      </c>
      <c r="AM127" s="62">
        <f t="shared" si="59"/>
        <v>290.15158374208579</v>
      </c>
      <c r="AN127" s="62">
        <f ca="1">AVERAGE(OFFSET($AM$3,0,0,'Données projet'!$E$10+1,1))-AVERAGE(OFFSET($H$3,0,0,'Données projet'!$E$10+1,1))</f>
        <v>210.41468975391527</v>
      </c>
      <c r="AO127" s="62">
        <f t="shared" si="90"/>
        <v>355.1268923221744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17.001868123784991</v>
      </c>
      <c r="AV127" s="23">
        <f>EXP(-LN(2)/25)*AV126+(1-EXP(-LN(2)/25))/(LN(2)/25)*Calculateur!AQ127*Calculateur!AS127*VLOOKUP('Données projet'!$B$10,Paramètres!$A$1:$I$89,3,0)*0.475*44/12</f>
        <v>0.24675937905491246</v>
      </c>
      <c r="AW127" s="23">
        <f>EXP(-LN(2)/2)*AW126+(1-EXP(-LN(2)/2))/(LN(2)/2)*AQ127*AT127*VLOOKUP('Données projet'!$B$10,Paramètres!$A$1:$I$89,3,0)*0.475*44/12</f>
        <v>7.8267606702485151E-12</v>
      </c>
      <c r="AX127" s="23">
        <f t="shared" si="60"/>
        <v>17.248627502847729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69.132250111477646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66.833935615974326</v>
      </c>
      <c r="BJ127" s="62">
        <f t="shared" si="92"/>
        <v>294.79914393693775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9.1909877079282403</v>
      </c>
      <c r="BQ127" s="23">
        <f>EXP(-LN(2)/25)*BQ126+(1-EXP(-LN(2)/25))/(LN(2)/25)*Calculateur!BL127*Calculateur!BN127*VLOOKUP('Données projet'!$B$11,Paramètres!$A$1:$I$89,3,0)*0.475*44/12</f>
        <v>0.22314166538096225</v>
      </c>
      <c r="BR127" s="23">
        <f>EXP(-LN(2)/2)*BR126+(1-EXP(-LN(2)/2))/(LN(2)/2)*BL127*BO127*VLOOKUP('Données projet'!$B$11,Paramètres!$A$1:$I$89,3,0)*0.475*44/12</f>
        <v>1.2649546853649982E-15</v>
      </c>
      <c r="BS127" s="24">
        <f t="shared" si="63"/>
        <v>9.4141293733092049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69.132250111477646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69.132250111477646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69.132250111477646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69.132250111477646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69.132250111477646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69.132250111477646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69.132250111477646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1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3.6666666666666665</v>
      </c>
      <c r="H128" s="70">
        <f t="shared" si="56"/>
        <v>232.46666666666667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69.147303632045393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66.513705559911728</v>
      </c>
      <c r="T128" s="62">
        <f t="shared" si="88"/>
        <v>293.21772799887617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8.9558143983093252</v>
      </c>
      <c r="AA128" s="23">
        <f>EXP(-LN(2)/25)*AA127+(1-EXP(-LN(2)/25))/(LN(2)/25)*Calculateur!V128*Calculateur!X128*VLOOKUP('Données projet'!$B$9,Paramètres!$A$1:$I$89,3,0)*0.475*44/12</f>
        <v>0.21571643111876423</v>
      </c>
      <c r="AB128" s="23">
        <f>EXP(-LN(2)/2)*AB127+(1-EXP(-LN(2)/2))/(LN(2)/2)*V128*Y128*VLOOKUP('Données projet'!$B$9,Paramètres!$A$1:$I$89,3,0)*0.475*44/12</f>
        <v>8.8900402350116755E-16</v>
      </c>
      <c r="AC128" s="24">
        <f t="shared" si="57"/>
        <v>9.1715308294280913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69.147303632045393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3.3992364478763198E-14</v>
      </c>
      <c r="AK128" s="14">
        <f t="shared" si="89"/>
        <v>5.790027782444094E-13</v>
      </c>
      <c r="AL128" s="22">
        <f t="shared" si="58"/>
        <v>1.0676332069095257E-12</v>
      </c>
      <c r="AM128" s="62">
        <f t="shared" si="59"/>
        <v>290.2067799841675</v>
      </c>
      <c r="AN128" s="62">
        <f ca="1">AVERAGE(OFFSET($AM$3,0,0,'Données projet'!$E$10+1,1))-AVERAGE(OFFSET($H$3,0,0,'Données projet'!$E$10+1,1))</f>
        <v>210.41468975391527</v>
      </c>
      <c r="AO128" s="62">
        <f t="shared" si="90"/>
        <v>355.1268923221744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16.668471859993158</v>
      </c>
      <c r="AV128" s="23">
        <f>EXP(-LN(2)/25)*AV127+(1-EXP(-LN(2)/25))/(LN(2)/25)*Calculateur!AQ128*Calculateur!AS128*VLOOKUP('Données projet'!$B$10,Paramètres!$A$1:$I$89,3,0)*0.475*44/12</f>
        <v>0.24001173085814412</v>
      </c>
      <c r="AW128" s="23">
        <f>EXP(-LN(2)/2)*AW127+(1-EXP(-LN(2)/2))/(LN(2)/2)*AQ128*AT128*VLOOKUP('Données projet'!$B$10,Paramètres!$A$1:$I$89,3,0)*0.475*44/12</f>
        <v>5.5343555446568928E-12</v>
      </c>
      <c r="AX128" s="23">
        <f t="shared" si="60"/>
        <v>16.908483590856836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69.147303632045393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66.833935615974326</v>
      </c>
      <c r="BJ128" s="62">
        <f t="shared" si="92"/>
        <v>294.79914393693775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9.010758044924728</v>
      </c>
      <c r="BQ128" s="23">
        <f>EXP(-LN(2)/25)*BQ127+(1-EXP(-LN(2)/25))/(LN(2)/25)*Calculateur!BL128*Calculateur!BN128*VLOOKUP('Données projet'!$B$11,Paramètres!$A$1:$I$89,3,0)*0.475*44/12</f>
        <v>0.21703984480660965</v>
      </c>
      <c r="BR128" s="23">
        <f>EXP(-LN(2)/2)*BR127+(1-EXP(-LN(2)/2))/(LN(2)/2)*BL128*BO128*VLOOKUP('Données projet'!$B$11,Paramètres!$A$1:$I$89,3,0)*0.475*44/12</f>
        <v>8.9445803591528583E-16</v>
      </c>
      <c r="BS128" s="24">
        <f t="shared" si="63"/>
        <v>9.22779788973134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69.147303632045393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69.147303632045393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69.147303632045393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69.147303632045393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69.147303632045393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69.147303632045393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69.147303632045393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1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3.6666666666666665</v>
      </c>
      <c r="H129" s="70">
        <f t="shared" si="56"/>
        <v>232.46666666666667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69.162096007685918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66.513705559911728</v>
      </c>
      <c r="T129" s="62">
        <f t="shared" si="88"/>
        <v>293.21772799887617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8.7801963404658849</v>
      </c>
      <c r="AA129" s="23">
        <f>EXP(-LN(2)/25)*AA128+(1-EXP(-LN(2)/25))/(LN(2)/25)*Calculateur!V129*Calculateur!X129*VLOOKUP('Données projet'!$B$9,Paramètres!$A$1:$I$89,3,0)*0.475*44/12</f>
        <v>0.20981765396578755</v>
      </c>
      <c r="AB129" s="23">
        <f>EXP(-LN(2)/2)*AB128+(1-EXP(-LN(2)/2))/(LN(2)/2)*V129*Y129*VLOOKUP('Données projet'!$B$9,Paramètres!$A$1:$I$89,3,0)*0.475*44/12</f>
        <v>6.2862077351980043E-16</v>
      </c>
      <c r="AC129" s="24">
        <f t="shared" si="57"/>
        <v>8.9900139944316724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69.162096007685918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3.3992364478763198E-14</v>
      </c>
      <c r="AK129" s="14">
        <f t="shared" si="89"/>
        <v>5.790027782444094E-13</v>
      </c>
      <c r="AL129" s="22">
        <f t="shared" si="58"/>
        <v>1.0676332069095257E-12</v>
      </c>
      <c r="AM129" s="62">
        <f t="shared" si="59"/>
        <v>290.26101869484944</v>
      </c>
      <c r="AN129" s="62">
        <f ca="1">AVERAGE(OFFSET($AM$3,0,0,'Données projet'!$E$10+1,1))-AVERAGE(OFFSET($H$3,0,0,'Données projet'!$E$10+1,1))</f>
        <v>210.41468975391527</v>
      </c>
      <c r="AO129" s="62">
        <f t="shared" si="90"/>
        <v>355.1268923221744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16.341613293582643</v>
      </c>
      <c r="AV129" s="23">
        <f>EXP(-LN(2)/25)*AV128+(1-EXP(-LN(2)/25))/(LN(2)/25)*Calculateur!AQ129*Calculateur!AS129*VLOOKUP('Données projet'!$B$10,Paramètres!$A$1:$I$89,3,0)*0.475*44/12</f>
        <v>0.23344859745615978</v>
      </c>
      <c r="AW129" s="23">
        <f>EXP(-LN(2)/2)*AW128+(1-EXP(-LN(2)/2))/(LN(2)/2)*AQ129*AT129*VLOOKUP('Données projet'!$B$10,Paramètres!$A$1:$I$89,3,0)*0.475*44/12</f>
        <v>3.9133803351242575E-12</v>
      </c>
      <c r="AX129" s="23">
        <f t="shared" si="60"/>
        <v>16.575061891042719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69.162096007685918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66.833935615974326</v>
      </c>
      <c r="BJ129" s="62">
        <f t="shared" si="92"/>
        <v>294.79914393693775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8.8340625756834754</v>
      </c>
      <c r="BQ129" s="23">
        <f>EXP(-LN(2)/25)*BQ128+(1-EXP(-LN(2)/25))/(LN(2)/25)*Calculateur!BL129*Calculateur!BN129*VLOOKUP('Données projet'!$B$11,Paramètres!$A$1:$I$89,3,0)*0.475*44/12</f>
        <v>0.21110487883674353</v>
      </c>
      <c r="BR129" s="23">
        <f>EXP(-LN(2)/2)*BR128+(1-EXP(-LN(2)/2))/(LN(2)/2)*BL129*BO129*VLOOKUP('Données projet'!$B$11,Paramètres!$A$1:$I$89,3,0)*0.475*44/12</f>
        <v>6.3247734268249909E-16</v>
      </c>
      <c r="BS129" s="24">
        <f t="shared" si="63"/>
        <v>9.0451674545202181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69.162096007685918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69.162096007685918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69.162096007685918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69.162096007685918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69.162096007685918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69.162096007685918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69.162096007685918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1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3.6666666666666665</v>
      </c>
      <c r="H130" s="70">
        <f t="shared" si="56"/>
        <v>232.46666666666667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69.176631768679869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66.513705559911728</v>
      </c>
      <c r="T130" s="62">
        <f t="shared" si="88"/>
        <v>293.21772799887617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8.6080220456203165</v>
      </c>
      <c r="AA130" s="23">
        <f>EXP(-LN(2)/25)*AA129+(1-EXP(-LN(2)/25))/(LN(2)/25)*Calculateur!V130*Calculateur!X130*VLOOKUP('Données projet'!$B$9,Paramètres!$A$1:$I$89,3,0)*0.475*44/12</f>
        <v>0.20408017918426222</v>
      </c>
      <c r="AB130" s="23">
        <f>EXP(-LN(2)/2)*AB129+(1-EXP(-LN(2)/2))/(LN(2)/2)*V130*Y130*VLOOKUP('Données projet'!$B$9,Paramètres!$A$1:$I$89,3,0)*0.475*44/12</f>
        <v>4.4450201175058377E-16</v>
      </c>
      <c r="AC130" s="24">
        <f t="shared" si="57"/>
        <v>8.8121022248045779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69.176631768679869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3.3992364478763198E-14</v>
      </c>
      <c r="AK130" s="14">
        <f t="shared" si="89"/>
        <v>5.790027782444094E-13</v>
      </c>
      <c r="AL130" s="22">
        <f t="shared" si="58"/>
        <v>1.0676332069095257E-12</v>
      </c>
      <c r="AM130" s="62">
        <f t="shared" si="59"/>
        <v>290.31431648516059</v>
      </c>
      <c r="AN130" s="62">
        <f ca="1">AVERAGE(OFFSET($AM$3,0,0,'Données projet'!$E$10+1,1))-AVERAGE(OFFSET($H$3,0,0,'Données projet'!$E$10+1,1))</f>
        <v>210.41468975391527</v>
      </c>
      <c r="AO130" s="62">
        <f t="shared" si="90"/>
        <v>355.1268923221744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16.021164224295397</v>
      </c>
      <c r="AV130" s="23">
        <f>EXP(-LN(2)/25)*AV129+(1-EXP(-LN(2)/25))/(LN(2)/25)*Calculateur!AQ130*Calculateur!AS130*VLOOKUP('Données projet'!$B$10,Paramètres!$A$1:$I$89,3,0)*0.475*44/12</f>
        <v>0.2270649332821929</v>
      </c>
      <c r="AW130" s="23">
        <f>EXP(-LN(2)/2)*AW129+(1-EXP(-LN(2)/2))/(LN(2)/2)*AQ130*AT130*VLOOKUP('Données projet'!$B$10,Paramètres!$A$1:$I$89,3,0)*0.475*44/12</f>
        <v>2.7671777723284464E-12</v>
      </c>
      <c r="AX130" s="23">
        <f t="shared" si="60"/>
        <v>16.248229157580358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69.176631768679869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66.833935615974326</v>
      </c>
      <c r="BJ130" s="62">
        <f t="shared" si="92"/>
        <v>294.79914393693775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8.6608319968204484</v>
      </c>
      <c r="BQ130" s="23">
        <f>EXP(-LN(2)/25)*BQ129+(1-EXP(-LN(2)/25))/(LN(2)/25)*Calculateur!BL130*Calculateur!BN130*VLOOKUP('Données projet'!$B$11,Paramètres!$A$1:$I$89,3,0)*0.475*44/12</f>
        <v>0.20533220482342968</v>
      </c>
      <c r="BR130" s="23">
        <f>EXP(-LN(2)/2)*BR129+(1-EXP(-LN(2)/2))/(LN(2)/2)*BL130*BO130*VLOOKUP('Données projet'!$B$11,Paramètres!$A$1:$I$89,3,0)*0.475*44/12</f>
        <v>4.4722901795764291E-16</v>
      </c>
      <c r="BS130" s="24">
        <f t="shared" si="63"/>
        <v>8.866164201643878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69.176631768679869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69.176631768679869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69.176631768679869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69.176631768679869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69.176631768679869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69.176631768679869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69.176631768679869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1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3.6666666666666665</v>
      </c>
      <c r="H131" s="70">
        <f t="shared" si="56"/>
        <v>232.46666666666667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69.190915366717675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66.513705559911728</v>
      </c>
      <c r="T131" s="62">
        <f t="shared" si="88"/>
        <v>293.21772799887617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8.4392239836807192</v>
      </c>
      <c r="AA131" s="23">
        <f>EXP(-LN(2)/25)*AA130+(1-EXP(-LN(2)/25))/(LN(2)/25)*Calculateur!V131*Calculateur!X131*VLOOKUP('Données projet'!$B$9,Paramètres!$A$1:$I$89,3,0)*0.475*44/12</f>
        <v>0.19849959595235839</v>
      </c>
      <c r="AB131" s="23">
        <f>EXP(-LN(2)/2)*AB130+(1-EXP(-LN(2)/2))/(LN(2)/2)*V131*Y131*VLOOKUP('Données projet'!$B$9,Paramètres!$A$1:$I$89,3,0)*0.475*44/12</f>
        <v>3.1431038675990022E-16</v>
      </c>
      <c r="AC131" s="24">
        <f t="shared" si="57"/>
        <v>8.6377235796330769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69.190915366717675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3.3992364478763198E-14</v>
      </c>
      <c r="AK131" s="14">
        <f t="shared" si="89"/>
        <v>5.790027782444094E-13</v>
      </c>
      <c r="AL131" s="22">
        <f t="shared" si="58"/>
        <v>1.0676332069095257E-12</v>
      </c>
      <c r="AM131" s="62">
        <f t="shared" si="59"/>
        <v>290.36668967796589</v>
      </c>
      <c r="AN131" s="62">
        <f ca="1">AVERAGE(OFFSET($AM$3,0,0,'Données projet'!$E$10+1,1))-AVERAGE(OFFSET($H$3,0,0,'Données projet'!$E$10+1,1))</f>
        <v>210.41468975391527</v>
      </c>
      <c r="AO131" s="62">
        <f t="shared" si="90"/>
        <v>355.1268923221744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15.706998965802242</v>
      </c>
      <c r="AV131" s="23">
        <f>EXP(-LN(2)/25)*AV130+(1-EXP(-LN(2)/25))/(LN(2)/25)*Calculateur!AQ131*Calculateur!AS131*VLOOKUP('Données projet'!$B$10,Paramètres!$A$1:$I$89,3,0)*0.475*44/12</f>
        <v>0.22085583074076545</v>
      </c>
      <c r="AW131" s="23">
        <f>EXP(-LN(2)/2)*AW130+(1-EXP(-LN(2)/2))/(LN(2)/2)*AQ131*AT131*VLOOKUP('Données projet'!$B$10,Paramètres!$A$1:$I$89,3,0)*0.475*44/12</f>
        <v>1.9566901675621288E-12</v>
      </c>
      <c r="AX131" s="23">
        <f t="shared" si="60"/>
        <v>15.927854796544965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69.190915366717675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66.833935615974326</v>
      </c>
      <c r="BJ131" s="62">
        <f t="shared" si="92"/>
        <v>294.79914393693775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8.4909983639487052</v>
      </c>
      <c r="BQ131" s="23">
        <f>EXP(-LN(2)/25)*BQ130+(1-EXP(-LN(2)/25))/(LN(2)/25)*Calculateur!BL131*Calculateur!BN131*VLOOKUP('Données projet'!$B$11,Paramètres!$A$1:$I$89,3,0)*0.475*44/12</f>
        <v>0.19971738488458163</v>
      </c>
      <c r="BR131" s="23">
        <f>EXP(-LN(2)/2)*BR130+(1-EXP(-LN(2)/2))/(LN(2)/2)*BL131*BO131*VLOOKUP('Données projet'!$B$11,Paramètres!$A$1:$I$89,3,0)*0.475*44/12</f>
        <v>3.1623867134124954E-16</v>
      </c>
      <c r="BS131" s="24">
        <f t="shared" si="63"/>
        <v>8.690715748833286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69.190915366717675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69.190915366717675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69.190915366717675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69.190915366717675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69.190915366717675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69.190915366717675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69.190915366717675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1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3.6666666666666665</v>
      </c>
      <c r="H132" s="70">
        <f t="shared" ref="H132:H195" si="110">(B132+E132+F132)*44/12+(C132+D132)*0.475*44/12</f>
        <v>232.46666666666667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69.204951176262867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66.513705559911728</v>
      </c>
      <c r="T132" s="62">
        <f t="shared" si="88"/>
        <v>293.21772799887617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8.2737359487791053</v>
      </c>
      <c r="AA132" s="23">
        <f>EXP(-LN(2)/25)*AA131+(1-EXP(-LN(2)/25))/(LN(2)/25)*Calculateur!V132*Calculateur!X132*VLOOKUP('Données projet'!$B$9,Paramètres!$A$1:$I$89,3,0)*0.475*44/12</f>
        <v>0.19307161406240109</v>
      </c>
      <c r="AB132" s="23">
        <f>EXP(-LN(2)/2)*AB131+(1-EXP(-LN(2)/2))/(LN(2)/2)*V132*Y132*VLOOKUP('Données projet'!$B$9,Paramètres!$A$1:$I$89,3,0)*0.475*44/12</f>
        <v>2.2225100587529189E-16</v>
      </c>
      <c r="AC132" s="24">
        <f t="shared" ref="AC132:AC153" si="111">SUM(Z132:AB132)</f>
        <v>8.466807562841506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69.204951176262867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3.3992364478763198E-14</v>
      </c>
      <c r="AK132" s="14">
        <f t="shared" si="89"/>
        <v>5.790027782444094E-13</v>
      </c>
      <c r="AL132" s="22">
        <f t="shared" ref="AL132:AL153" si="112">(AJ132+AK132)*0.475*44/12</f>
        <v>1.0676332069095257E-12</v>
      </c>
      <c r="AM132" s="62">
        <f t="shared" ref="AM132:AM195" si="113">AL132+(AD132+AE132)*44/12</f>
        <v>290.41815431296493</v>
      </c>
      <c r="AN132" s="62">
        <f ca="1">AVERAGE(OFFSET($AM$3,0,0,'Données projet'!$E$10+1,1))-AVERAGE(OFFSET($H$3,0,0,'Données projet'!$E$10+1,1))</f>
        <v>210.41468975391527</v>
      </c>
      <c r="AO132" s="62">
        <f t="shared" si="90"/>
        <v>355.1268923221744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15.398994296406251</v>
      </c>
      <c r="AV132" s="23">
        <f>EXP(-LN(2)/25)*AV131+(1-EXP(-LN(2)/25))/(LN(2)/25)*Calculateur!AQ132*Calculateur!AS132*VLOOKUP('Données projet'!$B$10,Paramètres!$A$1:$I$89,3,0)*0.475*44/12</f>
        <v>0.21481651643485586</v>
      </c>
      <c r="AW132" s="23">
        <f>EXP(-LN(2)/2)*AW131+(1-EXP(-LN(2)/2))/(LN(2)/2)*AQ132*AT132*VLOOKUP('Données projet'!$B$10,Paramètres!$A$1:$I$89,3,0)*0.475*44/12</f>
        <v>1.3835888861642232E-12</v>
      </c>
      <c r="AX132" s="23">
        <f t="shared" ref="AX132:AX153" si="114">SUM(AU132:AW132)</f>
        <v>15.613810812842491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69.204951176262867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66.833935615974326</v>
      </c>
      <c r="BJ132" s="62">
        <f t="shared" si="92"/>
        <v>294.79914393693775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8.3244950650292893</v>
      </c>
      <c r="BQ132" s="23">
        <f>EXP(-LN(2)/25)*BQ131+(1-EXP(-LN(2)/25))/(LN(2)/25)*Calculateur!BL132*Calculateur!BN132*VLOOKUP('Données projet'!$B$11,Paramètres!$A$1:$I$89,3,0)*0.475*44/12</f>
        <v>0.19425610249223194</v>
      </c>
      <c r="BR132" s="23">
        <f>EXP(-LN(2)/2)*BR131+(1-EXP(-LN(2)/2))/(LN(2)/2)*BL132*BO132*VLOOKUP('Données projet'!$B$11,Paramètres!$A$1:$I$89,3,0)*0.475*44/12</f>
        <v>2.2361450897882146E-16</v>
      </c>
      <c r="BS132" s="24">
        <f t="shared" ref="BS132:BS153" si="117">SUM(BP132:BR132)</f>
        <v>8.5187511675215219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69.204951176262867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69.204951176262867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69.204951176262867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69.204951176262867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69.204951176262867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69.204951176262867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69.204951176262867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1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3.6666666666666665</v>
      </c>
      <c r="H133" s="70">
        <f t="shared" si="110"/>
        <v>232.46666666666667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69.218743495891829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66.513705559911728</v>
      </c>
      <c r="T133" s="62">
        <f t="shared" ref="T133:T196" si="142">$T$3</f>
        <v>293.21772799887617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8.1114930333041766</v>
      </c>
      <c r="AA133" s="23">
        <f>EXP(-LN(2)/25)*AA132+(1-EXP(-LN(2)/25))/(LN(2)/25)*Calculateur!V133*Calculateur!X133*VLOOKUP('Données projet'!$B$9,Paramètres!$A$1:$I$89,3,0)*0.475*44/12</f>
        <v>0.18779206062266982</v>
      </c>
      <c r="AB133" s="23">
        <f>EXP(-LN(2)/2)*AB132+(1-EXP(-LN(2)/2))/(LN(2)/2)*V133*Y133*VLOOKUP('Données projet'!$B$9,Paramètres!$A$1:$I$89,3,0)*0.475*44/12</f>
        <v>1.5715519337995011E-16</v>
      </c>
      <c r="AC133" s="24">
        <f t="shared" si="111"/>
        <v>8.2992850939268461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69.218743495891829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3.3992364478763198E-14</v>
      </c>
      <c r="AK133" s="14">
        <f t="shared" ref="AK133:AK153" si="143">EXP(-1.0587+0.8836*LN(AJ133)+0.284)</f>
        <v>5.790027782444094E-13</v>
      </c>
      <c r="AL133" s="22">
        <f t="shared" si="112"/>
        <v>1.0676332069095257E-12</v>
      </c>
      <c r="AM133" s="62">
        <f t="shared" si="113"/>
        <v>290.46872615160441</v>
      </c>
      <c r="AN133" s="62">
        <f ca="1">AVERAGE(OFFSET($AM$3,0,0,'Données projet'!$E$10+1,1))-AVERAGE(OFFSET($H$3,0,0,'Données projet'!$E$10+1,1))</f>
        <v>210.41468975391527</v>
      </c>
      <c r="AO133" s="62">
        <f t="shared" ref="AO133:AO196" si="144">$AO$3</f>
        <v>355.1268923221744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15.097029410712816</v>
      </c>
      <c r="AV133" s="23">
        <f>EXP(-LN(2)/25)*AV132+(1-EXP(-LN(2)/25))/(LN(2)/25)*Calculateur!AQ133*Calculateur!AS133*VLOOKUP('Données projet'!$B$10,Paramètres!$A$1:$I$89,3,0)*0.475*44/12</f>
        <v>0.20894234749623511</v>
      </c>
      <c r="AW133" s="23">
        <f>EXP(-LN(2)/2)*AW132+(1-EXP(-LN(2)/2))/(LN(2)/2)*AQ133*AT133*VLOOKUP('Données projet'!$B$10,Paramètres!$A$1:$I$89,3,0)*0.475*44/12</f>
        <v>9.7834508378106438E-13</v>
      </c>
      <c r="AX133" s="23">
        <f t="shared" si="114"/>
        <v>15.305971758210029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69.218743495891829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66.833935615974326</v>
      </c>
      <c r="BJ133" s="62">
        <f t="shared" ref="BJ133:BJ196" si="146">$BJ$3</f>
        <v>294.79914393693775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8.1612567942446983</v>
      </c>
      <c r="BQ133" s="23">
        <f>EXP(-LN(2)/25)*BQ132+(1-EXP(-LN(2)/25))/(LN(2)/25)*Calculateur!BL133*Calculateur!BN133*VLOOKUP('Données projet'!$B$11,Paramètres!$A$1:$I$89,3,0)*0.475*44/12</f>
        <v>0.1889441591540974</v>
      </c>
      <c r="BR133" s="23">
        <f>EXP(-LN(2)/2)*BR132+(1-EXP(-LN(2)/2))/(LN(2)/2)*BL133*BO133*VLOOKUP('Données projet'!$B$11,Paramètres!$A$1:$I$89,3,0)*0.475*44/12</f>
        <v>1.5811933567062477E-16</v>
      </c>
      <c r="BS133" s="24">
        <f t="shared" si="117"/>
        <v>8.3502009533987955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69.218743495891829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69.218743495891829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69.218743495891829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69.218743495891829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69.218743495891829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69.218743495891829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69.218743495891829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1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3.6666666666666665</v>
      </c>
      <c r="H134" s="70">
        <f t="shared" si="110"/>
        <v>232.46666666666667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69.232296549610226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66.513705559911728</v>
      </c>
      <c r="T134" s="62">
        <f t="shared" si="142"/>
        <v>293.21772799887617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7.9524316024433048</v>
      </c>
      <c r="AA134" s="23">
        <f>EXP(-LN(2)/25)*AA133+(1-EXP(-LN(2)/25))/(LN(2)/25)*Calculateur!V134*Calculateur!X134*VLOOKUP('Données projet'!$B$9,Paramètres!$A$1:$I$89,3,0)*0.475*44/12</f>
        <v>0.18265687684938764</v>
      </c>
      <c r="AB134" s="23">
        <f>EXP(-LN(2)/2)*AB133+(1-EXP(-LN(2)/2))/(LN(2)/2)*V134*Y134*VLOOKUP('Données projet'!$B$9,Paramètres!$A$1:$I$89,3,0)*0.475*44/12</f>
        <v>1.1112550293764594E-16</v>
      </c>
      <c r="AC134" s="24">
        <f t="shared" si="111"/>
        <v>8.1350884792926923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69.232296549610226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3.3992364478763198E-14</v>
      </c>
      <c r="AK134" s="14">
        <f t="shared" si="143"/>
        <v>5.790027782444094E-13</v>
      </c>
      <c r="AL134" s="22">
        <f t="shared" si="112"/>
        <v>1.0676332069095257E-12</v>
      </c>
      <c r="AM134" s="62">
        <f t="shared" si="113"/>
        <v>290.51842068190524</v>
      </c>
      <c r="AN134" s="62">
        <f ca="1">AVERAGE(OFFSET($AM$3,0,0,'Données projet'!$E$10+1,1))-AVERAGE(OFFSET($H$3,0,0,'Données projet'!$E$10+1,1))</f>
        <v>210.41468975391527</v>
      </c>
      <c r="AO134" s="62">
        <f t="shared" si="144"/>
        <v>355.1268923221744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14.800985872247436</v>
      </c>
      <c r="AV134" s="23">
        <f>EXP(-LN(2)/25)*AV133+(1-EXP(-LN(2)/25))/(LN(2)/25)*Calculateur!AQ134*Calculateur!AS134*VLOOKUP('Données projet'!$B$10,Paramètres!$A$1:$I$89,3,0)*0.475*44/12</f>
        <v>0.20322880801615004</v>
      </c>
      <c r="AW134" s="23">
        <f>EXP(-LN(2)/2)*AW133+(1-EXP(-LN(2)/2))/(LN(2)/2)*AQ134*AT134*VLOOKUP('Données projet'!$B$10,Paramètres!$A$1:$I$89,3,0)*0.475*44/12</f>
        <v>6.917944430821116E-13</v>
      </c>
      <c r="AX134" s="23">
        <f t="shared" si="114"/>
        <v>15.004214680264276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69.232296549610226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66.833935615974326</v>
      </c>
      <c r="BJ134" s="62">
        <f t="shared" si="146"/>
        <v>294.79914393693775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8.0012195263846806</v>
      </c>
      <c r="BQ134" s="23">
        <f>EXP(-LN(2)/25)*BQ133+(1-EXP(-LN(2)/25))/(LN(2)/25)*Calculateur!BL134*Calculateur!BN134*VLOOKUP('Données projet'!$B$11,Paramètres!$A$1:$I$89,3,0)*0.475*44/12</f>
        <v>0.18377747118588711</v>
      </c>
      <c r="BR134" s="23">
        <f>EXP(-LN(2)/2)*BR133+(1-EXP(-LN(2)/2))/(LN(2)/2)*BL134*BO134*VLOOKUP('Données projet'!$B$11,Paramètres!$A$1:$I$89,3,0)*0.475*44/12</f>
        <v>1.1180725448941073E-16</v>
      </c>
      <c r="BS134" s="24">
        <f t="shared" si="117"/>
        <v>8.1849969975705683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69.232296549610226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69.232296549610226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69.232296549610226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69.232296549610226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69.232296549610226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69.232296549610226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69.232296549610226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1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3.6666666666666665</v>
      </c>
      <c r="H135" s="70">
        <f t="shared" si="110"/>
        <v>232.46666666666667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69.2456144881467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66.513705559911728</v>
      </c>
      <c r="T135" s="62">
        <f t="shared" si="142"/>
        <v>293.21772799887617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7.7964892692237218</v>
      </c>
      <c r="AA135" s="23">
        <f>EXP(-LN(2)/25)*AA134+(1-EXP(-LN(2)/25))/(LN(2)/25)*Calculateur!V135*Calculateur!X135*VLOOKUP('Données projet'!$B$9,Paramètres!$A$1:$I$89,3,0)*0.475*44/12</f>
        <v>0.17766211494643344</v>
      </c>
      <c r="AB135" s="23">
        <f>EXP(-LN(2)/2)*AB134+(1-EXP(-LN(2)/2))/(LN(2)/2)*V135*Y135*VLOOKUP('Données projet'!$B$9,Paramètres!$A$1:$I$89,3,0)*0.475*44/12</f>
        <v>7.8577596689975054E-17</v>
      </c>
      <c r="AC135" s="24">
        <f t="shared" si="111"/>
        <v>7.9741513841701552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69.2456144881467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3.3992364478763198E-14</v>
      </c>
      <c r="AK135" s="14">
        <f t="shared" si="143"/>
        <v>5.790027782444094E-13</v>
      </c>
      <c r="AL135" s="22">
        <f t="shared" si="112"/>
        <v>1.0676332069095257E-12</v>
      </c>
      <c r="AM135" s="62">
        <f t="shared" si="113"/>
        <v>290.56725312320566</v>
      </c>
      <c r="AN135" s="62">
        <f ca="1">AVERAGE(OFFSET($AM$3,0,0,'Données projet'!$E$10+1,1))-AVERAGE(OFFSET($H$3,0,0,'Données projet'!$E$10+1,1))</f>
        <v>210.41468975391527</v>
      </c>
      <c r="AO135" s="62">
        <f t="shared" si="144"/>
        <v>355.1268923221744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14.510747567002634</v>
      </c>
      <c r="AV135" s="23">
        <f>EXP(-LN(2)/25)*AV134+(1-EXP(-LN(2)/25))/(LN(2)/25)*Calculateur!AQ135*Calculateur!AS135*VLOOKUP('Données projet'!$B$10,Paramètres!$A$1:$I$89,3,0)*0.475*44/12</f>
        <v>0.19767150557360988</v>
      </c>
      <c r="AW135" s="23">
        <f>EXP(-LN(2)/2)*AW134+(1-EXP(-LN(2)/2))/(LN(2)/2)*AQ135*AT135*VLOOKUP('Données projet'!$B$10,Paramètres!$A$1:$I$89,3,0)*0.475*44/12</f>
        <v>4.8917254189053219E-13</v>
      </c>
      <c r="AX135" s="23">
        <f t="shared" si="114"/>
        <v>14.708419072576731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69.2456144881467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66.833935615974326</v>
      </c>
      <c r="BJ135" s="62">
        <f t="shared" si="146"/>
        <v>294.79914393693775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7.8443204917343019</v>
      </c>
      <c r="BQ135" s="23">
        <f>EXP(-LN(2)/25)*BQ134+(1-EXP(-LN(2)/25))/(LN(2)/25)*Calculateur!BL135*Calculateur!BN135*VLOOKUP('Données projet'!$B$11,Paramètres!$A$1:$I$89,3,0)*0.475*44/12</f>
        <v>0.17875206657187184</v>
      </c>
      <c r="BR135" s="23">
        <f>EXP(-LN(2)/2)*BR134+(1-EXP(-LN(2)/2))/(LN(2)/2)*BL135*BO135*VLOOKUP('Données projet'!$B$11,Paramètres!$A$1:$I$89,3,0)*0.475*44/12</f>
        <v>7.9059667835312386E-17</v>
      </c>
      <c r="BS135" s="24">
        <f t="shared" si="117"/>
        <v>8.0230725583061737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69.2456144881467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69.2456144881467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69.2456144881467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69.2456144881467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69.2456144881467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69.2456144881467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69.2456144881467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1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3.6666666666666665</v>
      </c>
      <c r="H136" s="70">
        <f t="shared" si="110"/>
        <v>232.46666666666667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69.258701390224005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66.513705559911728</v>
      </c>
      <c r="T136" s="62">
        <f t="shared" si="142"/>
        <v>293.21772799887617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7.6436048700431432</v>
      </c>
      <c r="AA136" s="23">
        <f>EXP(-LN(2)/25)*AA135+(1-EXP(-LN(2)/25))/(LN(2)/25)*Calculateur!V136*Calculateur!X136*VLOOKUP('Données projet'!$B$9,Paramètres!$A$1:$I$89,3,0)*0.475*44/12</f>
        <v>0.17280393507037864</v>
      </c>
      <c r="AB136" s="23">
        <f>EXP(-LN(2)/2)*AB135+(1-EXP(-LN(2)/2))/(LN(2)/2)*V136*Y136*VLOOKUP('Données projet'!$B$9,Paramètres!$A$1:$I$89,3,0)*0.475*44/12</f>
        <v>5.5562751468822972E-17</v>
      </c>
      <c r="AC136" s="24">
        <f t="shared" si="111"/>
        <v>7.8164088051135217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69.258701390224005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3.3992364478763198E-14</v>
      </c>
      <c r="AK136" s="14">
        <f t="shared" si="143"/>
        <v>5.790027782444094E-13</v>
      </c>
      <c r="AL136" s="22">
        <f t="shared" si="112"/>
        <v>1.0676332069095257E-12</v>
      </c>
      <c r="AM136" s="62">
        <f t="shared" si="113"/>
        <v>290.61523843082244</v>
      </c>
      <c r="AN136" s="62">
        <f ca="1">AVERAGE(OFFSET($AM$3,0,0,'Données projet'!$E$10+1,1))-AVERAGE(OFFSET($H$3,0,0,'Données projet'!$E$10+1,1))</f>
        <v>210.41468975391527</v>
      </c>
      <c r="AO136" s="62">
        <f t="shared" si="144"/>
        <v>355.1268923221744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14.226200657895795</v>
      </c>
      <c r="AV136" s="23">
        <f>EXP(-LN(2)/25)*AV135+(1-EXP(-LN(2)/25))/(LN(2)/25)*Calculateur!AQ136*Calculateur!AS136*VLOOKUP('Données projet'!$B$10,Paramètres!$A$1:$I$89,3,0)*0.475*44/12</f>
        <v>0.19226616785860681</v>
      </c>
      <c r="AW136" s="23">
        <f>EXP(-LN(2)/2)*AW135+(1-EXP(-LN(2)/2))/(LN(2)/2)*AQ136*AT136*VLOOKUP('Données projet'!$B$10,Paramètres!$A$1:$I$89,3,0)*0.475*44/12</f>
        <v>3.458972215410558E-13</v>
      </c>
      <c r="AX136" s="23">
        <f t="shared" si="114"/>
        <v>14.418466825754749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69.258701390224005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66.833935615974326</v>
      </c>
      <c r="BJ136" s="62">
        <f t="shared" si="146"/>
        <v>294.79914393693775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7.6904981514544559</v>
      </c>
      <c r="BQ136" s="23">
        <f>EXP(-LN(2)/25)*BQ135+(1-EXP(-LN(2)/25))/(LN(2)/25)*Calculateur!BL136*Calculateur!BN136*VLOOKUP('Données projet'!$B$11,Paramètres!$A$1:$I$89,3,0)*0.475*44/12</f>
        <v>0.17386408191130137</v>
      </c>
      <c r="BR136" s="23">
        <f>EXP(-LN(2)/2)*BR135+(1-EXP(-LN(2)/2))/(LN(2)/2)*BL136*BO136*VLOOKUP('Données projet'!$B$11,Paramètres!$A$1:$I$89,3,0)*0.475*44/12</f>
        <v>5.5903627244705364E-17</v>
      </c>
      <c r="BS136" s="24">
        <f t="shared" si="117"/>
        <v>7.8643622333657577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69.258701390224005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69.258701390224005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69.258701390224005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69.258701390224005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69.258701390224005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69.258701390224005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69.258701390224005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1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3.6666666666666665</v>
      </c>
      <c r="H137" s="70">
        <f t="shared" si="110"/>
        <v>232.46666666666667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69.271561263808209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66.513705559911728</v>
      </c>
      <c r="T137" s="62">
        <f t="shared" si="142"/>
        <v>293.21772799887617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7.4937184406802198</v>
      </c>
      <c r="AA137" s="23">
        <f>EXP(-LN(2)/25)*AA136+(1-EXP(-LN(2)/25))/(LN(2)/25)*Calculateur!V137*Calculateur!X137*VLOOKUP('Données projet'!$B$9,Paramètres!$A$1:$I$89,3,0)*0.475*44/12</f>
        <v>0.16807860237851513</v>
      </c>
      <c r="AB137" s="23">
        <f>EXP(-LN(2)/2)*AB136+(1-EXP(-LN(2)/2))/(LN(2)/2)*V137*Y137*VLOOKUP('Données projet'!$B$9,Paramètres!$A$1:$I$89,3,0)*0.475*44/12</f>
        <v>3.9288798344987527E-17</v>
      </c>
      <c r="AC137" s="24">
        <f t="shared" si="111"/>
        <v>7.6617970430587352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69.271561263808209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3.3992364478763198E-14</v>
      </c>
      <c r="AK137" s="14">
        <f t="shared" si="143"/>
        <v>5.790027782444094E-13</v>
      </c>
      <c r="AL137" s="22">
        <f t="shared" si="112"/>
        <v>1.0676332069095257E-12</v>
      </c>
      <c r="AM137" s="62">
        <f t="shared" si="113"/>
        <v>290.66239130063116</v>
      </c>
      <c r="AN137" s="62">
        <f ca="1">AVERAGE(OFFSET($AM$3,0,0,'Données projet'!$E$10+1,1))-AVERAGE(OFFSET($H$3,0,0,'Données projet'!$E$10+1,1))</f>
        <v>210.41468975391527</v>
      </c>
      <c r="AO137" s="62">
        <f t="shared" si="144"/>
        <v>355.1268923221744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13.947233540120065</v>
      </c>
      <c r="AV137" s="23">
        <f>EXP(-LN(2)/25)*AV136+(1-EXP(-LN(2)/25))/(LN(2)/25)*Calculateur!AQ137*Calculateur!AS137*VLOOKUP('Données projet'!$B$10,Paramètres!$A$1:$I$89,3,0)*0.475*44/12</f>
        <v>0.18700863938767487</v>
      </c>
      <c r="AW137" s="23">
        <f>EXP(-LN(2)/2)*AW136+(1-EXP(-LN(2)/2))/(LN(2)/2)*AQ137*AT137*VLOOKUP('Données projet'!$B$10,Paramètres!$A$1:$I$89,3,0)*0.475*44/12</f>
        <v>2.445862709452661E-13</v>
      </c>
      <c r="AX137" s="23">
        <f t="shared" si="114"/>
        <v>14.134242179507986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69.271561263808209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66.833935615974326</v>
      </c>
      <c r="BJ137" s="62">
        <f t="shared" si="146"/>
        <v>294.79914393693775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7.5396921734451343</v>
      </c>
      <c r="BQ137" s="23">
        <f>EXP(-LN(2)/25)*BQ136+(1-EXP(-LN(2)/25))/(LN(2)/25)*Calculateur!BL137*Calculateur!BN137*VLOOKUP('Données projet'!$B$11,Paramètres!$A$1:$I$89,3,0)*0.475*44/12</f>
        <v>0.16910975944832213</v>
      </c>
      <c r="BR137" s="23">
        <f>EXP(-LN(2)/2)*BR136+(1-EXP(-LN(2)/2))/(LN(2)/2)*BL137*BO137*VLOOKUP('Données projet'!$B$11,Paramètres!$A$1:$I$89,3,0)*0.475*44/12</f>
        <v>3.9529833917656193E-17</v>
      </c>
      <c r="BS137" s="24">
        <f t="shared" si="117"/>
        <v>7.7088019328934561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69.271561263808209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69.271561263808209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69.271561263808209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69.271561263808209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69.271561263808209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69.271561263808209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69.271561263808209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1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3.6666666666666665</v>
      </c>
      <c r="H138" s="70">
        <f t="shared" si="110"/>
        <v>232.46666666666667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69.284198047336105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66.513705559911728</v>
      </c>
      <c r="T138" s="62">
        <f t="shared" si="142"/>
        <v>293.21772799887617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7.3467711927754085</v>
      </c>
      <c r="AA138" s="23">
        <f>EXP(-LN(2)/25)*AA137+(1-EXP(-LN(2)/25))/(LN(2)/25)*Calculateur!V138*Calculateur!X138*VLOOKUP('Données projet'!$B$9,Paramètres!$A$1:$I$89,3,0)*0.475*44/12</f>
        <v>0.16348248415760508</v>
      </c>
      <c r="AB138" s="23">
        <f>EXP(-LN(2)/2)*AB137+(1-EXP(-LN(2)/2))/(LN(2)/2)*V138*Y138*VLOOKUP('Données projet'!$B$9,Paramètres!$A$1:$I$89,3,0)*0.475*44/12</f>
        <v>2.7781375734411486E-17</v>
      </c>
      <c r="AC138" s="24">
        <f t="shared" si="111"/>
        <v>7.5102536769330133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69.284198047336105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3.3992364478763198E-14</v>
      </c>
      <c r="AK138" s="14">
        <f t="shared" si="143"/>
        <v>5.790027782444094E-13</v>
      </c>
      <c r="AL138" s="22">
        <f t="shared" si="112"/>
        <v>1.0676332069095257E-12</v>
      </c>
      <c r="AM138" s="62">
        <f t="shared" si="113"/>
        <v>290.70872617356679</v>
      </c>
      <c r="AN138" s="62">
        <f ca="1">AVERAGE(OFFSET($AM$3,0,0,'Données projet'!$E$10+1,1))-AVERAGE(OFFSET($H$3,0,0,'Données projet'!$E$10+1,1))</f>
        <v>210.41468975391527</v>
      </c>
      <c r="AO138" s="62">
        <f t="shared" si="144"/>
        <v>355.1268923221744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13.673736797370776</v>
      </c>
      <c r="AV138" s="23">
        <f>EXP(-LN(2)/25)*AV137+(1-EXP(-LN(2)/25))/(LN(2)/25)*Calculateur!AQ138*Calculateur!AS138*VLOOKUP('Données projet'!$B$10,Paramètres!$A$1:$I$89,3,0)*0.475*44/12</f>
        <v>0.18189487830926196</v>
      </c>
      <c r="AW138" s="23">
        <f>EXP(-LN(2)/2)*AW137+(1-EXP(-LN(2)/2))/(LN(2)/2)*AQ138*AT138*VLOOKUP('Données projet'!$B$10,Paramètres!$A$1:$I$89,3,0)*0.475*44/12</f>
        <v>1.729486107705279E-13</v>
      </c>
      <c r="AX138" s="23">
        <f t="shared" si="114"/>
        <v>13.855631675680209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69.284198047336105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66.833935615974326</v>
      </c>
      <c r="BJ138" s="62">
        <f t="shared" si="146"/>
        <v>294.79914393693775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7.3918434086820115</v>
      </c>
      <c r="BQ138" s="23">
        <f>EXP(-LN(2)/25)*BQ137+(1-EXP(-LN(2)/25))/(LN(2)/25)*Calculateur!BL138*Calculateur!BN138*VLOOKUP('Données projet'!$B$11,Paramètres!$A$1:$I$89,3,0)*0.475*44/12</f>
        <v>0.16448544418311201</v>
      </c>
      <c r="BR138" s="23">
        <f>EXP(-LN(2)/2)*BR137+(1-EXP(-LN(2)/2))/(LN(2)/2)*BL138*BO138*VLOOKUP('Données projet'!$B$11,Paramètres!$A$1:$I$89,3,0)*0.475*44/12</f>
        <v>2.7951813622352682E-17</v>
      </c>
      <c r="BS138" s="24">
        <f t="shared" si="117"/>
        <v>7.5563288528651231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69.284198047336105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69.284198047336105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69.284198047336105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69.284198047336105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69.284198047336105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69.284198047336105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69.284198047336105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1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3.6666666666666665</v>
      </c>
      <c r="H139" s="70">
        <f t="shared" si="110"/>
        <v>232.46666666666667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69.296615610921393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66.513705559911728</v>
      </c>
      <c r="T139" s="62">
        <f t="shared" si="142"/>
        <v>293.21772799887617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7.2027054907730399</v>
      </c>
      <c r="AA139" s="23">
        <f>EXP(-LN(2)/25)*AA138+(1-EXP(-LN(2)/25))/(LN(2)/25)*Calculateur!V139*Calculateur!X139*VLOOKUP('Données projet'!$B$9,Paramètres!$A$1:$I$89,3,0)*0.475*44/12</f>
        <v>0.15901204703114516</v>
      </c>
      <c r="AB139" s="23">
        <f>EXP(-LN(2)/2)*AB138+(1-EXP(-LN(2)/2))/(LN(2)/2)*V139*Y139*VLOOKUP('Données projet'!$B$9,Paramètres!$A$1:$I$89,3,0)*0.475*44/12</f>
        <v>1.9644399172493764E-17</v>
      </c>
      <c r="AC139" s="24">
        <f t="shared" si="111"/>
        <v>7.3617175378041848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69.296615610921393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3.3992364478763198E-14</v>
      </c>
      <c r="AK139" s="14">
        <f t="shared" si="143"/>
        <v>5.790027782444094E-13</v>
      </c>
      <c r="AL139" s="22">
        <f t="shared" si="112"/>
        <v>1.0676332069095257E-12</v>
      </c>
      <c r="AM139" s="62">
        <f t="shared" si="113"/>
        <v>290.75425724004617</v>
      </c>
      <c r="AN139" s="62">
        <f ca="1">AVERAGE(OFFSET($AM$3,0,0,'Données projet'!$E$10+1,1))-AVERAGE(OFFSET($H$3,0,0,'Données projet'!$E$10+1,1))</f>
        <v>210.41468975391527</v>
      </c>
      <c r="AO139" s="62">
        <f t="shared" si="144"/>
        <v>355.1268923221744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13.405603158930258</v>
      </c>
      <c r="AV139" s="23">
        <f>EXP(-LN(2)/25)*AV138+(1-EXP(-LN(2)/25))/(LN(2)/25)*Calculateur!AQ139*Calculateur!AS139*VLOOKUP('Données projet'!$B$10,Paramètres!$A$1:$I$89,3,0)*0.475*44/12</f>
        <v>0.17692095329645927</v>
      </c>
      <c r="AW139" s="23">
        <f>EXP(-LN(2)/2)*AW138+(1-EXP(-LN(2)/2))/(LN(2)/2)*AQ139*AT139*VLOOKUP('Données projet'!$B$10,Paramètres!$A$1:$I$89,3,0)*0.475*44/12</f>
        <v>1.2229313547263305E-13</v>
      </c>
      <c r="AX139" s="23">
        <f t="shared" si="114"/>
        <v>13.582524112226841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69.296615610921393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66.833935615974326</v>
      </c>
      <c r="BJ139" s="62">
        <f t="shared" si="146"/>
        <v>294.79914393693775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7.2468938680170512</v>
      </c>
      <c r="BQ139" s="23">
        <f>EXP(-LN(2)/25)*BQ138+(1-EXP(-LN(2)/25))/(LN(2)/25)*Calculateur!BL139*Calculateur!BN139*VLOOKUP('Données projet'!$B$11,Paramètres!$A$1:$I$89,3,0)*0.475*44/12</f>
        <v>0.15998758106201125</v>
      </c>
      <c r="BR139" s="23">
        <f>EXP(-LN(2)/2)*BR138+(1-EXP(-LN(2)/2))/(LN(2)/2)*BL139*BO139*VLOOKUP('Données projet'!$B$11,Paramètres!$A$1:$I$89,3,0)*0.475*44/12</f>
        <v>1.9764916958828096E-17</v>
      </c>
      <c r="BS139" s="24">
        <f t="shared" si="117"/>
        <v>7.4068814490790622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69.296615610921393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69.296615610921393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69.296615610921393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69.296615610921393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69.296615610921393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69.296615610921393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69.296615610921393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1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3.6666666666666665</v>
      </c>
      <c r="H140" s="70">
        <f t="shared" si="110"/>
        <v>232.46666666666667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69.308817757539998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66.513705559911728</v>
      </c>
      <c r="T140" s="62">
        <f t="shared" si="142"/>
        <v>293.21772799887617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7.0614648293155362</v>
      </c>
      <c r="AA140" s="23">
        <f>EXP(-LN(2)/25)*AA139+(1-EXP(-LN(2)/25))/(LN(2)/25)*Calculateur!V140*Calculateur!X140*VLOOKUP('Données projet'!$B$9,Paramètres!$A$1:$I$89,3,0)*0.475*44/12</f>
        <v>0.15466385424299836</v>
      </c>
      <c r="AB140" s="23">
        <f>EXP(-LN(2)/2)*AB139+(1-EXP(-LN(2)/2))/(LN(2)/2)*V140*Y140*VLOOKUP('Données projet'!$B$9,Paramètres!$A$1:$I$89,3,0)*0.475*44/12</f>
        <v>1.3890687867205743E-17</v>
      </c>
      <c r="AC140" s="24">
        <f t="shared" si="111"/>
        <v>7.2161286835585345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69.308817757539998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3.3992364478763198E-14</v>
      </c>
      <c r="AK140" s="14">
        <f t="shared" si="143"/>
        <v>5.790027782444094E-13</v>
      </c>
      <c r="AL140" s="22">
        <f t="shared" si="112"/>
        <v>1.0676332069095257E-12</v>
      </c>
      <c r="AM140" s="62">
        <f t="shared" si="113"/>
        <v>290.79899844431441</v>
      </c>
      <c r="AN140" s="62">
        <f ca="1">AVERAGE(OFFSET($AM$3,0,0,'Données projet'!$E$10+1,1))-AVERAGE(OFFSET($H$3,0,0,'Données projet'!$E$10+1,1))</f>
        <v>210.41468975391527</v>
      </c>
      <c r="AO140" s="62">
        <f t="shared" si="144"/>
        <v>355.1268923221744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13.142727457594189</v>
      </c>
      <c r="AV140" s="23">
        <f>EXP(-LN(2)/25)*AV139+(1-EXP(-LN(2)/25))/(LN(2)/25)*Calculateur!AQ140*Calculateur!AS140*VLOOKUP('Données projet'!$B$10,Paramètres!$A$1:$I$89,3,0)*0.475*44/12</f>
        <v>0.172083040524699</v>
      </c>
      <c r="AW140" s="23">
        <f>EXP(-LN(2)/2)*AW139+(1-EXP(-LN(2)/2))/(LN(2)/2)*AQ140*AT140*VLOOKUP('Données projet'!$B$10,Paramètres!$A$1:$I$89,3,0)*0.475*44/12</f>
        <v>8.647430538526395E-14</v>
      </c>
      <c r="AX140" s="23">
        <f t="shared" si="114"/>
        <v>13.314810498118975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69.308817757539998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66.833935615974326</v>
      </c>
      <c r="BJ140" s="62">
        <f t="shared" si="146"/>
        <v>294.79914393693775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7.1047866994340412</v>
      </c>
      <c r="BQ140" s="23">
        <f>EXP(-LN(2)/25)*BQ139+(1-EXP(-LN(2)/25))/(LN(2)/25)*Calculateur!BL140*Calculateur!BN140*VLOOKUP('Données projet'!$B$11,Paramètres!$A$1:$I$89,3,0)*0.475*44/12</f>
        <v>0.15561271224448933</v>
      </c>
      <c r="BR140" s="23">
        <f>EXP(-LN(2)/2)*BR139+(1-EXP(-LN(2)/2))/(LN(2)/2)*BL140*BO140*VLOOKUP('Données projet'!$B$11,Paramètres!$A$1:$I$89,3,0)*0.475*44/12</f>
        <v>1.3975906811176341E-17</v>
      </c>
      <c r="BS140" s="24">
        <f t="shared" si="117"/>
        <v>7.2603994116785309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69.308817757539998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69.308817757539998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69.308817757539998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69.308817757539998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69.308817757539998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69.308817757539998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69.308817757539998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1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3.6666666666666665</v>
      </c>
      <c r="H141" s="70">
        <f t="shared" si="110"/>
        <v>232.46666666666667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69.320808224194678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66.513705559911728</v>
      </c>
      <c r="T141" s="62">
        <f t="shared" si="142"/>
        <v>293.21772799887617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6.922993811080917</v>
      </c>
      <c r="AA141" s="23">
        <f>EXP(-LN(2)/25)*AA140+(1-EXP(-LN(2)/25))/(LN(2)/25)*Calculateur!V141*Calculateur!X141*VLOOKUP('Données projet'!$B$9,Paramètres!$A$1:$I$89,3,0)*0.475*44/12</f>
        <v>0.15043456301530497</v>
      </c>
      <c r="AB141" s="23">
        <f>EXP(-LN(2)/2)*AB140+(1-EXP(-LN(2)/2))/(LN(2)/2)*V141*Y141*VLOOKUP('Données projet'!$B$9,Paramètres!$A$1:$I$89,3,0)*0.475*44/12</f>
        <v>9.8221995862468818E-18</v>
      </c>
      <c r="AC141" s="24">
        <f t="shared" si="111"/>
        <v>7.0734283740962223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69.320808224194678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3.3992364478763198E-14</v>
      </c>
      <c r="AK141" s="14">
        <f t="shared" si="143"/>
        <v>5.790027782444094E-13</v>
      </c>
      <c r="AL141" s="22">
        <f t="shared" si="112"/>
        <v>1.0676332069095257E-12</v>
      </c>
      <c r="AM141" s="62">
        <f t="shared" si="113"/>
        <v>290.84296348871487</v>
      </c>
      <c r="AN141" s="62">
        <f ca="1">AVERAGE(OFFSET($AM$3,0,0,'Données projet'!$E$10+1,1))-AVERAGE(OFFSET($H$3,0,0,'Données projet'!$E$10+1,1))</f>
        <v>210.41468975391527</v>
      </c>
      <c r="AO141" s="62">
        <f t="shared" si="144"/>
        <v>355.1268923221744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12.885006588422975</v>
      </c>
      <c r="AV141" s="23">
        <f>EXP(-LN(2)/25)*AV140+(1-EXP(-LN(2)/25))/(LN(2)/25)*Calculateur!AQ141*Calculateur!AS141*VLOOKUP('Données projet'!$B$10,Paramètres!$A$1:$I$89,3,0)*0.475*44/12</f>
        <v>0.1673774207320973</v>
      </c>
      <c r="AW141" s="23">
        <f>EXP(-LN(2)/2)*AW140+(1-EXP(-LN(2)/2))/(LN(2)/2)*AQ141*AT141*VLOOKUP('Données projet'!$B$10,Paramètres!$A$1:$I$89,3,0)*0.475*44/12</f>
        <v>6.1146567736316524E-14</v>
      </c>
      <c r="AX141" s="23">
        <f t="shared" si="114"/>
        <v>13.052384009155134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69.320808224194678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66.833935615974326</v>
      </c>
      <c r="BJ141" s="62">
        <f t="shared" si="146"/>
        <v>294.79914393693775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6.9654661657501293</v>
      </c>
      <c r="BQ141" s="23">
        <f>EXP(-LN(2)/25)*BQ140+(1-EXP(-LN(2)/25))/(LN(2)/25)*Calculateur!BL141*Calculateur!BN141*VLOOKUP('Données projet'!$B$11,Paramètres!$A$1:$I$89,3,0)*0.475*44/12</f>
        <v>0.1513574744448469</v>
      </c>
      <c r="BR141" s="23">
        <f>EXP(-LN(2)/2)*BR140+(1-EXP(-LN(2)/2))/(LN(2)/2)*BL141*BO141*VLOOKUP('Données projet'!$B$11,Paramètres!$A$1:$I$89,3,0)*0.475*44/12</f>
        <v>9.8824584794140482E-18</v>
      </c>
      <c r="BS141" s="24">
        <f t="shared" si="117"/>
        <v>7.1168236401949763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69.320808224194678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69.320808224194678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69.320808224194678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69.320808224194678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69.320808224194678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69.320808224194678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69.320808224194678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1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3.6666666666666665</v>
      </c>
      <c r="H142" s="70">
        <f t="shared" si="110"/>
        <v>232.46666666666667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69.332590683059564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66.513705559911728</v>
      </c>
      <c r="T142" s="62">
        <f t="shared" si="142"/>
        <v>293.21772799887617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6.7872381250548974</v>
      </c>
      <c r="AA142" s="23">
        <f>EXP(-LN(2)/25)*AA141+(1-EXP(-LN(2)/25))/(LN(2)/25)*Calculateur!V142*Calculateur!X142*VLOOKUP('Données projet'!$B$9,Paramètres!$A$1:$I$89,3,0)*0.475*44/12</f>
        <v>0.1463209219786416</v>
      </c>
      <c r="AB142" s="23">
        <f>EXP(-LN(2)/2)*AB141+(1-EXP(-LN(2)/2))/(LN(2)/2)*V142*Y142*VLOOKUP('Données projet'!$B$9,Paramètres!$A$1:$I$89,3,0)*0.475*44/12</f>
        <v>6.9453439336028715E-18</v>
      </c>
      <c r="AC142" s="24">
        <f t="shared" si="111"/>
        <v>6.9335590470335386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69.332590683059564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3.3992364478763198E-14</v>
      </c>
      <c r="AK142" s="14">
        <f t="shared" si="143"/>
        <v>5.790027782444094E-13</v>
      </c>
      <c r="AL142" s="22">
        <f t="shared" si="112"/>
        <v>1.0676332069095257E-12</v>
      </c>
      <c r="AM142" s="62">
        <f t="shared" si="113"/>
        <v>290.88616583788615</v>
      </c>
      <c r="AN142" s="62">
        <f ca="1">AVERAGE(OFFSET($AM$3,0,0,'Données projet'!$E$10+1,1))-AVERAGE(OFFSET($H$3,0,0,'Données projet'!$E$10+1,1))</f>
        <v>210.41468975391527</v>
      </c>
      <c r="AO142" s="62">
        <f t="shared" si="144"/>
        <v>355.1268923221744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12.632339468302</v>
      </c>
      <c r="AV142" s="23">
        <f>EXP(-LN(2)/25)*AV141+(1-EXP(-LN(2)/25))/(LN(2)/25)*Calculateur!AQ142*Calculateur!AS142*VLOOKUP('Données projet'!$B$10,Paramètres!$A$1:$I$89,3,0)*0.475*44/12</f>
        <v>0.16280047636018208</v>
      </c>
      <c r="AW142" s="23">
        <f>EXP(-LN(2)/2)*AW141+(1-EXP(-LN(2)/2))/(LN(2)/2)*AQ142*AT142*VLOOKUP('Données projet'!$B$10,Paramètres!$A$1:$I$89,3,0)*0.475*44/12</f>
        <v>4.3237152692631975E-14</v>
      </c>
      <c r="AX142" s="23">
        <f t="shared" si="114"/>
        <v>12.795139944662225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69.332590683059564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66.833935615974326</v>
      </c>
      <c r="BJ142" s="62">
        <f t="shared" si="146"/>
        <v>294.79914393693775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6.8288776227546242</v>
      </c>
      <c r="BQ142" s="23">
        <f>EXP(-LN(2)/25)*BQ141+(1-EXP(-LN(2)/25))/(LN(2)/25)*Calculateur!BL142*Calculateur!BN142*VLOOKUP('Données projet'!$B$11,Paramètres!$A$1:$I$89,3,0)*0.475*44/12</f>
        <v>0.14721859634660892</v>
      </c>
      <c r="BR142" s="23">
        <f>EXP(-LN(2)/2)*BR141+(1-EXP(-LN(2)/2))/(LN(2)/2)*BL142*BO142*VLOOKUP('Données projet'!$B$11,Paramètres!$A$1:$I$89,3,0)*0.475*44/12</f>
        <v>6.9879534055881705E-18</v>
      </c>
      <c r="BS142" s="24">
        <f t="shared" si="117"/>
        <v>6.9760962191012332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69.332590683059564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69.332590683059564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69.332590683059564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69.332590683059564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69.332590683059564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69.332590683059564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69.332590683059564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1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3.6666666666666665</v>
      </c>
      <c r="H143" s="70">
        <f t="shared" si="110"/>
        <v>232.46666666666667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69.344168742604779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66.513705559911728</v>
      </c>
      <c r="T143" s="62">
        <f t="shared" si="142"/>
        <v>293.21772799887617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6.6541445252290554</v>
      </c>
      <c r="AA143" s="23">
        <f>EXP(-LN(2)/25)*AA142+(1-EXP(-LN(2)/25))/(LN(2)/25)*Calculateur!V143*Calculateur!X143*VLOOKUP('Données projet'!$B$9,Paramètres!$A$1:$I$89,3,0)*0.475*44/12</f>
        <v>0.14231976867245277</v>
      </c>
      <c r="AB143" s="23">
        <f>EXP(-LN(2)/2)*AB142+(1-EXP(-LN(2)/2))/(LN(2)/2)*V143*Y143*VLOOKUP('Données projet'!$B$9,Paramètres!$A$1:$I$89,3,0)*0.475*44/12</f>
        <v>4.9110997931234409E-18</v>
      </c>
      <c r="AC143" s="24">
        <f t="shared" si="111"/>
        <v>6.7964642939015079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69.344168742604779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3.3992364478763198E-14</v>
      </c>
      <c r="AK143" s="14">
        <f t="shared" si="143"/>
        <v>5.790027782444094E-13</v>
      </c>
      <c r="AL143" s="22">
        <f t="shared" si="112"/>
        <v>1.0676332069095257E-12</v>
      </c>
      <c r="AM143" s="62">
        <f t="shared" si="113"/>
        <v>290.92861872288529</v>
      </c>
      <c r="AN143" s="62">
        <f ca="1">AVERAGE(OFFSET($AM$3,0,0,'Données projet'!$E$10+1,1))-AVERAGE(OFFSET($H$3,0,0,'Données projet'!$E$10+1,1))</f>
        <v>210.41468975391527</v>
      </c>
      <c r="AO143" s="62">
        <f t="shared" si="144"/>
        <v>355.1268923221744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12.384626996294871</v>
      </c>
      <c r="AV143" s="23">
        <f>EXP(-LN(2)/25)*AV142+(1-EXP(-LN(2)/25))/(LN(2)/25)*Calculateur!AQ143*Calculateur!AS143*VLOOKUP('Données projet'!$B$10,Paramètres!$A$1:$I$89,3,0)*0.475*44/12</f>
        <v>0.15834868877280794</v>
      </c>
      <c r="AW143" s="23">
        <f>EXP(-LN(2)/2)*AW142+(1-EXP(-LN(2)/2))/(LN(2)/2)*AQ143*AT143*VLOOKUP('Données projet'!$B$10,Paramètres!$A$1:$I$89,3,0)*0.475*44/12</f>
        <v>3.0573283868158262E-14</v>
      </c>
      <c r="AX143" s="23">
        <f t="shared" si="114"/>
        <v>12.542975685067709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69.344168742604779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66.833935615974326</v>
      </c>
      <c r="BJ143" s="62">
        <f t="shared" si="146"/>
        <v>294.79914393693775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6.6949674977764762</v>
      </c>
      <c r="BQ143" s="23">
        <f>EXP(-LN(2)/25)*BQ142+(1-EXP(-LN(2)/25))/(LN(2)/25)*Calculateur!BL143*Calculateur!BN143*VLOOKUP('Données projet'!$B$11,Paramètres!$A$1:$I$89,3,0)*0.475*44/12</f>
        <v>0.1431928960876214</v>
      </c>
      <c r="BR143" s="23">
        <f>EXP(-LN(2)/2)*BR142+(1-EXP(-LN(2)/2))/(LN(2)/2)*BL143*BO143*VLOOKUP('Données projet'!$B$11,Paramètres!$A$1:$I$89,3,0)*0.475*44/12</f>
        <v>4.9412292397070241E-18</v>
      </c>
      <c r="BS143" s="24">
        <f t="shared" si="117"/>
        <v>6.8381603938640971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69.344168742604779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69.344168742604779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69.344168742604779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69.344168742604779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69.344168742604779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69.344168742604779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69.344168742604779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1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3.6666666666666665</v>
      </c>
      <c r="H144" s="70">
        <f t="shared" si="110"/>
        <v>232.46666666666667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69.355545948701561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66.513705559911728</v>
      </c>
      <c r="T144" s="62">
        <f t="shared" si="142"/>
        <v>293.21772799887617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6.5236608097167181</v>
      </c>
      <c r="AA144" s="23">
        <f>EXP(-LN(2)/25)*AA143+(1-EXP(-LN(2)/25))/(LN(2)/25)*Calculateur!V144*Calculateur!X144*VLOOKUP('Données projet'!$B$9,Paramètres!$A$1:$I$89,3,0)*0.475*44/12</f>
        <v>0.1384280271138332</v>
      </c>
      <c r="AB144" s="23">
        <f>EXP(-LN(2)/2)*AB143+(1-EXP(-LN(2)/2))/(LN(2)/2)*V144*Y144*VLOOKUP('Données projet'!$B$9,Paramètres!$A$1:$I$89,3,0)*0.475*44/12</f>
        <v>3.4726719668014357E-18</v>
      </c>
      <c r="AC144" s="24">
        <f t="shared" si="111"/>
        <v>6.6620888368305513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69.355545948701561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3.3992364478763198E-14</v>
      </c>
      <c r="AK144" s="14">
        <f t="shared" si="143"/>
        <v>5.790027782444094E-13</v>
      </c>
      <c r="AL144" s="22">
        <f t="shared" si="112"/>
        <v>1.0676332069095257E-12</v>
      </c>
      <c r="AM144" s="62">
        <f t="shared" si="113"/>
        <v>290.97033514524014</v>
      </c>
      <c r="AN144" s="62">
        <f ca="1">AVERAGE(OFFSET($AM$3,0,0,'Données projet'!$E$10+1,1))-AVERAGE(OFFSET($H$3,0,0,'Données projet'!$E$10+1,1))</f>
        <v>210.41468975391527</v>
      </c>
      <c r="AO144" s="62">
        <f t="shared" si="144"/>
        <v>355.1268923221744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12.141772014774114</v>
      </c>
      <c r="AV144" s="23">
        <f>EXP(-LN(2)/25)*AV143+(1-EXP(-LN(2)/25))/(LN(2)/25)*Calculateur!AQ144*Calculateur!AS144*VLOOKUP('Données projet'!$B$10,Paramètres!$A$1:$I$89,3,0)*0.475*44/12</f>
        <v>0.15401863555111989</v>
      </c>
      <c r="AW144" s="23">
        <f>EXP(-LN(2)/2)*AW143+(1-EXP(-LN(2)/2))/(LN(2)/2)*AQ144*AT144*VLOOKUP('Données projet'!$B$10,Paramètres!$A$1:$I$89,3,0)*0.475*44/12</f>
        <v>2.1618576346315987E-14</v>
      </c>
      <c r="AX144" s="23">
        <f t="shared" si="114"/>
        <v>12.295790650325255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69.355545948701561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66.833935615974326</v>
      </c>
      <c r="BJ144" s="62">
        <f t="shared" si="146"/>
        <v>294.79914393693775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6.5636832686720386</v>
      </c>
      <c r="BQ144" s="23">
        <f>EXP(-LN(2)/25)*BQ143+(1-EXP(-LN(2)/25))/(LN(2)/25)*Calculateur!BL144*Calculateur!BN144*VLOOKUP('Données projet'!$B$11,Paramètres!$A$1:$I$89,3,0)*0.475*44/12</f>
        <v>0.13927727881391824</v>
      </c>
      <c r="BR144" s="23">
        <f>EXP(-LN(2)/2)*BR143+(1-EXP(-LN(2)/2))/(LN(2)/2)*BL144*BO144*VLOOKUP('Données projet'!$B$11,Paramètres!$A$1:$I$89,3,0)*0.475*44/12</f>
        <v>3.4939767027940853E-18</v>
      </c>
      <c r="BS144" s="24">
        <f t="shared" si="117"/>
        <v>6.702960547485957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69.355545948701561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69.355545948701561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69.355545948701561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69.355545948701561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69.355545948701561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69.355545948701561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69.355545948701561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1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3.6666666666666665</v>
      </c>
      <c r="H145" s="70">
        <f t="shared" si="110"/>
        <v>232.46666666666667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69.366725785708169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66.513705559911728</v>
      </c>
      <c r="T145" s="62">
        <f t="shared" si="142"/>
        <v>293.21772799887617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6.39573580027837</v>
      </c>
      <c r="AA145" s="23">
        <f>EXP(-LN(2)/25)*AA144+(1-EXP(-LN(2)/25))/(LN(2)/25)*Calculateur!V145*Calculateur!X145*VLOOKUP('Données projet'!$B$9,Paramètres!$A$1:$I$89,3,0)*0.475*44/12</f>
        <v>0.13464270543279186</v>
      </c>
      <c r="AB145" s="23">
        <f>EXP(-LN(2)/2)*AB144+(1-EXP(-LN(2)/2))/(LN(2)/2)*V145*Y145*VLOOKUP('Données projet'!$B$9,Paramètres!$A$1:$I$89,3,0)*0.475*44/12</f>
        <v>2.4555498965617204E-18</v>
      </c>
      <c r="AC145" s="24">
        <f t="shared" si="111"/>
        <v>6.5303785057111616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69.366725785708169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3.3992364478763198E-14</v>
      </c>
      <c r="AK145" s="14">
        <f t="shared" si="143"/>
        <v>5.790027782444094E-13</v>
      </c>
      <c r="AL145" s="22">
        <f t="shared" si="112"/>
        <v>1.0676332069095257E-12</v>
      </c>
      <c r="AM145" s="62">
        <f t="shared" si="113"/>
        <v>291.01132788093105</v>
      </c>
      <c r="AN145" s="62">
        <f ca="1">AVERAGE(OFFSET($AM$3,0,0,'Données projet'!$E$10+1,1))-AVERAGE(OFFSET($H$3,0,0,'Données projet'!$E$10+1,1))</f>
        <v>210.41468975391527</v>
      </c>
      <c r="AO145" s="62">
        <f t="shared" si="144"/>
        <v>355.1268923221744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11.903679271314065</v>
      </c>
      <c r="AV145" s="23">
        <f>EXP(-LN(2)/25)*AV144+(1-EXP(-LN(2)/25))/(LN(2)/25)*Calculateur!AQ145*Calculateur!AS145*VLOOKUP('Données projet'!$B$10,Paramètres!$A$1:$I$89,3,0)*0.475*44/12</f>
        <v>0.14980698786248647</v>
      </c>
      <c r="AW145" s="23">
        <f>EXP(-LN(2)/2)*AW144+(1-EXP(-LN(2)/2))/(LN(2)/2)*AQ145*AT145*VLOOKUP('Données projet'!$B$10,Paramètres!$A$1:$I$89,3,0)*0.475*44/12</f>
        <v>1.5286641934079131E-14</v>
      </c>
      <c r="AX145" s="23">
        <f t="shared" si="114"/>
        <v>12.053486259176568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69.366725785708169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66.833935615974326</v>
      </c>
      <c r="BJ145" s="62">
        <f t="shared" si="146"/>
        <v>294.79914393693775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6.434973443224866</v>
      </c>
      <c r="BQ145" s="23">
        <f>EXP(-LN(2)/25)*BQ144+(1-EXP(-LN(2)/25))/(LN(2)/25)*Calculateur!BL145*Calculateur!BN145*VLOOKUP('Données projet'!$B$11,Paramètres!$A$1:$I$89,3,0)*0.475*44/12</f>
        <v>0.13546873430047787</v>
      </c>
      <c r="BR145" s="23">
        <f>EXP(-LN(2)/2)*BR144+(1-EXP(-LN(2)/2))/(LN(2)/2)*BL145*BO145*VLOOKUP('Données projet'!$B$11,Paramètres!$A$1:$I$89,3,0)*0.475*44/12</f>
        <v>2.4706146198535121E-18</v>
      </c>
      <c r="BS145" s="24">
        <f t="shared" si="117"/>
        <v>6.5704421775253437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69.366725785708169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69.366725785708169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69.366725785708169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69.366725785708169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69.366725785708169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69.366725785708169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69.366725785708169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1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3.6666666666666665</v>
      </c>
      <c r="H146" s="70">
        <f t="shared" si="110"/>
        <v>232.46666666666667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69.377711677537093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66.513705559911728</v>
      </c>
      <c r="T146" s="62">
        <f t="shared" si="142"/>
        <v>293.21772799887617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6.2703193222485565</v>
      </c>
      <c r="AA146" s="23">
        <f>EXP(-LN(2)/25)*AA145+(1-EXP(-LN(2)/25))/(LN(2)/25)*Calculateur!V146*Calculateur!X146*VLOOKUP('Données projet'!$B$9,Paramètres!$A$1:$I$89,3,0)*0.475*44/12</f>
        <v>0.13096089357218002</v>
      </c>
      <c r="AB146" s="23">
        <f>EXP(-LN(2)/2)*AB145+(1-EXP(-LN(2)/2))/(LN(2)/2)*V146*Y146*VLOOKUP('Données projet'!$B$9,Paramètres!$A$1:$I$89,3,0)*0.475*44/12</f>
        <v>1.7363359834007179E-18</v>
      </c>
      <c r="AC146" s="24">
        <f t="shared" si="111"/>
        <v>6.4012802158207363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69.377711677537093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3.3992364478763198E-14</v>
      </c>
      <c r="AK146" s="14">
        <f t="shared" si="143"/>
        <v>5.790027782444094E-13</v>
      </c>
      <c r="AL146" s="22">
        <f t="shared" si="112"/>
        <v>1.0676332069095257E-12</v>
      </c>
      <c r="AM146" s="62">
        <f t="shared" si="113"/>
        <v>291.05160948430375</v>
      </c>
      <c r="AN146" s="62">
        <f ca="1">AVERAGE(OFFSET($AM$3,0,0,'Données projet'!$E$10+1,1))-AVERAGE(OFFSET($H$3,0,0,'Données projet'!$E$10+1,1))</f>
        <v>210.41468975391527</v>
      </c>
      <c r="AO146" s="62">
        <f t="shared" si="144"/>
        <v>355.1268923221744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11.670255381331033</v>
      </c>
      <c r="AV146" s="23">
        <f>EXP(-LN(2)/25)*AV145+(1-EXP(-LN(2)/25))/(LN(2)/25)*Calculateur!AQ146*Calculateur!AS146*VLOOKUP('Données projet'!$B$10,Paramètres!$A$1:$I$89,3,0)*0.475*44/12</f>
        <v>0.14571050790137968</v>
      </c>
      <c r="AW146" s="23">
        <f>EXP(-LN(2)/2)*AW145+(1-EXP(-LN(2)/2))/(LN(2)/2)*AQ146*AT146*VLOOKUP('Données projet'!$B$10,Paramètres!$A$1:$I$89,3,0)*0.475*44/12</f>
        <v>1.0809288173157994E-14</v>
      </c>
      <c r="AX146" s="23">
        <f t="shared" si="114"/>
        <v>11.815965889232423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69.377711677537093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66.833935615974326</v>
      </c>
      <c r="BJ146" s="62">
        <f t="shared" si="146"/>
        <v>294.79914393693775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6.3087875389494705</v>
      </c>
      <c r="BQ146" s="23">
        <f>EXP(-LN(2)/25)*BQ145+(1-EXP(-LN(2)/25))/(LN(2)/25)*Calculateur!BL146*Calculateur!BN146*VLOOKUP('Données projet'!$B$11,Paramètres!$A$1:$I$89,3,0)*0.475*44/12</f>
        <v>0.13176433463704018</v>
      </c>
      <c r="BR146" s="23">
        <f>EXP(-LN(2)/2)*BR145+(1-EXP(-LN(2)/2))/(LN(2)/2)*BL146*BO146*VLOOKUP('Données projet'!$B$11,Paramètres!$A$1:$I$89,3,0)*0.475*44/12</f>
        <v>1.7469883513970426E-18</v>
      </c>
      <c r="BS146" s="24">
        <f t="shared" si="117"/>
        <v>6.4405518735865108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69.377711677537093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69.377711677537093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69.377711677537093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69.377711677537093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69.377711677537093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69.377711677537093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69.377711677537093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1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3.6666666666666665</v>
      </c>
      <c r="H147" s="70">
        <f t="shared" si="110"/>
        <v>232.46666666666667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69.388506988703554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66.513705559911728</v>
      </c>
      <c r="T147" s="62">
        <f t="shared" si="142"/>
        <v>293.21772799887617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6.1473621848564095</v>
      </c>
      <c r="AA147" s="23">
        <f>EXP(-LN(2)/25)*AA146+(1-EXP(-LN(2)/25))/(LN(2)/25)*Calculateur!V147*Calculateur!X147*VLOOKUP('Données projet'!$B$9,Paramètres!$A$1:$I$89,3,0)*0.475*44/12</f>
        <v>0.12737976105051468</v>
      </c>
      <c r="AB147" s="23">
        <f>EXP(-LN(2)/2)*AB146+(1-EXP(-LN(2)/2))/(LN(2)/2)*V147*Y147*VLOOKUP('Données projet'!$B$9,Paramètres!$A$1:$I$89,3,0)*0.475*44/12</f>
        <v>1.2277749482808602E-18</v>
      </c>
      <c r="AC147" s="24">
        <f t="shared" si="111"/>
        <v>6.274741945906924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69.388506988703554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3.3992364478763198E-14</v>
      </c>
      <c r="AK147" s="14">
        <f t="shared" si="143"/>
        <v>5.790027782444094E-13</v>
      </c>
      <c r="AL147" s="22">
        <f t="shared" si="112"/>
        <v>1.0676332069095257E-12</v>
      </c>
      <c r="AM147" s="62">
        <f t="shared" si="113"/>
        <v>291.09119229191413</v>
      </c>
      <c r="AN147" s="62">
        <f ca="1">AVERAGE(OFFSET($AM$3,0,0,'Données projet'!$E$10+1,1))-AVERAGE(OFFSET($H$3,0,0,'Données projet'!$E$10+1,1))</f>
        <v>210.41468975391527</v>
      </c>
      <c r="AO147" s="62">
        <f t="shared" si="144"/>
        <v>355.1268923221744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11.441408791456055</v>
      </c>
      <c r="AV147" s="23">
        <f>EXP(-LN(2)/25)*AV146+(1-EXP(-LN(2)/25))/(LN(2)/25)*Calculateur!AQ147*Calculateur!AS147*VLOOKUP('Données projet'!$B$10,Paramètres!$A$1:$I$89,3,0)*0.475*44/12</f>
        <v>0.14172604640023387</v>
      </c>
      <c r="AW147" s="23">
        <f>EXP(-LN(2)/2)*AW146+(1-EXP(-LN(2)/2))/(LN(2)/2)*AQ147*AT147*VLOOKUP('Données projet'!$B$10,Paramètres!$A$1:$I$89,3,0)*0.475*44/12</f>
        <v>7.6433209670395655E-15</v>
      </c>
      <c r="AX147" s="23">
        <f t="shared" si="114"/>
        <v>11.583134837856296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69.388506988703554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66.833935615974326</v>
      </c>
      <c r="BJ147" s="62">
        <f t="shared" si="146"/>
        <v>294.79914393693775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6.1850760632911133</v>
      </c>
      <c r="BQ147" s="23">
        <f>EXP(-LN(2)/25)*BQ146+(1-EXP(-LN(2)/25))/(LN(2)/25)*Calculateur!BL147*Calculateur!BN147*VLOOKUP('Données projet'!$B$11,Paramètres!$A$1:$I$89,3,0)*0.475*44/12</f>
        <v>0.12816123197720511</v>
      </c>
      <c r="BR147" s="23">
        <f>EXP(-LN(2)/2)*BR146+(1-EXP(-LN(2)/2))/(LN(2)/2)*BL147*BO147*VLOOKUP('Données projet'!$B$11,Paramètres!$A$1:$I$89,3,0)*0.475*44/12</f>
        <v>1.235307309926756E-18</v>
      </c>
      <c r="BS147" s="24">
        <f t="shared" si="117"/>
        <v>6.3132372952683182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69.388506988703554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69.388506988703554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69.388506988703554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69.388506988703554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69.388506988703554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69.388506988703554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69.388506988703554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1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3.6666666666666665</v>
      </c>
      <c r="H148" s="70">
        <f t="shared" si="110"/>
        <v>232.46666666666667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69.399115025355982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66.513705559911728</v>
      </c>
      <c r="T148" s="62">
        <f t="shared" si="142"/>
        <v>293.21772799887617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6.0268161619320733</v>
      </c>
      <c r="AA148" s="23">
        <f>EXP(-LN(2)/25)*AA147+(1-EXP(-LN(2)/25))/(LN(2)/25)*Calculateur!V148*Calculateur!X148*VLOOKUP('Données projet'!$B$9,Paramètres!$A$1:$I$89,3,0)*0.475*44/12</f>
        <v>0.12389655478597786</v>
      </c>
      <c r="AB148" s="23">
        <f>EXP(-LN(2)/2)*AB147+(1-EXP(-LN(2)/2))/(LN(2)/2)*V148*Y148*VLOOKUP('Données projet'!$B$9,Paramètres!$A$1:$I$89,3,0)*0.475*44/12</f>
        <v>8.6816799170035893E-19</v>
      </c>
      <c r="AC148" s="24">
        <f t="shared" si="111"/>
        <v>6.1507127167180515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69.399115025355982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3.3992364478763198E-14</v>
      </c>
      <c r="AK148" s="14">
        <f t="shared" si="143"/>
        <v>5.790027782444094E-13</v>
      </c>
      <c r="AL148" s="22">
        <f t="shared" si="112"/>
        <v>1.0676332069095257E-12</v>
      </c>
      <c r="AM148" s="62">
        <f t="shared" si="113"/>
        <v>291.13008842630632</v>
      </c>
      <c r="AN148" s="62">
        <f ca="1">AVERAGE(OFFSET($AM$3,0,0,'Données projet'!$E$10+1,1))-AVERAGE(OFFSET($H$3,0,0,'Données projet'!$E$10+1,1))</f>
        <v>210.41468975391527</v>
      </c>
      <c r="AO148" s="62">
        <f t="shared" si="144"/>
        <v>355.1268923221744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11.217049743625889</v>
      </c>
      <c r="AV148" s="23">
        <f>EXP(-LN(2)/25)*AV147+(1-EXP(-LN(2)/25))/(LN(2)/25)*Calculateur!AQ148*Calculateur!AS148*VLOOKUP('Données projet'!$B$10,Paramètres!$A$1:$I$89,3,0)*0.475*44/12</f>
        <v>0.13785054020837062</v>
      </c>
      <c r="AW148" s="23">
        <f>EXP(-LN(2)/2)*AW147+(1-EXP(-LN(2)/2))/(LN(2)/2)*AQ148*AT148*VLOOKUP('Données projet'!$B$10,Paramètres!$A$1:$I$89,3,0)*0.475*44/12</f>
        <v>5.4046440865789969E-15</v>
      </c>
      <c r="AX148" s="23">
        <f t="shared" si="114"/>
        <v>11.354900283834265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69.399115025355982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66.833935615974326</v>
      </c>
      <c r="BJ148" s="62">
        <f t="shared" si="146"/>
        <v>294.79914393693775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6.0637904942138672</v>
      </c>
      <c r="BQ148" s="23">
        <f>EXP(-LN(2)/25)*BQ147+(1-EXP(-LN(2)/25))/(LN(2)/25)*Calculateur!BL148*Calculateur!BN148*VLOOKUP('Données projet'!$B$11,Paramètres!$A$1:$I$89,3,0)*0.475*44/12</f>
        <v>0.12465665634908216</v>
      </c>
      <c r="BR148" s="23">
        <f>EXP(-LN(2)/2)*BR147+(1-EXP(-LN(2)/2))/(LN(2)/2)*BL148*BO148*VLOOKUP('Données projet'!$B$11,Paramètres!$A$1:$I$89,3,0)*0.475*44/12</f>
        <v>8.7349417569852132E-19</v>
      </c>
      <c r="BS148" s="24">
        <f t="shared" si="117"/>
        <v>6.1884471505629497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69.399115025355982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69.399115025355982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69.399115025355982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69.399115025355982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69.399115025355982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69.399115025355982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69.399115025355982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1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3.6666666666666665</v>
      </c>
      <c r="H149" s="70">
        <f t="shared" si="110"/>
        <v>232.46666666666667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69.409539036288507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66.513705559911728</v>
      </c>
      <c r="T149" s="62">
        <f t="shared" si="142"/>
        <v>293.21772799887617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5.9086339729914696</v>
      </c>
      <c r="AA149" s="23">
        <f>EXP(-LN(2)/25)*AA148+(1-EXP(-LN(2)/25))/(LN(2)/25)*Calculateur!V149*Calculateur!X149*VLOOKUP('Données projet'!$B$9,Paramètres!$A$1:$I$89,3,0)*0.475*44/12</f>
        <v>0.12050859697991864</v>
      </c>
      <c r="AB149" s="23">
        <f>EXP(-LN(2)/2)*AB148+(1-EXP(-LN(2)/2))/(LN(2)/2)*V149*Y149*VLOOKUP('Données projet'!$B$9,Paramètres!$A$1:$I$89,3,0)*0.475*44/12</f>
        <v>6.1388747414043011E-19</v>
      </c>
      <c r="AC149" s="24">
        <f t="shared" si="111"/>
        <v>6.0291425699713885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69.409539036288507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3.3992364478763198E-14</v>
      </c>
      <c r="AK149" s="14">
        <f t="shared" si="143"/>
        <v>5.790027782444094E-13</v>
      </c>
      <c r="AL149" s="22">
        <f t="shared" si="112"/>
        <v>1.0676332069095257E-12</v>
      </c>
      <c r="AM149" s="62">
        <f t="shared" si="113"/>
        <v>291.16830979972559</v>
      </c>
      <c r="AN149" s="62">
        <f ca="1">AVERAGE(OFFSET($AM$3,0,0,'Données projet'!$E$10+1,1))-AVERAGE(OFFSET($H$3,0,0,'Données projet'!$E$10+1,1))</f>
        <v>210.41468975391527</v>
      </c>
      <c r="AO149" s="62">
        <f t="shared" si="144"/>
        <v>355.1268923221744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10.997090239878165</v>
      </c>
      <c r="AV149" s="23">
        <f>EXP(-LN(2)/25)*AV148+(1-EXP(-LN(2)/25))/(LN(2)/25)*Calculateur!AQ149*Calculateur!AS149*VLOOKUP('Données projet'!$B$10,Paramètres!$A$1:$I$89,3,0)*0.475*44/12</f>
        <v>0.13408100993712788</v>
      </c>
      <c r="AW149" s="23">
        <f>EXP(-LN(2)/2)*AW148+(1-EXP(-LN(2)/2))/(LN(2)/2)*AQ149*AT149*VLOOKUP('Données projet'!$B$10,Paramètres!$A$1:$I$89,3,0)*0.475*44/12</f>
        <v>3.8216604835197828E-15</v>
      </c>
      <c r="AX149" s="23">
        <f t="shared" si="114"/>
        <v>11.131171249815297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69.409539036288507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66.833935615974326</v>
      </c>
      <c r="BJ149" s="62">
        <f t="shared" si="146"/>
        <v>294.79914393693775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5.9448832611693332</v>
      </c>
      <c r="BQ149" s="23">
        <f>EXP(-LN(2)/25)*BQ148+(1-EXP(-LN(2)/25))/(LN(2)/25)*Calculateur!BL149*Calculateur!BN149*VLOOKUP('Données projet'!$B$11,Paramètres!$A$1:$I$89,3,0)*0.475*44/12</f>
        <v>0.12124791352580785</v>
      </c>
      <c r="BR149" s="23">
        <f>EXP(-LN(2)/2)*BR148+(1-EXP(-LN(2)/2))/(LN(2)/2)*BL149*BO149*VLOOKUP('Données projet'!$B$11,Paramètres!$A$1:$I$89,3,0)*0.475*44/12</f>
        <v>6.1765365496337801E-19</v>
      </c>
      <c r="BS149" s="24">
        <f t="shared" si="117"/>
        <v>6.0661311746951414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69.409539036288507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69.409539036288507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69.409539036288507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69.409539036288507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69.409539036288507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69.409539036288507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69.409539036288507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1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3.6666666666666665</v>
      </c>
      <c r="H150" s="70">
        <f t="shared" si="110"/>
        <v>232.46666666666667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69.419782213935946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66.513705559911728</v>
      </c>
      <c r="T150" s="62">
        <f t="shared" si="142"/>
        <v>293.21772799887617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5.792769264691974</v>
      </c>
      <c r="AA150" s="23">
        <f>EXP(-LN(2)/25)*AA149+(1-EXP(-LN(2)/25))/(LN(2)/25)*Calculateur!V150*Calculateur!X150*VLOOKUP('Données projet'!$B$9,Paramètres!$A$1:$I$89,3,0)*0.475*44/12</f>
        <v>0.11721328305823107</v>
      </c>
      <c r="AB150" s="23">
        <f>EXP(-LN(2)/2)*AB149+(1-EXP(-LN(2)/2))/(LN(2)/2)*V150*Y150*VLOOKUP('Données projet'!$B$9,Paramètres!$A$1:$I$89,3,0)*0.475*44/12</f>
        <v>4.3408399585017947E-19</v>
      </c>
      <c r="AC150" s="24">
        <f t="shared" si="111"/>
        <v>5.9099825477502046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69.419782213935946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3.3992364478763198E-14</v>
      </c>
      <c r="AK150" s="14">
        <f t="shared" si="143"/>
        <v>5.790027782444094E-13</v>
      </c>
      <c r="AL150" s="22">
        <f t="shared" si="112"/>
        <v>1.0676332069095257E-12</v>
      </c>
      <c r="AM150" s="62">
        <f t="shared" si="113"/>
        <v>291.20586811776622</v>
      </c>
      <c r="AN150" s="62">
        <f ca="1">AVERAGE(OFFSET($AM$3,0,0,'Données projet'!$E$10+1,1))-AVERAGE(OFFSET($H$3,0,0,'Données projet'!$E$10+1,1))</f>
        <v>210.41468975391527</v>
      </c>
      <c r="AO150" s="62">
        <f t="shared" si="144"/>
        <v>355.1268923221744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10.781444007836884</v>
      </c>
      <c r="AV150" s="23">
        <f>EXP(-LN(2)/25)*AV149+(1-EXP(-LN(2)/25))/(LN(2)/25)*Calculateur!AQ150*Calculateur!AS150*VLOOKUP('Données projet'!$B$10,Paramètres!$A$1:$I$89,3,0)*0.475*44/12</f>
        <v>0.13041455766938326</v>
      </c>
      <c r="AW150" s="23">
        <f>EXP(-LN(2)/2)*AW149+(1-EXP(-LN(2)/2))/(LN(2)/2)*AQ150*AT150*VLOOKUP('Données projet'!$B$10,Paramètres!$A$1:$I$89,3,0)*0.475*44/12</f>
        <v>2.7023220432894984E-15</v>
      </c>
      <c r="AX150" s="23">
        <f t="shared" si="114"/>
        <v>10.91185856550627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69.419782213935946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66.833935615974326</v>
      </c>
      <c r="BJ150" s="62">
        <f t="shared" si="146"/>
        <v>294.79914393693775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5.8283077264385517</v>
      </c>
      <c r="BQ150" s="23">
        <f>EXP(-LN(2)/25)*BQ149+(1-EXP(-LN(2)/25))/(LN(2)/25)*Calculateur!BL150*Calculateur!BN150*VLOOKUP('Données projet'!$B$11,Paramètres!$A$1:$I$89,3,0)*0.475*44/12</f>
        <v>0.11793238295429398</v>
      </c>
      <c r="BR150" s="23">
        <f>EXP(-LN(2)/2)*BR149+(1-EXP(-LN(2)/2))/(LN(2)/2)*BL150*BO150*VLOOKUP('Données projet'!$B$11,Paramètres!$A$1:$I$89,3,0)*0.475*44/12</f>
        <v>4.3674708784926066E-19</v>
      </c>
      <c r="BS150" s="24">
        <f t="shared" si="117"/>
        <v>5.9462401093928454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69.419782213935946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69.419782213935946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69.419782213935946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69.419782213935946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69.419782213935946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69.419782213935946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69.419782213935946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1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3.6666666666666665</v>
      </c>
      <c r="H151" s="70">
        <f t="shared" si="110"/>
        <v>232.46666666666667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69.429847695351512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66.513705559911728</v>
      </c>
      <c r="T151" s="62">
        <f t="shared" si="142"/>
        <v>293.21772799887617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5.6791765926517375</v>
      </c>
      <c r="AA151" s="23">
        <f>EXP(-LN(2)/25)*AA150+(1-EXP(-LN(2)/25))/(LN(2)/25)*Calculateur!V151*Calculateur!X151*VLOOKUP('Données projet'!$B$9,Paramètres!$A$1:$I$89,3,0)*0.475*44/12</f>
        <v>0.11400807966902508</v>
      </c>
      <c r="AB151" s="23">
        <f>EXP(-LN(2)/2)*AB150+(1-EXP(-LN(2)/2))/(LN(2)/2)*V151*Y151*VLOOKUP('Données projet'!$B$9,Paramètres!$A$1:$I$89,3,0)*0.475*44/12</f>
        <v>3.0694373707021506E-19</v>
      </c>
      <c r="AC151" s="24">
        <f t="shared" si="111"/>
        <v>5.7931846723207627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69.429847695351512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3.3992364478763198E-14</v>
      </c>
      <c r="AK151" s="14">
        <f t="shared" si="143"/>
        <v>5.790027782444094E-13</v>
      </c>
      <c r="AL151" s="22">
        <f t="shared" si="112"/>
        <v>1.0676332069095257E-12</v>
      </c>
      <c r="AM151" s="62">
        <f t="shared" si="113"/>
        <v>291.24277488295661</v>
      </c>
      <c r="AN151" s="62">
        <f ca="1">AVERAGE(OFFSET($AM$3,0,0,'Données projet'!$E$10+1,1))-AVERAGE(OFFSET($H$3,0,0,'Données projet'!$E$10+1,1))</f>
        <v>210.41468975391527</v>
      </c>
      <c r="AO151" s="62">
        <f t="shared" si="144"/>
        <v>355.1268923221744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10.570026466874719</v>
      </c>
      <c r="AV151" s="23">
        <f>EXP(-LN(2)/25)*AV150+(1-EXP(-LN(2)/25))/(LN(2)/25)*Calculateur!AQ151*Calculateur!AS151*VLOOKUP('Données projet'!$B$10,Paramètres!$A$1:$I$89,3,0)*0.475*44/12</f>
        <v>0.12684836473171046</v>
      </c>
      <c r="AW151" s="23">
        <f>EXP(-LN(2)/2)*AW150+(1-EXP(-LN(2)/2))/(LN(2)/2)*AQ151*AT151*VLOOKUP('Données projet'!$B$10,Paramètres!$A$1:$I$89,3,0)*0.475*44/12</f>
        <v>1.9108302417598914E-15</v>
      </c>
      <c r="AX151" s="23">
        <f t="shared" si="114"/>
        <v>10.696874831606431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69.429847695351512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66.833935615974326</v>
      </c>
      <c r="BJ151" s="62">
        <f t="shared" si="146"/>
        <v>294.79914393693775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5.7140181668397858</v>
      </c>
      <c r="BQ151" s="23">
        <f>EXP(-LN(2)/25)*BQ150+(1-EXP(-LN(2)/25))/(LN(2)/25)*Calculateur!BL151*Calculateur!BN151*VLOOKUP('Données projet'!$B$11,Paramètres!$A$1:$I$89,3,0)*0.475*44/12</f>
        <v>0.11470751574061433</v>
      </c>
      <c r="BR151" s="23">
        <f>EXP(-LN(2)/2)*BR150+(1-EXP(-LN(2)/2))/(LN(2)/2)*BL151*BO151*VLOOKUP('Données projet'!$B$11,Paramètres!$A$1:$I$89,3,0)*0.475*44/12</f>
        <v>3.0882682748168901E-19</v>
      </c>
      <c r="BS151" s="24">
        <f t="shared" si="117"/>
        <v>5.8287256825803997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69.429847695351512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69.429847695351512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69.429847695351512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69.429847695351512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69.429847695351512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69.429847695351512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69.429847695351512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1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3.6666666666666665</v>
      </c>
      <c r="H152" s="70">
        <f t="shared" si="110"/>
        <v>232.46666666666667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69.439738563167566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66.513705559911728</v>
      </c>
      <c r="T152" s="62">
        <f t="shared" si="142"/>
        <v>293.21772799887617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5.5678114036255213</v>
      </c>
      <c r="AA152" s="23">
        <f>EXP(-LN(2)/25)*AA151+(1-EXP(-LN(2)/25))/(LN(2)/25)*Calculateur!V152*Calculateur!X152*VLOOKUP('Données projet'!$B$9,Paramètres!$A$1:$I$89,3,0)*0.475*44/12</f>
        <v>0.11089052273505125</v>
      </c>
      <c r="AB152" s="23">
        <f>EXP(-LN(2)/2)*AB151+(1-EXP(-LN(2)/2))/(LN(2)/2)*V152*Y152*VLOOKUP('Données projet'!$B$9,Paramètres!$A$1:$I$89,3,0)*0.475*44/12</f>
        <v>2.1704199792508973E-19</v>
      </c>
      <c r="AC152" s="24">
        <f t="shared" si="111"/>
        <v>5.6787019263605725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69.439738563167566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3.3992364478763198E-14</v>
      </c>
      <c r="AK152" s="14">
        <f t="shared" si="143"/>
        <v>5.790027782444094E-13</v>
      </c>
      <c r="AL152" s="22">
        <f t="shared" si="112"/>
        <v>1.0676332069095257E-12</v>
      </c>
      <c r="AM152" s="62">
        <f t="shared" si="113"/>
        <v>291.27904139828217</v>
      </c>
      <c r="AN152" s="62">
        <f ca="1">AVERAGE(OFFSET($AM$3,0,0,'Données projet'!$E$10+1,1))-AVERAGE(OFFSET($H$3,0,0,'Données projet'!$E$10+1,1))</f>
        <v>210.41468975391527</v>
      </c>
      <c r="AO152" s="62">
        <f t="shared" si="144"/>
        <v>355.1268923221744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10.362754694938854</v>
      </c>
      <c r="AV152" s="23">
        <f>EXP(-LN(2)/25)*AV151+(1-EXP(-LN(2)/25))/(LN(2)/25)*Calculateur!AQ152*Calculateur!AS152*VLOOKUP('Données projet'!$B$10,Paramètres!$A$1:$I$89,3,0)*0.475*44/12</f>
        <v>0.12337968952745626</v>
      </c>
      <c r="AW152" s="23">
        <f>EXP(-LN(2)/2)*AW151+(1-EXP(-LN(2)/2))/(LN(2)/2)*AQ152*AT152*VLOOKUP('Données projet'!$B$10,Paramètres!$A$1:$I$89,3,0)*0.475*44/12</f>
        <v>1.3511610216447492E-15</v>
      </c>
      <c r="AX152" s="23">
        <f t="shared" si="114"/>
        <v>10.486134384466311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69.439738563167566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66.833935615974326</v>
      </c>
      <c r="BJ152" s="62">
        <f t="shared" si="146"/>
        <v>294.79914393693775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5.6019697557950039</v>
      </c>
      <c r="BQ152" s="23">
        <f>EXP(-LN(2)/25)*BQ151+(1-EXP(-LN(2)/25))/(LN(2)/25)*Calculateur!BL152*Calculateur!BN152*VLOOKUP('Données projet'!$B$11,Paramètres!$A$1:$I$89,3,0)*0.475*44/12</f>
        <v>0.11157083269048114</v>
      </c>
      <c r="BR152" s="23">
        <f>EXP(-LN(2)/2)*BR151+(1-EXP(-LN(2)/2))/(LN(2)/2)*BL152*BO152*VLOOKUP('Données projet'!$B$11,Paramètres!$A$1:$I$89,3,0)*0.475*44/12</f>
        <v>2.1837354392463033E-19</v>
      </c>
      <c r="BS152" s="24">
        <f t="shared" si="117"/>
        <v>5.7135405884854853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69.439738563167566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69.439738563167566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69.439738563167566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69.439738563167566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69.439738563167566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69.439738563167566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69.439738563167566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1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3.6666666666666665</v>
      </c>
      <c r="H153" s="70">
        <f t="shared" si="110"/>
        <v>232.46666666666667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69.449457846539687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66.513705559911728</v>
      </c>
      <c r="T153" s="62">
        <f t="shared" si="142"/>
        <v>293.21772799887617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5.4586300180300507</v>
      </c>
      <c r="AA153" s="23">
        <f>EXP(-LN(2)/25)*AA152+(1-EXP(-LN(2)/25))/(LN(2)/25)*Calculateur!V153*Calculateur!X153*VLOOKUP('Données projet'!$B$9,Paramètres!$A$1:$I$89,3,0)*0.475*44/12</f>
        <v>0.10785821555938212</v>
      </c>
      <c r="AB153" s="23">
        <f>EXP(-LN(2)/2)*AB152+(1-EXP(-LN(2)/2))/(LN(2)/2)*V153*Y153*VLOOKUP('Données projet'!$B$9,Paramètres!$A$1:$I$89,3,0)*0.475*44/12</f>
        <v>1.5347186853510753E-19</v>
      </c>
      <c r="AC153" s="24">
        <f t="shared" si="111"/>
        <v>5.5664882335894328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69.449457846539687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3.3992364478763198E-14</v>
      </c>
      <c r="AK153" s="14">
        <f t="shared" si="143"/>
        <v>5.790027782444094E-13</v>
      </c>
      <c r="AL153" s="22">
        <f t="shared" si="112"/>
        <v>1.0676332069095257E-12</v>
      </c>
      <c r="AM153" s="62">
        <f t="shared" si="113"/>
        <v>291.31467877064659</v>
      </c>
      <c r="AN153" s="62">
        <f ca="1">AVERAGE(OFFSET($AM$3,0,0,'Données projet'!$E$10+1,1))-AVERAGE(OFFSET($H$3,0,0,'Données projet'!$E$10+1,1))</f>
        <v>210.41468975391527</v>
      </c>
      <c r="AO153" s="62">
        <f t="shared" si="144"/>
        <v>355.1268923221744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10.159547396027353</v>
      </c>
      <c r="AV153" s="23">
        <f>EXP(-LN(2)/25)*AV152+(1-EXP(-LN(2)/25))/(LN(2)/25)*Calculateur!AQ153*Calculateur!AS153*VLOOKUP('Données projet'!$B$10,Paramètres!$A$1:$I$89,3,0)*0.475*44/12</f>
        <v>0.12000586542907209</v>
      </c>
      <c r="AW153" s="23">
        <f>EXP(-LN(2)/2)*AW152+(1-EXP(-LN(2)/2))/(LN(2)/2)*AQ153*AT153*VLOOKUP('Données projet'!$B$10,Paramètres!$A$1:$I$89,3,0)*0.475*44/12</f>
        <v>9.5541512087994569E-16</v>
      </c>
      <c r="AX153" s="23">
        <f t="shared" si="114"/>
        <v>10.279553261456426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69.449457846539687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66.833935615974326</v>
      </c>
      <c r="BJ153" s="62">
        <f t="shared" si="146"/>
        <v>294.79914393693775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5.4921185457480277</v>
      </c>
      <c r="BQ153" s="23">
        <f>EXP(-LN(2)/25)*BQ152+(1-EXP(-LN(2)/25))/(LN(2)/25)*Calculateur!BL153*Calculateur!BN153*VLOOKUP('Données projet'!$B$11,Paramètres!$A$1:$I$89,3,0)*0.475*44/12</f>
        <v>0.10851992240330484</v>
      </c>
      <c r="BR153" s="23">
        <f>EXP(-LN(2)/2)*BR152+(1-EXP(-LN(2)/2))/(LN(2)/2)*BL153*BO153*VLOOKUP('Données projet'!$B$11,Paramètres!$A$1:$I$89,3,0)*0.475*44/12</f>
        <v>1.544134137408445E-19</v>
      </c>
      <c r="BS153" s="24">
        <f t="shared" si="117"/>
        <v>5.6006384681513328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69.449457846539687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69.449457846539687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69.449457846539687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69.449457846539687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69.449457846539687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69.449457846539687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69.449457846539687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1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3.6666666666666665</v>
      </c>
      <c r="H154" s="70">
        <f t="shared" si="110"/>
        <v>232.46666666666667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69.459008522074356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66.513705559911728</v>
      </c>
      <c r="T154" s="62">
        <f t="shared" si="142"/>
        <v>293.21772799887617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5.3515896128120382</v>
      </c>
      <c r="AA154" s="23">
        <f>EXP(-LN(2)/25)*AA153+(1-EXP(-LN(2)/25))/(LN(2)/25)*Calculateur!V154*Calculateur!X154*VLOOKUP('Données projet'!$B$9,Paramètres!$A$1:$I$89,3,0)*0.475*44/12</f>
        <v>0.10490882698289378</v>
      </c>
      <c r="AB154" s="23">
        <f>EXP(-LN(2)/2)*AB153+(1-EXP(-LN(2)/2))/(LN(2)/2)*V154*Y154*VLOOKUP('Données projet'!$B$9,Paramètres!$A$1:$I$89,3,0)*0.475*44/12</f>
        <v>1.0852099896254487E-19</v>
      </c>
      <c r="AC154" s="24">
        <f t="shared" ref="AC154:AC203" si="163">SUM(Z154:AB154)</f>
        <v>5.4564984397949319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69.459008522074356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3.3992364478763198E-14</v>
      </c>
      <c r="AK154" s="14">
        <f t="shared" ref="AK154:AK203" si="164">EXP(-1.0587+0.8836*LN(AJ154)+0.284)</f>
        <v>5.790027782444094E-13</v>
      </c>
      <c r="AL154" s="22">
        <f t="shared" ref="AL154:AL203" si="165">(AJ154+AK154)*0.475*44/12</f>
        <v>1.0676332069095257E-12</v>
      </c>
      <c r="AM154" s="62">
        <f t="shared" si="113"/>
        <v>291.34969791427375</v>
      </c>
      <c r="AN154" s="62">
        <f ca="1">AVERAGE(OFFSET($AM$3,0,0,'Données projet'!$E$10+1,1))-AVERAGE(OFFSET($H$3,0,0,'Données projet'!$E$10+1,1))</f>
        <v>210.41468975391527</v>
      </c>
      <c r="AO154" s="62">
        <f t="shared" si="144"/>
        <v>355.1268923221744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9.9603248683032941</v>
      </c>
      <c r="AV154" s="23">
        <f>EXP(-LN(2)/25)*AV153+(1-EXP(-LN(2)/25))/(LN(2)/25)*Calculateur!AQ154*Calculateur!AS154*VLOOKUP('Données projet'!$B$10,Paramètres!$A$1:$I$89,3,0)*0.475*44/12</f>
        <v>0.11672429872807992</v>
      </c>
      <c r="AW154" s="23">
        <f>EXP(-LN(2)/2)*AW153+(1-EXP(-LN(2)/2))/(LN(2)/2)*AQ154*AT154*VLOOKUP('Données projet'!$B$10,Paramètres!$A$1:$I$89,3,0)*0.475*44/12</f>
        <v>6.7558051082237461E-16</v>
      </c>
      <c r="AX154" s="23">
        <f t="shared" ref="AX154:AX203" si="166">SUM(AU154:AW154)</f>
        <v>10.077049167031374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69.459008522074356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66.833935615974326</v>
      </c>
      <c r="BJ154" s="62">
        <f t="shared" si="146"/>
        <v>294.79914393693775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5.3844214509274506</v>
      </c>
      <c r="BQ154" s="23">
        <f>EXP(-LN(2)/25)*BQ153+(1-EXP(-LN(2)/25))/(LN(2)/25)*Calculateur!BL154*Calculateur!BN154*VLOOKUP('Données projet'!$B$11,Paramètres!$A$1:$I$89,3,0)*0.475*44/12</f>
        <v>0.10555243941837178</v>
      </c>
      <c r="BR154" s="23">
        <f>EXP(-LN(2)/2)*BR153+(1-EXP(-LN(2)/2))/(LN(2)/2)*BL154*BO154*VLOOKUP('Données projet'!$B$11,Paramètres!$A$1:$I$89,3,0)*0.475*44/12</f>
        <v>1.0918677196231516E-19</v>
      </c>
      <c r="BS154" s="24">
        <f t="shared" ref="BS154:BS203" si="169">SUM(BP154:BR154)</f>
        <v>5.4899738903458228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69.459008522074356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69.459008522074356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69.459008522074356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69.459008522074356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69.459008522074356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69.459008522074356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69.459008522074356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1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3.6666666666666665</v>
      </c>
      <c r="H155" s="70">
        <f t="shared" si="110"/>
        <v>232.46666666666667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69.468393514740626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66.513705559911728</v>
      </c>
      <c r="T155" s="62">
        <f t="shared" si="142"/>
        <v>293.21772799887617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5.2466482046521499</v>
      </c>
      <c r="AA155" s="23">
        <f>EXP(-LN(2)/25)*AA154+(1-EXP(-LN(2)/25))/(LN(2)/25)*Calculateur!V155*Calculateur!X155*VLOOKUP('Données projet'!$B$9,Paramètres!$A$1:$I$89,3,0)*0.475*44/12</f>
        <v>0.10204008959213111</v>
      </c>
      <c r="AB155" s="23">
        <f>EXP(-LN(2)/2)*AB154+(1-EXP(-LN(2)/2))/(LN(2)/2)*V155*Y155*VLOOKUP('Données projet'!$B$9,Paramètres!$A$1:$I$89,3,0)*0.475*44/12</f>
        <v>7.6735934267553764E-20</v>
      </c>
      <c r="AC155" s="24">
        <f t="shared" si="163"/>
        <v>5.3486882942442806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69.468393514740626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3.3992364478763198E-14</v>
      </c>
      <c r="AK155" s="14">
        <f t="shared" si="164"/>
        <v>5.790027782444094E-13</v>
      </c>
      <c r="AL155" s="22">
        <f t="shared" si="165"/>
        <v>1.0676332069095257E-12</v>
      </c>
      <c r="AM155" s="62">
        <f t="shared" si="113"/>
        <v>291.38410955405004</v>
      </c>
      <c r="AN155" s="62">
        <f ca="1">AVERAGE(OFFSET($AM$3,0,0,'Données projet'!$E$10+1,1))-AVERAGE(OFFSET($H$3,0,0,'Données projet'!$E$10+1,1))</f>
        <v>210.41468975391527</v>
      </c>
      <c r="AO155" s="62">
        <f t="shared" si="144"/>
        <v>355.1268923221744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9.7650089728341598</v>
      </c>
      <c r="AV155" s="23">
        <f>EXP(-LN(2)/25)*AV154+(1-EXP(-LN(2)/25))/(LN(2)/25)*Calculateur!AQ155*Calculateur!AS155*VLOOKUP('Données projet'!$B$10,Paramètres!$A$1:$I$89,3,0)*0.475*44/12</f>
        <v>0.11353246664109648</v>
      </c>
      <c r="AW155" s="23">
        <f>EXP(-LN(2)/2)*AW154+(1-EXP(-LN(2)/2))/(LN(2)/2)*AQ155*AT155*VLOOKUP('Données projet'!$B$10,Paramètres!$A$1:$I$89,3,0)*0.475*44/12</f>
        <v>4.7770756043997284E-16</v>
      </c>
      <c r="AX155" s="23">
        <f t="shared" si="166"/>
        <v>9.8785414394752564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69.468393514740626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66.833935615974326</v>
      </c>
      <c r="BJ155" s="62">
        <f t="shared" si="146"/>
        <v>294.79914393693775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5.2788362304475633</v>
      </c>
      <c r="BQ155" s="23">
        <f>EXP(-LN(2)/25)*BQ154+(1-EXP(-LN(2)/25))/(LN(2)/25)*Calculateur!BL155*Calculateur!BN155*VLOOKUP('Données projet'!$B$11,Paramètres!$A$1:$I$89,3,0)*0.475*44/12</f>
        <v>0.10266610241171485</v>
      </c>
      <c r="BR155" s="23">
        <f>EXP(-LN(2)/2)*BR154+(1-EXP(-LN(2)/2))/(LN(2)/2)*BL155*BO155*VLOOKUP('Données projet'!$B$11,Paramètres!$A$1:$I$89,3,0)*0.475*44/12</f>
        <v>7.7206706870422252E-20</v>
      </c>
      <c r="BS155" s="24">
        <f t="shared" si="169"/>
        <v>5.3815023328592781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69.468393514740626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69.468393514740626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69.468393514740626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69.468393514740626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69.468393514740626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69.468393514740626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69.468393514740626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1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3.6666666666666665</v>
      </c>
      <c r="H156" s="70">
        <f t="shared" si="110"/>
        <v>232.46666666666667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69.477615698765817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66.513705559911728</v>
      </c>
      <c r="T156" s="62">
        <f t="shared" si="142"/>
        <v>293.21772799887617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5.1437646334983382</v>
      </c>
      <c r="AA156" s="23">
        <f>EXP(-LN(2)/25)*AA155+(1-EXP(-LN(2)/25))/(LN(2)/25)*Calculateur!V156*Calculateur!X156*VLOOKUP('Données projet'!$B$9,Paramètres!$A$1:$I$89,3,0)*0.475*44/12</f>
        <v>9.9249797976179194E-2</v>
      </c>
      <c r="AB156" s="23">
        <f>EXP(-LN(2)/2)*AB155+(1-EXP(-LN(2)/2))/(LN(2)/2)*V156*Y156*VLOOKUP('Données projet'!$B$9,Paramètres!$A$1:$I$89,3,0)*0.475*44/12</f>
        <v>5.4260499481272433E-20</v>
      </c>
      <c r="AC156" s="24">
        <f t="shared" si="163"/>
        <v>5.2430144314745171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69.477615698765817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3.3992364478763198E-14</v>
      </c>
      <c r="AK156" s="14">
        <f t="shared" si="164"/>
        <v>5.790027782444094E-13</v>
      </c>
      <c r="AL156" s="22">
        <f t="shared" si="165"/>
        <v>1.0676332069095257E-12</v>
      </c>
      <c r="AM156" s="62">
        <f t="shared" si="113"/>
        <v>291.41792422880906</v>
      </c>
      <c r="AN156" s="62">
        <f ca="1">AVERAGE(OFFSET($AM$3,0,0,'Données projet'!$E$10+1,1))-AVERAGE(OFFSET($H$3,0,0,'Données projet'!$E$10+1,1))</f>
        <v>210.41468975391527</v>
      </c>
      <c r="AO156" s="62">
        <f t="shared" si="144"/>
        <v>355.1268923221744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9.5735231029442431</v>
      </c>
      <c r="AV156" s="23">
        <f>EXP(-LN(2)/25)*AV155+(1-EXP(-LN(2)/25))/(LN(2)/25)*Calculateur!AQ156*Calculateur!AS156*VLOOKUP('Données projet'!$B$10,Paramètres!$A$1:$I$89,3,0)*0.475*44/12</f>
        <v>0.11042791537038275</v>
      </c>
      <c r="AW156" s="23">
        <f>EXP(-LN(2)/2)*AW155+(1-EXP(-LN(2)/2))/(LN(2)/2)*AQ156*AT156*VLOOKUP('Données projet'!$B$10,Paramètres!$A$1:$I$89,3,0)*0.475*44/12</f>
        <v>3.377902554111873E-16</v>
      </c>
      <c r="AX156" s="23">
        <f t="shared" si="166"/>
        <v>9.6839510183146267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69.477615698765817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66.833935615974326</v>
      </c>
      <c r="BJ156" s="62">
        <f t="shared" si="146"/>
        <v>294.79914393693775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5.175321471740661</v>
      </c>
      <c r="BQ156" s="23">
        <f>EXP(-LN(2)/25)*BQ155+(1-EXP(-LN(2)/25))/(LN(2)/25)*Calculateur!BL156*Calculateur!BN156*VLOOKUP('Données projet'!$B$11,Paramètres!$A$1:$I$89,3,0)*0.475*44/12</f>
        <v>9.9858692442290828E-2</v>
      </c>
      <c r="BR156" s="23">
        <f>EXP(-LN(2)/2)*BR155+(1-EXP(-LN(2)/2))/(LN(2)/2)*BL156*BO156*VLOOKUP('Données projet'!$B$11,Paramètres!$A$1:$I$89,3,0)*0.475*44/12</f>
        <v>5.4593385981157582E-20</v>
      </c>
      <c r="BS156" s="24">
        <f t="shared" si="169"/>
        <v>5.2751801641829514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69.477615698765817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69.477615698765817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69.477615698765817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69.477615698765817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69.477615698765817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69.477615698765817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69.477615698765817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1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3.6666666666666665</v>
      </c>
      <c r="H157" s="70">
        <f t="shared" si="110"/>
        <v>232.46666666666667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69.486677898515893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66.513705559911728</v>
      </c>
      <c r="T157" s="62">
        <f t="shared" si="142"/>
        <v>293.21772799887617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5.0428985464220712</v>
      </c>
      <c r="AA157" s="23">
        <f>EXP(-LN(2)/25)*AA156+(1-EXP(-LN(2)/25))/(LN(2)/25)*Calculateur!V157*Calculateur!X157*VLOOKUP('Données projet'!$B$9,Paramètres!$A$1:$I$89,3,0)*0.475*44/12</f>
        <v>9.6535807031200543E-2</v>
      </c>
      <c r="AB157" s="23">
        <f>EXP(-LN(2)/2)*AB156+(1-EXP(-LN(2)/2))/(LN(2)/2)*V157*Y157*VLOOKUP('Données projet'!$B$9,Paramètres!$A$1:$I$89,3,0)*0.475*44/12</f>
        <v>3.8367967133776882E-20</v>
      </c>
      <c r="AC157" s="24">
        <f t="shared" si="163"/>
        <v>5.1394343534532716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69.486677898515893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3.3992364478763198E-14</v>
      </c>
      <c r="AK157" s="14">
        <f t="shared" si="164"/>
        <v>5.790027782444094E-13</v>
      </c>
      <c r="AL157" s="22">
        <f t="shared" si="165"/>
        <v>1.0676332069095257E-12</v>
      </c>
      <c r="AM157" s="62">
        <f t="shared" si="113"/>
        <v>291.45115229455939</v>
      </c>
      <c r="AN157" s="62">
        <f ca="1">AVERAGE(OFFSET($AM$3,0,0,'Données projet'!$E$10+1,1))-AVERAGE(OFFSET($H$3,0,0,'Données projet'!$E$10+1,1))</f>
        <v>210.41468975391527</v>
      </c>
      <c r="AO157" s="62">
        <f t="shared" si="144"/>
        <v>355.1268923221744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9.3857921541680192</v>
      </c>
      <c r="AV157" s="23">
        <f>EXP(-LN(2)/25)*AV156+(1-EXP(-LN(2)/25))/(LN(2)/25)*Calculateur!AQ157*Calculateur!AS157*VLOOKUP('Données projet'!$B$10,Paramètres!$A$1:$I$89,3,0)*0.475*44/12</f>
        <v>0.10740825821742796</v>
      </c>
      <c r="AW157" s="23">
        <f>EXP(-LN(2)/2)*AW156+(1-EXP(-LN(2)/2))/(LN(2)/2)*AQ157*AT157*VLOOKUP('Données projet'!$B$10,Paramètres!$A$1:$I$89,3,0)*0.475*44/12</f>
        <v>2.3885378021998642E-16</v>
      </c>
      <c r="AX157" s="23">
        <f t="shared" si="166"/>
        <v>9.4932004123854465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69.486677898515893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66.833935615974326</v>
      </c>
      <c r="BJ157" s="62">
        <f t="shared" si="146"/>
        <v>294.79914393693775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5.0738365743142326</v>
      </c>
      <c r="BQ157" s="23">
        <f>EXP(-LN(2)/25)*BQ156+(1-EXP(-LN(2)/25))/(LN(2)/25)*Calculateur!BL157*Calculateur!BN157*VLOOKUP('Données projet'!$B$11,Paramètres!$A$1:$I$89,3,0)*0.475*44/12</f>
        <v>9.7128051246115982E-2</v>
      </c>
      <c r="BR157" s="23">
        <f>EXP(-LN(2)/2)*BR156+(1-EXP(-LN(2)/2))/(LN(2)/2)*BL157*BO157*VLOOKUP('Données projet'!$B$11,Paramètres!$A$1:$I$89,3,0)*0.475*44/12</f>
        <v>3.8603353435211126E-20</v>
      </c>
      <c r="BS157" s="24">
        <f t="shared" si="169"/>
        <v>5.170964625560349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69.486677898515893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69.486677898515893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69.486677898515893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69.486677898515893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69.486677898515893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69.486677898515893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69.486677898515893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1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3.6666666666666665</v>
      </c>
      <c r="H158" s="70">
        <f t="shared" si="110"/>
        <v>232.46666666666667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69.49558288936035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66.513705559911728</v>
      </c>
      <c r="T158" s="62">
        <f t="shared" si="142"/>
        <v>293.21772799887617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4.9440103817911316</v>
      </c>
      <c r="AA158" s="23">
        <f>EXP(-LN(2)/25)*AA157+(1-EXP(-LN(2)/25))/(LN(2)/25)*Calculateur!V158*Calculateur!X158*VLOOKUP('Données projet'!$B$9,Paramètres!$A$1:$I$89,3,0)*0.475*44/12</f>
        <v>9.3896030311334908E-2</v>
      </c>
      <c r="AB158" s="23">
        <f>EXP(-LN(2)/2)*AB157+(1-EXP(-LN(2)/2))/(LN(2)/2)*V158*Y158*VLOOKUP('Données projet'!$B$9,Paramètres!$A$1:$I$89,3,0)*0.475*44/12</f>
        <v>2.7130249740636217E-20</v>
      </c>
      <c r="AC158" s="24">
        <f t="shared" si="163"/>
        <v>5.0379064121024664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69.49558288936035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3.3992364478763198E-14</v>
      </c>
      <c r="AK158" s="14">
        <f t="shared" si="164"/>
        <v>5.790027782444094E-13</v>
      </c>
      <c r="AL158" s="22">
        <f t="shared" si="165"/>
        <v>1.0676332069095257E-12</v>
      </c>
      <c r="AM158" s="62">
        <f t="shared" si="113"/>
        <v>291.48380392765569</v>
      </c>
      <c r="AN158" s="62">
        <f ca="1">AVERAGE(OFFSET($AM$3,0,0,'Données projet'!$E$10+1,1))-AVERAGE(OFFSET($H$3,0,0,'Données projet'!$E$10+1,1))</f>
        <v>210.41468975391527</v>
      </c>
      <c r="AO158" s="62">
        <f t="shared" si="144"/>
        <v>355.1268923221744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9.2017424947927253</v>
      </c>
      <c r="AV158" s="23">
        <f>EXP(-LN(2)/25)*AV157+(1-EXP(-LN(2)/25))/(LN(2)/25)*Calculateur!AQ158*Calculateur!AS158*VLOOKUP('Données projet'!$B$10,Paramètres!$A$1:$I$89,3,0)*0.475*44/12</f>
        <v>0.10447117374811757</v>
      </c>
      <c r="AW158" s="23">
        <f>EXP(-LN(2)/2)*AW157+(1-EXP(-LN(2)/2))/(LN(2)/2)*AQ158*AT158*VLOOKUP('Données projet'!$B$10,Paramètres!$A$1:$I$89,3,0)*0.475*44/12</f>
        <v>1.6889512770559365E-16</v>
      </c>
      <c r="AX158" s="23">
        <f t="shared" si="166"/>
        <v>9.3062136685408436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69.49558288936035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66.833935615974326</v>
      </c>
      <c r="BJ158" s="62">
        <f t="shared" si="146"/>
        <v>294.79914393693775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4.9743417338266616</v>
      </c>
      <c r="BQ158" s="23">
        <f>EXP(-LN(2)/25)*BQ157+(1-EXP(-LN(2)/25))/(LN(2)/25)*Calculateur!BL158*Calculateur!BN158*VLOOKUP('Données projet'!$B$11,Paramètres!$A$1:$I$89,3,0)*0.475*44/12</f>
        <v>9.4472079577048715E-2</v>
      </c>
      <c r="BR158" s="23">
        <f>EXP(-LN(2)/2)*BR157+(1-EXP(-LN(2)/2))/(LN(2)/2)*BL158*BO158*VLOOKUP('Données projet'!$B$11,Paramètres!$A$1:$I$89,3,0)*0.475*44/12</f>
        <v>2.7296692990578791E-20</v>
      </c>
      <c r="BS158" s="24">
        <f t="shared" si="169"/>
        <v>5.0688138134037102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69.49558288936035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69.49558288936035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69.49558288936035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69.49558288936035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69.49558288936035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69.49558288936035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69.49558288936035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1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3.6666666666666665</v>
      </c>
      <c r="H159" s="70">
        <f t="shared" si="110"/>
        <v>232.46666666666667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69.504333398522235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66.513705559911728</v>
      </c>
      <c r="T159" s="62">
        <f t="shared" si="142"/>
        <v>293.21772799887617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4.84706135375278</v>
      </c>
      <c r="AA159" s="23">
        <f>EXP(-LN(2)/25)*AA158+(1-EXP(-LN(2)/25))/(LN(2)/25)*Calculateur!V159*Calculateur!X159*VLOOKUP('Données projet'!$B$9,Paramètres!$A$1:$I$89,3,0)*0.475*44/12</f>
        <v>9.132843842469382E-2</v>
      </c>
      <c r="AB159" s="23">
        <f>EXP(-LN(2)/2)*AB158+(1-EXP(-LN(2)/2))/(LN(2)/2)*V159*Y159*VLOOKUP('Données projet'!$B$9,Paramètres!$A$1:$I$89,3,0)*0.475*44/12</f>
        <v>1.9183983566888441E-20</v>
      </c>
      <c r="AC159" s="24">
        <f t="shared" si="163"/>
        <v>4.9383897921774738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69.504333398522235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3.3992364478763198E-14</v>
      </c>
      <c r="AK159" s="14">
        <f t="shared" si="164"/>
        <v>5.790027782444094E-13</v>
      </c>
      <c r="AL159" s="22">
        <f t="shared" si="165"/>
        <v>1.0676332069095257E-12</v>
      </c>
      <c r="AM159" s="62">
        <f t="shared" si="113"/>
        <v>291.51588912791595</v>
      </c>
      <c r="AN159" s="62">
        <f ca="1">AVERAGE(OFFSET($AM$3,0,0,'Données projet'!$E$10+1,1))-AVERAGE(OFFSET($H$3,0,0,'Données projet'!$E$10+1,1))</f>
        <v>210.41468975391527</v>
      </c>
      <c r="AO159" s="62">
        <f t="shared" si="144"/>
        <v>355.1268923221744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9.0213019369785723</v>
      </c>
      <c r="AV159" s="23">
        <f>EXP(-LN(2)/25)*AV158+(1-EXP(-LN(2)/25))/(LN(2)/25)*Calculateur!AQ159*Calculateur!AS159*VLOOKUP('Données projet'!$B$10,Paramètres!$A$1:$I$89,3,0)*0.475*44/12</f>
        <v>0.10161440400807503</v>
      </c>
      <c r="AW159" s="23">
        <f>EXP(-LN(2)/2)*AW158+(1-EXP(-LN(2)/2))/(LN(2)/2)*AQ159*AT159*VLOOKUP('Données projet'!$B$10,Paramètres!$A$1:$I$89,3,0)*0.475*44/12</f>
        <v>1.1942689010999321E-16</v>
      </c>
      <c r="AX159" s="23">
        <f t="shared" si="166"/>
        <v>9.1229163409866469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69.504333398522235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66.833935615974326</v>
      </c>
      <c r="BJ159" s="62">
        <f t="shared" si="146"/>
        <v>294.79914393693775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4.8767979264751906</v>
      </c>
      <c r="BQ159" s="23">
        <f>EXP(-LN(2)/25)*BQ158+(1-EXP(-LN(2)/25))/(LN(2)/25)*Calculateur!BL159*Calculateur!BN159*VLOOKUP('Données projet'!$B$11,Paramètres!$A$1:$I$89,3,0)*0.475*44/12</f>
        <v>9.1888735592943568E-2</v>
      </c>
      <c r="BR159" s="23">
        <f>EXP(-LN(2)/2)*BR158+(1-EXP(-LN(2)/2))/(LN(2)/2)*BL159*BO159*VLOOKUP('Données projet'!$B$11,Paramètres!$A$1:$I$89,3,0)*0.475*44/12</f>
        <v>1.9301676717605563E-20</v>
      </c>
      <c r="BS159" s="24">
        <f t="shared" si="169"/>
        <v>4.9686866620681345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69.504333398522235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69.504333398522235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69.504333398522235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69.504333398522235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69.504333398522235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69.504333398522235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69.504333398522235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1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3.6666666666666665</v>
      </c>
      <c r="H160" s="70">
        <f t="shared" si="110"/>
        <v>232.46666666666667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69.512932105913364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66.513705559911728</v>
      </c>
      <c r="T160" s="62">
        <f t="shared" si="142"/>
        <v>293.21772799887617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4.7520134370211924</v>
      </c>
      <c r="AA160" s="23">
        <f>EXP(-LN(2)/25)*AA159+(1-EXP(-LN(2)/25))/(LN(2)/25)*Calculateur!V160*Calculateur!X160*VLOOKUP('Données projet'!$B$9,Paramètres!$A$1:$I$89,3,0)*0.475*44/12</f>
        <v>8.8831057473216721E-2</v>
      </c>
      <c r="AB160" s="23">
        <f>EXP(-LN(2)/2)*AB159+(1-EXP(-LN(2)/2))/(LN(2)/2)*V160*Y160*VLOOKUP('Données projet'!$B$9,Paramètres!$A$1:$I$89,3,0)*0.475*44/12</f>
        <v>1.3565124870318108E-20</v>
      </c>
      <c r="AC160" s="24">
        <f t="shared" si="163"/>
        <v>4.8408444944944087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69.512932105913364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3.3992364478763198E-14</v>
      </c>
      <c r="AK160" s="14">
        <f t="shared" si="164"/>
        <v>5.790027782444094E-13</v>
      </c>
      <c r="AL160" s="22">
        <f t="shared" si="165"/>
        <v>1.0676332069095257E-12</v>
      </c>
      <c r="AM160" s="62">
        <f t="shared" si="113"/>
        <v>291.54741772168342</v>
      </c>
      <c r="AN160" s="62">
        <f ca="1">AVERAGE(OFFSET($AM$3,0,0,'Données projet'!$E$10+1,1))-AVERAGE(OFFSET($H$3,0,0,'Données projet'!$E$10+1,1))</f>
        <v>210.41468975391527</v>
      </c>
      <c r="AO160" s="62">
        <f t="shared" si="144"/>
        <v>355.1268923221744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8.8443997084452821</v>
      </c>
      <c r="AV160" s="23">
        <f>EXP(-LN(2)/25)*AV159+(1-EXP(-LN(2)/25))/(LN(2)/25)*Calculateur!AQ160*Calculateur!AS160*VLOOKUP('Données projet'!$B$10,Paramètres!$A$1:$I$89,3,0)*0.475*44/12</f>
        <v>9.8835752786804953E-2</v>
      </c>
      <c r="AW160" s="23">
        <f>EXP(-LN(2)/2)*AW159+(1-EXP(-LN(2)/2))/(LN(2)/2)*AQ160*AT160*VLOOKUP('Données projet'!$B$10,Paramètres!$A$1:$I$89,3,0)*0.475*44/12</f>
        <v>8.4447563852796826E-17</v>
      </c>
      <c r="AX160" s="23">
        <f t="shared" si="166"/>
        <v>8.9432354612320868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69.512932105913364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66.833935615974326</v>
      </c>
      <c r="BJ160" s="62">
        <f t="shared" si="146"/>
        <v>294.79914393693775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4.7811668936900347</v>
      </c>
      <c r="BQ160" s="23">
        <f>EXP(-LN(2)/25)*BQ159+(1-EXP(-LN(2)/25))/(LN(2)/25)*Calculateur!BL160*Calculateur!BN160*VLOOKUP('Données projet'!$B$11,Paramètres!$A$1:$I$89,3,0)*0.475*44/12</f>
        <v>8.9376033285935935E-2</v>
      </c>
      <c r="BR160" s="23">
        <f>EXP(-LN(2)/2)*BR159+(1-EXP(-LN(2)/2))/(LN(2)/2)*BL160*BO160*VLOOKUP('Données projet'!$B$11,Paramètres!$A$1:$I$89,3,0)*0.475*44/12</f>
        <v>1.3648346495289396E-20</v>
      </c>
      <c r="BS160" s="24">
        <f t="shared" si="169"/>
        <v>4.870542926975971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69.512932105913364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69.512932105913364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69.512932105913364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69.512932105913364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69.512932105913364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69.512932105913364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69.512932105913364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1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3.6666666666666665</v>
      </c>
      <c r="H161" s="70">
        <f t="shared" si="110"/>
        <v>232.46666666666667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69.521381644955085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66.513705559911728</v>
      </c>
      <c r="T161" s="62">
        <f t="shared" si="142"/>
        <v>293.21772799887617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4.658829351963206</v>
      </c>
      <c r="AA161" s="23">
        <f>EXP(-LN(2)/25)*AA160+(1-EXP(-LN(2)/25))/(LN(2)/25)*Calculateur!V161*Calculateur!X161*VLOOKUP('Données projet'!$B$9,Paramètres!$A$1:$I$89,3,0)*0.475*44/12</f>
        <v>8.640196753518932E-2</v>
      </c>
      <c r="AB161" s="23">
        <f>EXP(-LN(2)/2)*AB160+(1-EXP(-LN(2)/2))/(LN(2)/2)*V161*Y161*VLOOKUP('Données projet'!$B$9,Paramètres!$A$1:$I$89,3,0)*0.475*44/12</f>
        <v>9.5919917834442205E-21</v>
      </c>
      <c r="AC161" s="24">
        <f t="shared" si="163"/>
        <v>4.7452313194983953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69.521381644955085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3.3992364478763198E-14</v>
      </c>
      <c r="AK161" s="14">
        <f t="shared" si="164"/>
        <v>5.790027782444094E-13</v>
      </c>
      <c r="AL161" s="22">
        <f t="shared" si="165"/>
        <v>1.0676332069095257E-12</v>
      </c>
      <c r="AM161" s="62">
        <f t="shared" si="113"/>
        <v>291.5783993648364</v>
      </c>
      <c r="AN161" s="62">
        <f ca="1">AVERAGE(OFFSET($AM$3,0,0,'Données projet'!$E$10+1,1))-AVERAGE(OFFSET($H$3,0,0,'Données projet'!$E$10+1,1))</f>
        <v>210.41468975391527</v>
      </c>
      <c r="AO161" s="62">
        <f t="shared" si="144"/>
        <v>355.1268923221744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8.6709664247138249</v>
      </c>
      <c r="AV161" s="23">
        <f>EXP(-LN(2)/25)*AV160+(1-EXP(-LN(2)/25))/(LN(2)/25)*Calculateur!AQ161*Calculateur!AS161*VLOOKUP('Données projet'!$B$10,Paramètres!$A$1:$I$89,3,0)*0.475*44/12</f>
        <v>9.613308392930342E-2</v>
      </c>
      <c r="AW161" s="23">
        <f>EXP(-LN(2)/2)*AW160+(1-EXP(-LN(2)/2))/(LN(2)/2)*AQ161*AT161*VLOOKUP('Données projet'!$B$10,Paramètres!$A$1:$I$89,3,0)*0.475*44/12</f>
        <v>5.9713445054996605E-17</v>
      </c>
      <c r="AX161" s="23">
        <f t="shared" si="166"/>
        <v>8.7670995086431276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69.521381644955085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66.833935615974326</v>
      </c>
      <c r="BJ161" s="62">
        <f t="shared" si="146"/>
        <v>294.79914393693775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4.687411127128625</v>
      </c>
      <c r="BQ161" s="23">
        <f>EXP(-LN(2)/25)*BQ160+(1-EXP(-LN(2)/25))/(LN(2)/25)*Calculateur!BL161*Calculateur!BN161*VLOOKUP('Données projet'!$B$11,Paramètres!$A$1:$I$89,3,0)*0.475*44/12</f>
        <v>8.69320409556507E-2</v>
      </c>
      <c r="BR161" s="23">
        <f>EXP(-LN(2)/2)*BR160+(1-EXP(-LN(2)/2))/(LN(2)/2)*BL161*BO161*VLOOKUP('Données projet'!$B$11,Paramètres!$A$1:$I$89,3,0)*0.475*44/12</f>
        <v>9.6508383588027814E-21</v>
      </c>
      <c r="BS161" s="24">
        <f t="shared" si="169"/>
        <v>4.7743431680842754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69.521381644955085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69.521381644955085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69.521381644955085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69.521381644955085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69.521381644955085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69.521381644955085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69.521381644955085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1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3.6666666666666665</v>
      </c>
      <c r="H162" s="70">
        <f t="shared" si="110"/>
        <v>232.46666666666667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69.52968460338478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66.513705559911728</v>
      </c>
      <c r="T162" s="62">
        <f t="shared" si="142"/>
        <v>293.21772799887617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4.567472549976527</v>
      </c>
      <c r="AA162" s="23">
        <f>EXP(-LN(2)/25)*AA161+(1-EXP(-LN(2)/25))/(LN(2)/25)*Calculateur!V162*Calculateur!X162*VLOOKUP('Données projet'!$B$9,Paramètres!$A$1:$I$89,3,0)*0.475*44/12</f>
        <v>8.4039301189257565E-2</v>
      </c>
      <c r="AB162" s="23">
        <f>EXP(-LN(2)/2)*AB161+(1-EXP(-LN(2)/2))/(LN(2)/2)*V162*Y162*VLOOKUP('Données projet'!$B$9,Paramètres!$A$1:$I$89,3,0)*0.475*44/12</f>
        <v>6.7825624351590542E-21</v>
      </c>
      <c r="AC162" s="24">
        <f t="shared" si="163"/>
        <v>4.6515118511657843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69.52968460338478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3.3992364478763198E-14</v>
      </c>
      <c r="AK162" s="14">
        <f t="shared" si="164"/>
        <v>5.790027782444094E-13</v>
      </c>
      <c r="AL162" s="22">
        <f t="shared" si="165"/>
        <v>1.0676332069095257E-12</v>
      </c>
      <c r="AM162" s="62">
        <f t="shared" si="113"/>
        <v>291.60884354574529</v>
      </c>
      <c r="AN162" s="62">
        <f ca="1">AVERAGE(OFFSET($AM$3,0,0,'Données projet'!$E$10+1,1))-AVERAGE(OFFSET($H$3,0,0,'Données projet'!$E$10+1,1))</f>
        <v>210.41468975391527</v>
      </c>
      <c r="AO162" s="62">
        <f t="shared" si="144"/>
        <v>355.1268923221744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8.5009340618924831</v>
      </c>
      <c r="AV162" s="23">
        <f>EXP(-LN(2)/25)*AV161+(1-EXP(-LN(2)/25))/(LN(2)/25)*Calculateur!AQ162*Calculateur!AS162*VLOOKUP('Données projet'!$B$10,Paramètres!$A$1:$I$89,3,0)*0.475*44/12</f>
        <v>9.3504319693837448E-2</v>
      </c>
      <c r="AW162" s="23">
        <f>EXP(-LN(2)/2)*AW161+(1-EXP(-LN(2)/2))/(LN(2)/2)*AQ162*AT162*VLOOKUP('Données projet'!$B$10,Paramètres!$A$1:$I$89,3,0)*0.475*44/12</f>
        <v>4.2223781926398413E-17</v>
      </c>
      <c r="AX162" s="23">
        <f t="shared" si="166"/>
        <v>8.5944383815863201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69.52968460338478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66.833935615974326</v>
      </c>
      <c r="BJ162" s="62">
        <f t="shared" si="146"/>
        <v>294.79914393693775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4.5954938539641139</v>
      </c>
      <c r="BQ162" s="23">
        <f>EXP(-LN(2)/25)*BQ161+(1-EXP(-LN(2)/25))/(LN(2)/25)*Calculateur!BL162*Calculateur!BN162*VLOOKUP('Données projet'!$B$11,Paramètres!$A$1:$I$89,3,0)*0.475*44/12</f>
        <v>8.4554879724161078E-2</v>
      </c>
      <c r="BR162" s="23">
        <f>EXP(-LN(2)/2)*BR161+(1-EXP(-LN(2)/2))/(LN(2)/2)*BL162*BO162*VLOOKUP('Données projet'!$B$11,Paramètres!$A$1:$I$89,3,0)*0.475*44/12</f>
        <v>6.8241732476446978E-21</v>
      </c>
      <c r="BS162" s="24">
        <f t="shared" si="169"/>
        <v>4.6800487336882748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69.52968460338478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69.52968460338478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69.52968460338478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69.52968460338478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69.52968460338478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69.52968460338478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69.52968460338478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1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3.6666666666666665</v>
      </c>
      <c r="H163" s="70">
        <f t="shared" si="110"/>
        <v>232.46666666666667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69.537843524048341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66.513705559911728</v>
      </c>
      <c r="T163" s="62">
        <f t="shared" si="142"/>
        <v>293.21772799887617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4.47790719915466</v>
      </c>
      <c r="AA163" s="23">
        <f>EXP(-LN(2)/25)*AA162+(1-EXP(-LN(2)/25))/(LN(2)/25)*Calculateur!V163*Calculateur!X163*VLOOKUP('Données projet'!$B$9,Paramètres!$A$1:$I$89,3,0)*0.475*44/12</f>
        <v>8.174124207880254E-2</v>
      </c>
      <c r="AB163" s="23">
        <f>EXP(-LN(2)/2)*AB162+(1-EXP(-LN(2)/2))/(LN(2)/2)*V163*Y163*VLOOKUP('Données projet'!$B$9,Paramètres!$A$1:$I$89,3,0)*0.475*44/12</f>
        <v>4.7959958917221102E-21</v>
      </c>
      <c r="AC163" s="24">
        <f t="shared" si="163"/>
        <v>4.5596484412334624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69.537843524048341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3.3992364478763198E-14</v>
      </c>
      <c r="AK163" s="14">
        <f t="shared" si="164"/>
        <v>5.790027782444094E-13</v>
      </c>
      <c r="AL163" s="22">
        <f t="shared" si="165"/>
        <v>1.0676332069095257E-12</v>
      </c>
      <c r="AM163" s="62">
        <f t="shared" si="113"/>
        <v>291.63875958817835</v>
      </c>
      <c r="AN163" s="62">
        <f ca="1">AVERAGE(OFFSET($AM$3,0,0,'Données projet'!$E$10+1,1))-AVERAGE(OFFSET($H$3,0,0,'Données projet'!$E$10+1,1))</f>
        <v>210.41468975391527</v>
      </c>
      <c r="AO163" s="62">
        <f t="shared" si="144"/>
        <v>355.1268923221744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8.3342359299965665</v>
      </c>
      <c r="AV163" s="23">
        <f>EXP(-LN(2)/25)*AV162+(1-EXP(-LN(2)/25))/(LN(2)/25)*Calculateur!AQ163*Calculateur!AS163*VLOOKUP('Données projet'!$B$10,Paramètres!$A$1:$I$89,3,0)*0.475*44/12</f>
        <v>9.0947439154630993E-2</v>
      </c>
      <c r="AW163" s="23">
        <f>EXP(-LN(2)/2)*AW162+(1-EXP(-LN(2)/2))/(LN(2)/2)*AQ163*AT163*VLOOKUP('Données projet'!$B$10,Paramètres!$A$1:$I$89,3,0)*0.475*44/12</f>
        <v>2.9856722527498303E-17</v>
      </c>
      <c r="AX163" s="23">
        <f t="shared" si="166"/>
        <v>8.4251833691511973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69.537843524048341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66.833935615974326</v>
      </c>
      <c r="BJ163" s="62">
        <f t="shared" si="146"/>
        <v>294.79914393693775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4.5053790224623578</v>
      </c>
      <c r="BQ163" s="23">
        <f>EXP(-LN(2)/25)*BQ162+(1-EXP(-LN(2)/25))/(LN(2)/25)*Calculateur!BL163*Calculateur!BN163*VLOOKUP('Données projet'!$B$11,Paramètres!$A$1:$I$89,3,0)*0.475*44/12</f>
        <v>8.2242722091556017E-2</v>
      </c>
      <c r="BR163" s="23">
        <f>EXP(-LN(2)/2)*BR162+(1-EXP(-LN(2)/2))/(LN(2)/2)*BL163*BO163*VLOOKUP('Données projet'!$B$11,Paramètres!$A$1:$I$89,3,0)*0.475*44/12</f>
        <v>4.8254191794013907E-21</v>
      </c>
      <c r="BS163" s="24">
        <f t="shared" si="169"/>
        <v>4.587621744553914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69.537843524048341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69.537843524048341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69.537843524048341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69.537843524048341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69.537843524048341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69.537843524048341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69.537843524048341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1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3.6666666666666665</v>
      </c>
      <c r="H164" s="70">
        <f t="shared" si="110"/>
        <v>232.46666666666667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69.545860905679007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66.513705559911728</v>
      </c>
      <c r="T164" s="62">
        <f t="shared" si="142"/>
        <v>293.21772799887617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4.3900981702329398</v>
      </c>
      <c r="AA164" s="23">
        <f>EXP(-LN(2)/25)*AA163+(1-EXP(-LN(2)/25))/(LN(2)/25)*Calculateur!V164*Calculateur!X164*VLOOKUP('Données projet'!$B$9,Paramètres!$A$1:$I$89,3,0)*0.475*44/12</f>
        <v>7.950602351557258E-2</v>
      </c>
      <c r="AB164" s="23">
        <f>EXP(-LN(2)/2)*AB163+(1-EXP(-LN(2)/2))/(LN(2)/2)*V164*Y164*VLOOKUP('Données projet'!$B$9,Paramètres!$A$1:$I$89,3,0)*0.475*44/12</f>
        <v>3.3912812175795271E-21</v>
      </c>
      <c r="AC164" s="24">
        <f t="shared" si="163"/>
        <v>4.4696041937485127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69.545860905679007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3.3992364478763198E-14</v>
      </c>
      <c r="AK164" s="14">
        <f t="shared" si="164"/>
        <v>5.790027782444094E-13</v>
      </c>
      <c r="AL164" s="22">
        <f t="shared" si="165"/>
        <v>1.0676332069095257E-12</v>
      </c>
      <c r="AM164" s="62">
        <f t="shared" si="113"/>
        <v>291.66815665415743</v>
      </c>
      <c r="AN164" s="62">
        <f ca="1">AVERAGE(OFFSET($AM$3,0,0,'Données projet'!$E$10+1,1))-AVERAGE(OFFSET($H$3,0,0,'Données projet'!$E$10+1,1))</f>
        <v>210.41468975391527</v>
      </c>
      <c r="AO164" s="62">
        <f t="shared" si="144"/>
        <v>355.1268923221744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8.1708066467913092</v>
      </c>
      <c r="AV164" s="23">
        <f>EXP(-LN(2)/25)*AV163+(1-EXP(-LN(2)/25))/(LN(2)/25)*Calculateur!AQ164*Calculateur!AS164*VLOOKUP('Données projet'!$B$10,Paramètres!$A$1:$I$89,3,0)*0.475*44/12</f>
        <v>8.8460476648229647E-2</v>
      </c>
      <c r="AW164" s="23">
        <f>EXP(-LN(2)/2)*AW163+(1-EXP(-LN(2)/2))/(LN(2)/2)*AQ164*AT164*VLOOKUP('Données projet'!$B$10,Paramètres!$A$1:$I$89,3,0)*0.475*44/12</f>
        <v>2.1111890963199206E-17</v>
      </c>
      <c r="AX164" s="23">
        <f t="shared" si="166"/>
        <v>8.2592671234395389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69.545860905679007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66.833935615974326</v>
      </c>
      <c r="BJ164" s="62">
        <f t="shared" si="146"/>
        <v>294.79914393693775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4.4170312878417315</v>
      </c>
      <c r="BQ164" s="23">
        <f>EXP(-LN(2)/25)*BQ163+(1-EXP(-LN(2)/25))/(LN(2)/25)*Calculateur!BL164*Calculateur!BN164*VLOOKUP('Données projet'!$B$11,Paramètres!$A$1:$I$89,3,0)*0.475*44/12</f>
        <v>7.9993790531005637E-2</v>
      </c>
      <c r="BR164" s="23">
        <f>EXP(-LN(2)/2)*BR163+(1-EXP(-LN(2)/2))/(LN(2)/2)*BL164*BO164*VLOOKUP('Données projet'!$B$11,Paramètres!$A$1:$I$89,3,0)*0.475*44/12</f>
        <v>3.4120866238223489E-21</v>
      </c>
      <c r="BS164" s="24">
        <f t="shared" si="169"/>
        <v>4.4970250783727375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69.545860905679007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69.545860905679007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69.545860905679007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69.545860905679007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69.545860905679007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69.545860905679007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69.545860905679007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1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3.6666666666666665</v>
      </c>
      <c r="H165" s="70">
        <f t="shared" si="110"/>
        <v>232.46666666666667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69.553739203662573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66.513705559911728</v>
      </c>
      <c r="T165" s="62">
        <f t="shared" si="142"/>
        <v>293.21772799887617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4.3040110228101556</v>
      </c>
      <c r="AA165" s="23">
        <f>EXP(-LN(2)/25)*AA164+(1-EXP(-LN(2)/25))/(LN(2)/25)*Calculateur!V165*Calculateur!X165*VLOOKUP('Données projet'!$B$9,Paramètres!$A$1:$I$89,3,0)*0.475*44/12</f>
        <v>7.733192712149918E-2</v>
      </c>
      <c r="AB165" s="23">
        <f>EXP(-LN(2)/2)*AB164+(1-EXP(-LN(2)/2))/(LN(2)/2)*V165*Y165*VLOOKUP('Données projet'!$B$9,Paramètres!$A$1:$I$89,3,0)*0.475*44/12</f>
        <v>2.3979979458610551E-21</v>
      </c>
      <c r="AC165" s="24">
        <f t="shared" si="163"/>
        <v>4.3813429499316552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69.553739203662573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3.3992364478763198E-14</v>
      </c>
      <c r="AK165" s="14">
        <f t="shared" si="164"/>
        <v>5.790027782444094E-13</v>
      </c>
      <c r="AL165" s="22">
        <f t="shared" si="165"/>
        <v>1.0676332069095257E-12</v>
      </c>
      <c r="AM165" s="62">
        <f t="shared" si="113"/>
        <v>291.69704374676382</v>
      </c>
      <c r="AN165" s="62">
        <f ca="1">AVERAGE(OFFSET($AM$3,0,0,'Données projet'!$E$10+1,1))-AVERAGE(OFFSET($H$3,0,0,'Données projet'!$E$10+1,1))</f>
        <v>210.41468975391527</v>
      </c>
      <c r="AO165" s="62">
        <f t="shared" si="144"/>
        <v>355.1268923221744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8.0105821121476861</v>
      </c>
      <c r="AV165" s="23">
        <f>EXP(-LN(2)/25)*AV164+(1-EXP(-LN(2)/25))/(LN(2)/25)*Calculateur!AQ165*Calculateur!AS165*VLOOKUP('Données projet'!$B$10,Paramètres!$A$1:$I$89,3,0)*0.475*44/12</f>
        <v>8.6041520262349513E-2</v>
      </c>
      <c r="AW165" s="23">
        <f>EXP(-LN(2)/2)*AW164+(1-EXP(-LN(2)/2))/(LN(2)/2)*AQ165*AT165*VLOOKUP('Données projet'!$B$10,Paramètres!$A$1:$I$89,3,0)*0.475*44/12</f>
        <v>1.4928361263749151E-17</v>
      </c>
      <c r="AX165" s="23">
        <f t="shared" si="166"/>
        <v>8.0966236324100365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69.553739203662573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66.833935615974326</v>
      </c>
      <c r="BJ165" s="62">
        <f t="shared" si="146"/>
        <v>294.79914393693775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4.330415998410218</v>
      </c>
      <c r="BQ165" s="23">
        <f>EXP(-LN(2)/25)*BQ164+(1-EXP(-LN(2)/25))/(LN(2)/25)*Calculateur!BL165*Calculateur!BN165*VLOOKUP('Données projet'!$B$11,Paramètres!$A$1:$I$89,3,0)*0.475*44/12</f>
        <v>7.7806356122244666E-2</v>
      </c>
      <c r="BR165" s="23">
        <f>EXP(-LN(2)/2)*BR164+(1-EXP(-LN(2)/2))/(LN(2)/2)*BL165*BO165*VLOOKUP('Données projet'!$B$11,Paramètres!$A$1:$I$89,3,0)*0.475*44/12</f>
        <v>2.4127095897006954E-21</v>
      </c>
      <c r="BS165" s="24">
        <f t="shared" si="169"/>
        <v>4.4082223545324624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69.553739203662573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69.553739203662573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69.553739203662573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69.553739203662573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69.553739203662573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69.553739203662573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69.553739203662573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1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3.6666666666666665</v>
      </c>
      <c r="H166" s="70">
        <f t="shared" si="110"/>
        <v>232.46666666666667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69.56148083078935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66.513705559911728</v>
      </c>
      <c r="T166" s="62">
        <f t="shared" si="142"/>
        <v>293.21772799887617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4.219611991840357</v>
      </c>
      <c r="AA166" s="23">
        <f>EXP(-LN(2)/25)*AA165+(1-EXP(-LN(2)/25))/(LN(2)/25)*Calculateur!V166*Calculateur!X166*VLOOKUP('Données projet'!$B$9,Paramètres!$A$1:$I$89,3,0)*0.475*44/12</f>
        <v>7.5217281507652486E-2</v>
      </c>
      <c r="AB166" s="23">
        <f>EXP(-LN(2)/2)*AB165+(1-EXP(-LN(2)/2))/(LN(2)/2)*V166*Y166*VLOOKUP('Données projet'!$B$9,Paramètres!$A$1:$I$89,3,0)*0.475*44/12</f>
        <v>1.6956406087897635E-21</v>
      </c>
      <c r="AC166" s="24">
        <f t="shared" si="163"/>
        <v>4.2948292733480091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69.56148083078935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3.3992364478763198E-14</v>
      </c>
      <c r="AK166" s="14">
        <f t="shared" si="164"/>
        <v>5.790027782444094E-13</v>
      </c>
      <c r="AL166" s="22">
        <f t="shared" si="165"/>
        <v>1.0676332069095257E-12</v>
      </c>
      <c r="AM166" s="62">
        <f t="shared" si="113"/>
        <v>291.72542971289533</v>
      </c>
      <c r="AN166" s="62">
        <f ca="1">AVERAGE(OFFSET($AM$3,0,0,'Données projet'!$E$10+1,1))-AVERAGE(OFFSET($H$3,0,0,'Données projet'!$E$10+1,1))</f>
        <v>210.41468975391527</v>
      </c>
      <c r="AO166" s="62">
        <f t="shared" si="144"/>
        <v>355.1268923221744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7.8534994829011087</v>
      </c>
      <c r="AV166" s="23">
        <f>EXP(-LN(2)/25)*AV165+(1-EXP(-LN(2)/25))/(LN(2)/25)*Calculateur!AQ166*Calculateur!AS166*VLOOKUP('Données projet'!$B$10,Paramètres!$A$1:$I$89,3,0)*0.475*44/12</f>
        <v>8.3688710366048663E-2</v>
      </c>
      <c r="AW166" s="23">
        <f>EXP(-LN(2)/2)*AW165+(1-EXP(-LN(2)/2))/(LN(2)/2)*AQ166*AT166*VLOOKUP('Données projet'!$B$10,Paramètres!$A$1:$I$89,3,0)*0.475*44/12</f>
        <v>1.0555945481599603E-17</v>
      </c>
      <c r="AX166" s="23">
        <f t="shared" si="166"/>
        <v>7.9371881932671577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69.56148083078935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66.833935615974326</v>
      </c>
      <c r="BJ166" s="62">
        <f t="shared" si="146"/>
        <v>294.79914393693775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4.2454991819743464</v>
      </c>
      <c r="BQ166" s="23">
        <f>EXP(-LN(2)/25)*BQ165+(1-EXP(-LN(2)/25))/(LN(2)/25)*Calculateur!BL166*Calculateur!BN166*VLOOKUP('Données projet'!$B$11,Paramètres!$A$1:$I$89,3,0)*0.475*44/12</f>
        <v>7.5678737222423451E-2</v>
      </c>
      <c r="BR166" s="23">
        <f>EXP(-LN(2)/2)*BR165+(1-EXP(-LN(2)/2))/(LN(2)/2)*BL166*BO166*VLOOKUP('Données projet'!$B$11,Paramètres!$A$1:$I$89,3,0)*0.475*44/12</f>
        <v>1.7060433119111744E-21</v>
      </c>
      <c r="BS166" s="24">
        <f t="shared" si="169"/>
        <v>4.3211779191967699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69.56148083078935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69.56148083078935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69.56148083078935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69.56148083078935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69.56148083078935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69.56148083078935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69.56148083078935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1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3.6666666666666665</v>
      </c>
      <c r="H167" s="70">
        <f t="shared" si="110"/>
        <v>232.46666666666667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69.569088157993164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66.513705559911728</v>
      </c>
      <c r="T167" s="62">
        <f t="shared" si="142"/>
        <v>293.21772799887617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4.13686797438955</v>
      </c>
      <c r="AA167" s="23">
        <f>EXP(-LN(2)/25)*AA166+(1-EXP(-LN(2)/25))/(LN(2)/25)*Calculateur!V167*Calculateur!X167*VLOOKUP('Données projet'!$B$9,Paramètres!$A$1:$I$89,3,0)*0.475*44/12</f>
        <v>7.3160460989320802E-2</v>
      </c>
      <c r="AB167" s="23">
        <f>EXP(-LN(2)/2)*AB166+(1-EXP(-LN(2)/2))/(LN(2)/2)*V167*Y167*VLOOKUP('Données projet'!$B$9,Paramètres!$A$1:$I$89,3,0)*0.475*44/12</f>
        <v>1.1989989729305276E-21</v>
      </c>
      <c r="AC167" s="24">
        <f t="shared" si="163"/>
        <v>4.2100284353788711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69.569088157993164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3.3992364478763198E-14</v>
      </c>
      <c r="AK167" s="14">
        <f t="shared" si="164"/>
        <v>5.790027782444094E-13</v>
      </c>
      <c r="AL167" s="22">
        <f t="shared" si="165"/>
        <v>1.0676332069095257E-12</v>
      </c>
      <c r="AM167" s="62">
        <f t="shared" si="113"/>
        <v>291.75332324597605</v>
      </c>
      <c r="AN167" s="62">
        <f ca="1">AVERAGE(OFFSET($AM$3,0,0,'Données projet'!$E$10+1,1))-AVERAGE(OFFSET($H$3,0,0,'Données projet'!$E$10+1,1))</f>
        <v>210.41468975391527</v>
      </c>
      <c r="AO167" s="62">
        <f t="shared" si="144"/>
        <v>355.1268923221744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7.6994971482031129</v>
      </c>
      <c r="AV167" s="23">
        <f>EXP(-LN(2)/25)*AV166+(1-EXP(-LN(2)/25))/(LN(2)/25)*Calculateur!AQ167*Calculateur!AS167*VLOOKUP('Données projet'!$B$10,Paramètres!$A$1:$I$89,3,0)*0.475*44/12</f>
        <v>8.1400238180091053E-2</v>
      </c>
      <c r="AW167" s="23">
        <f>EXP(-LN(2)/2)*AW166+(1-EXP(-LN(2)/2))/(LN(2)/2)*AQ167*AT167*VLOOKUP('Données projet'!$B$10,Paramètres!$A$1:$I$89,3,0)*0.475*44/12</f>
        <v>7.4641806318745757E-18</v>
      </c>
      <c r="AX167" s="23">
        <f t="shared" si="166"/>
        <v>7.7808973863832041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69.569088157993164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66.833935615974326</v>
      </c>
      <c r="BJ167" s="62">
        <f t="shared" si="146"/>
        <v>294.79914393693775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4.1622475325146384</v>
      </c>
      <c r="BQ167" s="23">
        <f>EXP(-LN(2)/25)*BQ166+(1-EXP(-LN(2)/25))/(LN(2)/25)*Calculateur!BL167*Calculateur!BN167*VLOOKUP('Données projet'!$B$11,Paramètres!$A$1:$I$89,3,0)*0.475*44/12</f>
        <v>7.3609298173304458E-2</v>
      </c>
      <c r="BR167" s="23">
        <f>EXP(-LN(2)/2)*BR166+(1-EXP(-LN(2)/2))/(LN(2)/2)*BL167*BO167*VLOOKUP('Données projet'!$B$11,Paramètres!$A$1:$I$89,3,0)*0.475*44/12</f>
        <v>1.2063547948503477E-21</v>
      </c>
      <c r="BS167" s="24">
        <f t="shared" si="169"/>
        <v>4.2358568306879425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69.569088157993164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69.569088157993164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69.569088157993164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69.569088157993164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69.569088157993164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69.569088157993164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69.569088157993164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1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3.6666666666666665</v>
      </c>
      <c r="H168" s="70">
        <f t="shared" si="110"/>
        <v>232.46666666666667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69.576563515077424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66.513705559911728</v>
      </c>
      <c r="T168" s="62">
        <f t="shared" si="142"/>
        <v>293.21772799887617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4.0557465166520856</v>
      </c>
      <c r="AA168" s="23">
        <f>EXP(-LN(2)/25)*AA167+(1-EXP(-LN(2)/25))/(LN(2)/25)*Calculateur!V168*Calculateur!X168*VLOOKUP('Données projet'!$B$9,Paramètres!$A$1:$I$89,3,0)*0.475*44/12</f>
        <v>7.1159884336226387E-2</v>
      </c>
      <c r="AB168" s="23">
        <f>EXP(-LN(2)/2)*AB167+(1-EXP(-LN(2)/2))/(LN(2)/2)*V168*Y168*VLOOKUP('Données projet'!$B$9,Paramètres!$A$1:$I$89,3,0)*0.475*44/12</f>
        <v>8.4782030439488177E-22</v>
      </c>
      <c r="AC168" s="24">
        <f t="shared" si="163"/>
        <v>4.1269064009883119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69.576563515077424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3.3992364478763198E-14</v>
      </c>
      <c r="AK168" s="14">
        <f t="shared" si="164"/>
        <v>5.790027782444094E-13</v>
      </c>
      <c r="AL168" s="22">
        <f t="shared" si="165"/>
        <v>1.0676332069095257E-12</v>
      </c>
      <c r="AM168" s="62">
        <f t="shared" si="113"/>
        <v>291.78073288861833</v>
      </c>
      <c r="AN168" s="62">
        <f ca="1">AVERAGE(OFFSET($AM$3,0,0,'Données projet'!$E$10+1,1))-AVERAGE(OFFSET($H$3,0,0,'Données projet'!$E$10+1,1))</f>
        <v>210.41468975391527</v>
      </c>
      <c r="AO168" s="62">
        <f t="shared" si="144"/>
        <v>355.1268923221744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7.5485147053563963</v>
      </c>
      <c r="AV168" s="23">
        <f>EXP(-LN(2)/25)*AV167+(1-EXP(-LN(2)/25))/(LN(2)/25)*Calculateur!AQ168*Calculateur!AS168*VLOOKUP('Données projet'!$B$10,Paramètres!$A$1:$I$89,3,0)*0.475*44/12</f>
        <v>7.9174344386403986E-2</v>
      </c>
      <c r="AW168" s="23">
        <f>EXP(-LN(2)/2)*AW167+(1-EXP(-LN(2)/2))/(LN(2)/2)*AQ168*AT168*VLOOKUP('Données projet'!$B$10,Paramètres!$A$1:$I$89,3,0)*0.475*44/12</f>
        <v>5.2779727407998016E-18</v>
      </c>
      <c r="AX168" s="23">
        <f t="shared" si="166"/>
        <v>7.6276890497428003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69.576563515077424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66.833935615974326</v>
      </c>
      <c r="BJ168" s="62">
        <f t="shared" si="146"/>
        <v>294.79914393693775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4.0806283971223438</v>
      </c>
      <c r="BQ168" s="23">
        <f>EXP(-LN(2)/25)*BQ167+(1-EXP(-LN(2)/25))/(LN(2)/25)*Calculateur!BL168*Calculateur!BN168*VLOOKUP('Données projet'!$B$11,Paramètres!$A$1:$I$89,3,0)*0.475*44/12</f>
        <v>7.1596448043810698E-2</v>
      </c>
      <c r="BR168" s="23">
        <f>EXP(-LN(2)/2)*BR167+(1-EXP(-LN(2)/2))/(LN(2)/2)*BL168*BO168*VLOOKUP('Données projet'!$B$11,Paramètres!$A$1:$I$89,3,0)*0.475*44/12</f>
        <v>8.5302165595558722E-22</v>
      </c>
      <c r="BS168" s="24">
        <f t="shared" si="169"/>
        <v>4.1522248451661543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69.576563515077424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69.576563515077424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69.576563515077424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69.576563515077424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69.576563515077424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69.576563515077424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69.576563515077424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1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3.6666666666666665</v>
      </c>
      <c r="H169" s="70">
        <f t="shared" si="110"/>
        <v>232.46666666666667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69.583909191428674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66.513705559911728</v>
      </c>
      <c r="T169" s="62">
        <f t="shared" si="142"/>
        <v>293.21772799887617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3.9762158012216497</v>
      </c>
      <c r="AA169" s="23">
        <f>EXP(-LN(2)/25)*AA168+(1-EXP(-LN(2)/25))/(LN(2)/25)*Calculateur!V169*Calculateur!X169*VLOOKUP('Données projet'!$B$9,Paramètres!$A$1:$I$89,3,0)*0.475*44/12</f>
        <v>6.9214013556916601E-2</v>
      </c>
      <c r="AB169" s="23">
        <f>EXP(-LN(2)/2)*AB168+(1-EXP(-LN(2)/2))/(LN(2)/2)*V169*Y169*VLOOKUP('Données projet'!$B$9,Paramètres!$A$1:$I$89,3,0)*0.475*44/12</f>
        <v>5.9949948646526378E-22</v>
      </c>
      <c r="AC169" s="24">
        <f t="shared" si="163"/>
        <v>4.0454298147785668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69.583909191428674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3.3992364478763198E-14</v>
      </c>
      <c r="AK169" s="14">
        <f t="shared" si="164"/>
        <v>5.790027782444094E-13</v>
      </c>
      <c r="AL169" s="22">
        <f t="shared" si="165"/>
        <v>1.0676332069095257E-12</v>
      </c>
      <c r="AM169" s="62">
        <f t="shared" si="113"/>
        <v>291.80766703523955</v>
      </c>
      <c r="AN169" s="62">
        <f ca="1">AVERAGE(OFFSET($AM$3,0,0,'Données projet'!$E$10+1,1))-AVERAGE(OFFSET($H$3,0,0,'Données projet'!$E$10+1,1))</f>
        <v>210.41468975391527</v>
      </c>
      <c r="AO169" s="62">
        <f t="shared" si="144"/>
        <v>355.1268923221744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7.4004929361237064</v>
      </c>
      <c r="AV169" s="23">
        <f>EXP(-LN(2)/25)*AV168+(1-EXP(-LN(2)/25))/(LN(2)/25)*Calculateur!AQ169*Calculateur!AS169*VLOOKUP('Données projet'!$B$10,Paramètres!$A$1:$I$89,3,0)*0.475*44/12</f>
        <v>7.7009317775559957E-2</v>
      </c>
      <c r="AW169" s="23">
        <f>EXP(-LN(2)/2)*AW168+(1-EXP(-LN(2)/2))/(LN(2)/2)*AQ169*AT169*VLOOKUP('Données projet'!$B$10,Paramètres!$A$1:$I$89,3,0)*0.475*44/12</f>
        <v>3.7320903159372878E-18</v>
      </c>
      <c r="AX169" s="23">
        <f t="shared" si="166"/>
        <v>7.4775022538992664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69.583909191428674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66.833935615974326</v>
      </c>
      <c r="BJ169" s="62">
        <f t="shared" si="146"/>
        <v>294.79914393693775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4.000609763192335</v>
      </c>
      <c r="BQ169" s="23">
        <f>EXP(-LN(2)/25)*BQ168+(1-EXP(-LN(2)/25))/(LN(2)/25)*Calculateur!BL169*Calculateur!BN169*VLOOKUP('Données projet'!$B$11,Paramètres!$A$1:$I$89,3,0)*0.475*44/12</f>
        <v>6.9638639406959121E-2</v>
      </c>
      <c r="BR169" s="23">
        <f>EXP(-LN(2)/2)*BR168+(1-EXP(-LN(2)/2))/(LN(2)/2)*BL169*BO169*VLOOKUP('Données projet'!$B$11,Paramètres!$A$1:$I$89,3,0)*0.475*44/12</f>
        <v>6.0317739742517384E-22</v>
      </c>
      <c r="BS169" s="24">
        <f t="shared" si="169"/>
        <v>4.0702484025992938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69.583909191428674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69.583909191428674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69.583909191428674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69.583909191428674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69.583909191428674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69.583909191428674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69.583909191428674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1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3.6666666666666665</v>
      </c>
      <c r="H170" s="70">
        <f t="shared" si="110"/>
        <v>232.46666666666667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69.591127436717699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66.513705559911728</v>
      </c>
      <c r="T170" s="62">
        <f t="shared" si="142"/>
        <v>293.21772799887617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3.8982446346118582</v>
      </c>
      <c r="AA170" s="23">
        <f>EXP(-LN(2)/25)*AA169+(1-EXP(-LN(2)/25))/(LN(2)/25)*Calculateur!V170*Calculateur!X170*VLOOKUP('Données projet'!$B$9,Paramètres!$A$1:$I$89,3,0)*0.475*44/12</f>
        <v>6.732135271639593E-2</v>
      </c>
      <c r="AB170" s="23">
        <f>EXP(-LN(2)/2)*AB169+(1-EXP(-LN(2)/2))/(LN(2)/2)*V170*Y170*VLOOKUP('Données projet'!$B$9,Paramètres!$A$1:$I$89,3,0)*0.475*44/12</f>
        <v>4.2391015219744089E-22</v>
      </c>
      <c r="AC170" s="24">
        <f t="shared" si="163"/>
        <v>3.965565987328254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69.591127436717699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3.3992364478763198E-14</v>
      </c>
      <c r="AK170" s="14">
        <f t="shared" si="164"/>
        <v>5.790027782444094E-13</v>
      </c>
      <c r="AL170" s="22">
        <f t="shared" si="165"/>
        <v>1.0676332069095257E-12</v>
      </c>
      <c r="AM170" s="62">
        <f t="shared" si="113"/>
        <v>291.83413393463263</v>
      </c>
      <c r="AN170" s="62">
        <f ca="1">AVERAGE(OFFSET($AM$3,0,0,'Données projet'!$E$10+1,1))-AVERAGE(OFFSET($H$3,0,0,'Données projet'!$E$10+1,1))</f>
        <v>210.41468975391527</v>
      </c>
      <c r="AO170" s="62">
        <f t="shared" si="144"/>
        <v>355.1268923221744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7.2553737835013052</v>
      </c>
      <c r="AV170" s="23">
        <f>EXP(-LN(2)/25)*AV169+(1-EXP(-LN(2)/25))/(LN(2)/25)*Calculateur!AQ170*Calculateur!AS170*VLOOKUP('Données projet'!$B$10,Paramètres!$A$1:$I$89,3,0)*0.475*44/12</f>
        <v>7.4903493931243251E-2</v>
      </c>
      <c r="AW170" s="23">
        <f>EXP(-LN(2)/2)*AW169+(1-EXP(-LN(2)/2))/(LN(2)/2)*AQ170*AT170*VLOOKUP('Données projet'!$B$10,Paramètres!$A$1:$I$89,3,0)*0.475*44/12</f>
        <v>2.6389863703999008E-18</v>
      </c>
      <c r="AX170" s="23">
        <f t="shared" si="166"/>
        <v>7.3302772774325486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69.591127436717699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66.833935615974326</v>
      </c>
      <c r="BJ170" s="62">
        <f t="shared" si="146"/>
        <v>294.79914393693775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3.9221602458671461</v>
      </c>
      <c r="BQ170" s="23">
        <f>EXP(-LN(2)/25)*BQ169+(1-EXP(-LN(2)/25))/(LN(2)/25)*Calculateur!BL170*Calculateur!BN170*VLOOKUP('Données projet'!$B$11,Paramètres!$A$1:$I$89,3,0)*0.475*44/12</f>
        <v>6.7734367150238936E-2</v>
      </c>
      <c r="BR170" s="23">
        <f>EXP(-LN(2)/2)*BR169+(1-EXP(-LN(2)/2))/(LN(2)/2)*BL170*BO170*VLOOKUP('Données projet'!$B$11,Paramètres!$A$1:$I$89,3,0)*0.475*44/12</f>
        <v>4.2651082797779361E-22</v>
      </c>
      <c r="BS170" s="24">
        <f t="shared" si="169"/>
        <v>3.9898946130173849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69.591127436717699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69.591127436717699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69.591127436717699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69.591127436717699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69.591127436717699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69.591127436717699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69.591127436717699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1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3.6666666666666665</v>
      </c>
      <c r="H171" s="70">
        <f t="shared" si="110"/>
        <v>232.46666666666667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69.598220461588539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66.513705559911728</v>
      </c>
      <c r="T171" s="62">
        <f t="shared" si="142"/>
        <v>293.21772799887617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3.8218024350215689</v>
      </c>
      <c r="AA171" s="23">
        <f>EXP(-LN(2)/25)*AA170+(1-EXP(-LN(2)/25))/(LN(2)/25)*Calculateur!V171*Calculateur!X171*VLOOKUP('Données projet'!$B$9,Paramètres!$A$1:$I$89,3,0)*0.475*44/12</f>
        <v>6.548044678609001E-2</v>
      </c>
      <c r="AB171" s="23">
        <f>EXP(-LN(2)/2)*AB170+(1-EXP(-LN(2)/2))/(LN(2)/2)*V171*Y171*VLOOKUP('Données projet'!$B$9,Paramètres!$A$1:$I$89,3,0)*0.475*44/12</f>
        <v>2.9974974323263189E-22</v>
      </c>
      <c r="AC171" s="24">
        <f t="shared" si="163"/>
        <v>3.8872828818076588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69.598220461588539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3.3992364478763198E-14</v>
      </c>
      <c r="AK171" s="14">
        <f t="shared" si="164"/>
        <v>5.790027782444094E-13</v>
      </c>
      <c r="AL171" s="22">
        <f t="shared" si="165"/>
        <v>1.0676332069095257E-12</v>
      </c>
      <c r="AM171" s="62">
        <f t="shared" si="113"/>
        <v>291.86014169249239</v>
      </c>
      <c r="AN171" s="62">
        <f ca="1">AVERAGE(OFFSET($AM$3,0,0,'Données projet'!$E$10+1,1))-AVERAGE(OFFSET($H$3,0,0,'Données projet'!$E$10+1,1))</f>
        <v>210.41468975391527</v>
      </c>
      <c r="AO171" s="62">
        <f t="shared" si="144"/>
        <v>355.1268923221744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7.113100328947886</v>
      </c>
      <c r="AV171" s="23">
        <f>EXP(-LN(2)/25)*AV170+(1-EXP(-LN(2)/25))/(LN(2)/25)*Calculateur!AQ171*Calculateur!AS171*VLOOKUP('Données projet'!$B$10,Paramètres!$A$1:$I$89,3,0)*0.475*44/12</f>
        <v>7.2855253950689855E-2</v>
      </c>
      <c r="AW171" s="23">
        <f>EXP(-LN(2)/2)*AW170+(1-EXP(-LN(2)/2))/(LN(2)/2)*AQ171*AT171*VLOOKUP('Données projet'!$B$10,Paramètres!$A$1:$I$89,3,0)*0.475*44/12</f>
        <v>1.8660451579686439E-18</v>
      </c>
      <c r="AX171" s="23">
        <f t="shared" si="166"/>
        <v>7.1859555828985755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69.598220461588539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66.833935615974326</v>
      </c>
      <c r="BJ171" s="62">
        <f t="shared" si="146"/>
        <v>294.79914393693775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3.8452490757272231</v>
      </c>
      <c r="BQ171" s="23">
        <f>EXP(-LN(2)/25)*BQ170+(1-EXP(-LN(2)/25))/(LN(2)/25)*Calculateur!BL171*Calculateur!BN171*VLOOKUP('Données projet'!$B$11,Paramètres!$A$1:$I$89,3,0)*0.475*44/12</f>
        <v>6.5882167318520091E-2</v>
      </c>
      <c r="BR171" s="23">
        <f>EXP(-LN(2)/2)*BR170+(1-EXP(-LN(2)/2))/(LN(2)/2)*BL171*BO171*VLOOKUP('Données projet'!$B$11,Paramètres!$A$1:$I$89,3,0)*0.475*44/12</f>
        <v>3.0158869871258692E-22</v>
      </c>
      <c r="BS171" s="24">
        <f t="shared" si="169"/>
        <v>3.9111312430457432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69.598220461588539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69.598220461588539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69.598220461588539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69.598220461588539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69.598220461588539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69.598220461588539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69.598220461588539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1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3.6666666666666665</v>
      </c>
      <c r="H172" s="70">
        <f t="shared" si="110"/>
        <v>232.46666666666667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69.605190438335498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66.513705559911728</v>
      </c>
      <c r="T172" s="62">
        <f t="shared" si="142"/>
        <v>293.21772799887617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3.7468592203401072</v>
      </c>
      <c r="AA172" s="23">
        <f>EXP(-LN(2)/25)*AA171+(1-EXP(-LN(2)/25))/(LN(2)/25)*Calculateur!V172*Calculateur!X172*VLOOKUP('Données projet'!$B$9,Paramètres!$A$1:$I$89,3,0)*0.475*44/12</f>
        <v>6.3689880525257342E-2</v>
      </c>
      <c r="AB172" s="23">
        <f>EXP(-LN(2)/2)*AB171+(1-EXP(-LN(2)/2))/(LN(2)/2)*V172*Y172*VLOOKUP('Données projet'!$B$9,Paramètres!$A$1:$I$89,3,0)*0.475*44/12</f>
        <v>2.1195507609872044E-22</v>
      </c>
      <c r="AC172" s="24">
        <f t="shared" si="163"/>
        <v>3.8105491008653645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69.605190438335498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3.3992364478763198E-14</v>
      </c>
      <c r="AK172" s="14">
        <f t="shared" si="164"/>
        <v>5.790027782444094E-13</v>
      </c>
      <c r="AL172" s="22">
        <f t="shared" si="165"/>
        <v>1.0676332069095257E-12</v>
      </c>
      <c r="AM172" s="62">
        <f t="shared" si="113"/>
        <v>291.8856982738979</v>
      </c>
      <c r="AN172" s="62">
        <f ca="1">AVERAGE(OFFSET($AM$3,0,0,'Données projet'!$E$10+1,1))-AVERAGE(OFFSET($H$3,0,0,'Données projet'!$E$10+1,1))</f>
        <v>210.41468975391527</v>
      </c>
      <c r="AO172" s="62">
        <f t="shared" si="144"/>
        <v>355.1268923221744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6.9736167700600209</v>
      </c>
      <c r="AV172" s="23">
        <f>EXP(-LN(2)/25)*AV171+(1-EXP(-LN(2)/25))/(LN(2)/25)*Calculateur!AQ172*Calculateur!AS172*VLOOKUP('Données projet'!$B$10,Paramètres!$A$1:$I$89,3,0)*0.475*44/12</f>
        <v>7.0863023200116948E-2</v>
      </c>
      <c r="AW172" s="23">
        <f>EXP(-LN(2)/2)*AW171+(1-EXP(-LN(2)/2))/(LN(2)/2)*AQ172*AT172*VLOOKUP('Données projet'!$B$10,Paramètres!$A$1:$I$89,3,0)*0.475*44/12</f>
        <v>1.3194931851999504E-18</v>
      </c>
      <c r="AX172" s="23">
        <f t="shared" si="166"/>
        <v>7.0444797932601375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69.605190438335498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66.833935615974326</v>
      </c>
      <c r="BJ172" s="62">
        <f t="shared" si="146"/>
        <v>294.79914393693775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3.7698460867225623</v>
      </c>
      <c r="BQ172" s="23">
        <f>EXP(-LN(2)/25)*BQ171+(1-EXP(-LN(2)/25))/(LN(2)/25)*Calculateur!BL172*Calculateur!BN172*VLOOKUP('Données projet'!$B$11,Paramètres!$A$1:$I$89,3,0)*0.475*44/12</f>
        <v>6.4080615988602554E-2</v>
      </c>
      <c r="BR172" s="23">
        <f>EXP(-LN(2)/2)*BR171+(1-EXP(-LN(2)/2))/(LN(2)/2)*BL172*BO172*VLOOKUP('Données projet'!$B$11,Paramètres!$A$1:$I$89,3,0)*0.475*44/12</f>
        <v>2.1325541398889681E-22</v>
      </c>
      <c r="BS172" s="24">
        <f t="shared" si="169"/>
        <v>3.8339267027111648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69.605190438335498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69.605190438335498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69.605190438335498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69.605190438335498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69.605190438335498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69.605190438335498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69.605190438335498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1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3.6666666666666665</v>
      </c>
      <c r="H173" s="70">
        <f t="shared" si="110"/>
        <v>232.46666666666667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69.612039501568432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66.513705559911728</v>
      </c>
      <c r="T173" s="62">
        <f t="shared" si="142"/>
        <v>293.21772799887617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3.6733855963877016</v>
      </c>
      <c r="AA173" s="23">
        <f>EXP(-LN(2)/25)*AA172+(1-EXP(-LN(2)/25))/(LN(2)/25)*Calculateur!V173*Calculateur!X173*VLOOKUP('Données projet'!$B$9,Paramètres!$A$1:$I$89,3,0)*0.475*44/12</f>
        <v>6.1948277392988929E-2</v>
      </c>
      <c r="AB173" s="23">
        <f>EXP(-LN(2)/2)*AB172+(1-EXP(-LN(2)/2))/(LN(2)/2)*V173*Y173*VLOOKUP('Données projet'!$B$9,Paramètres!$A$1:$I$89,3,0)*0.475*44/12</f>
        <v>1.4987487161631595E-22</v>
      </c>
      <c r="AC173" s="24">
        <f t="shared" si="163"/>
        <v>3.7353338737806907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69.612039501568432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3.3992364478763198E-14</v>
      </c>
      <c r="AK173" s="14">
        <f t="shared" si="164"/>
        <v>5.790027782444094E-13</v>
      </c>
      <c r="AL173" s="22">
        <f t="shared" si="165"/>
        <v>1.0676332069095257E-12</v>
      </c>
      <c r="AM173" s="62">
        <f t="shared" si="113"/>
        <v>291.91081150575201</v>
      </c>
      <c r="AN173" s="62">
        <f ca="1">AVERAGE(OFFSET($AM$3,0,0,'Données projet'!$E$10+1,1))-AVERAGE(OFFSET($H$3,0,0,'Données projet'!$E$10+1,1))</f>
        <v>210.41468975391527</v>
      </c>
      <c r="AO173" s="62">
        <f t="shared" si="144"/>
        <v>355.1268923221744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6.8368683986853771</v>
      </c>
      <c r="AV173" s="23">
        <f>EXP(-LN(2)/25)*AV172+(1-EXP(-LN(2)/25))/(LN(2)/25)*Calculateur!AQ173*Calculateur!AS173*VLOOKUP('Données projet'!$B$10,Paramètres!$A$1:$I$89,3,0)*0.475*44/12</f>
        <v>6.8925270104185324E-2</v>
      </c>
      <c r="AW173" s="23">
        <f>EXP(-LN(2)/2)*AW172+(1-EXP(-LN(2)/2))/(LN(2)/2)*AQ173*AT173*VLOOKUP('Données projet'!$B$10,Paramètres!$A$1:$I$89,3,0)*0.475*44/12</f>
        <v>9.3302257898432196E-19</v>
      </c>
      <c r="AX173" s="23">
        <f t="shared" si="166"/>
        <v>6.9057936687895625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69.612039501568432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66.833935615974326</v>
      </c>
      <c r="BJ173" s="62">
        <f t="shared" si="146"/>
        <v>294.79914393693775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3.6959217043410009</v>
      </c>
      <c r="BQ173" s="23">
        <f>EXP(-LN(2)/25)*BQ172+(1-EXP(-LN(2)/25))/(LN(2)/25)*Calculateur!BL173*Calculateur!BN173*VLOOKUP('Données projet'!$B$11,Paramètres!$A$1:$I$89,3,0)*0.475*44/12</f>
        <v>6.2328328174541078E-2</v>
      </c>
      <c r="BR173" s="23">
        <f>EXP(-LN(2)/2)*BR172+(1-EXP(-LN(2)/2))/(LN(2)/2)*BL173*BO173*VLOOKUP('Données projet'!$B$11,Paramètres!$A$1:$I$89,3,0)*0.475*44/12</f>
        <v>1.5079434935629346E-22</v>
      </c>
      <c r="BS173" s="24">
        <f t="shared" si="169"/>
        <v>3.7582500325155421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69.612039501568432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69.612039501568432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69.612039501568432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69.612039501568432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69.612039501568432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69.612039501568432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69.612039501568432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1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3.6666666666666665</v>
      </c>
      <c r="H174" s="70">
        <f t="shared" si="110"/>
        <v>232.46666666666667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69.618769748866484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66.513705559911728</v>
      </c>
      <c r="T174" s="62">
        <f t="shared" si="142"/>
        <v>293.21772799887617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3.6013527453865173</v>
      </c>
      <c r="AA174" s="23">
        <f>EXP(-LN(2)/25)*AA173+(1-EXP(-LN(2)/25))/(LN(2)/25)*Calculateur!V174*Calculateur!X174*VLOOKUP('Données projet'!$B$9,Paramètres!$A$1:$I$89,3,0)*0.475*44/12</f>
        <v>6.0254298489959321E-2</v>
      </c>
      <c r="AB174" s="23">
        <f>EXP(-LN(2)/2)*AB173+(1-EXP(-LN(2)/2))/(LN(2)/2)*V174*Y174*VLOOKUP('Données projet'!$B$9,Paramètres!$A$1:$I$89,3,0)*0.475*44/12</f>
        <v>1.0597753804936022E-22</v>
      </c>
      <c r="AC174" s="24">
        <f t="shared" si="163"/>
        <v>3.6616070438764767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69.618769748866484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3.3992364478763198E-14</v>
      </c>
      <c r="AK174" s="14">
        <f t="shared" si="164"/>
        <v>5.790027782444094E-13</v>
      </c>
      <c r="AL174" s="22">
        <f t="shared" si="165"/>
        <v>1.0676332069095257E-12</v>
      </c>
      <c r="AM174" s="62">
        <f t="shared" si="113"/>
        <v>291.93548907917818</v>
      </c>
      <c r="AN174" s="62">
        <f ca="1">AVERAGE(OFFSET($AM$3,0,0,'Données projet'!$E$10+1,1))-AVERAGE(OFFSET($H$3,0,0,'Données projet'!$E$10+1,1))</f>
        <v>210.41468975391527</v>
      </c>
      <c r="AO174" s="62">
        <f t="shared" si="144"/>
        <v>355.1268923221744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6.7028015794651195</v>
      </c>
      <c r="AV174" s="23">
        <f>EXP(-LN(2)/25)*AV173+(1-EXP(-LN(2)/25))/(LN(2)/25)*Calculateur!AQ174*Calculateur!AS174*VLOOKUP('Données projet'!$B$10,Paramètres!$A$1:$I$89,3,0)*0.475*44/12</f>
        <v>6.7040504968563952E-2</v>
      </c>
      <c r="AW174" s="23">
        <f>EXP(-LN(2)/2)*AW173+(1-EXP(-LN(2)/2))/(LN(2)/2)*AQ174*AT174*VLOOKUP('Données projet'!$B$10,Paramètres!$A$1:$I$89,3,0)*0.475*44/12</f>
        <v>6.597465925999752E-19</v>
      </c>
      <c r="AX174" s="23">
        <f t="shared" si="166"/>
        <v>6.7698420844336837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69.618769748866484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66.833935615974326</v>
      </c>
      <c r="BJ174" s="62">
        <f t="shared" si="146"/>
        <v>294.79914393693775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3.6234469340085207</v>
      </c>
      <c r="BQ174" s="23">
        <f>EXP(-LN(2)/25)*BQ173+(1-EXP(-LN(2)/25))/(LN(2)/25)*Calculateur!BL174*Calculateur!BN174*VLOOKUP('Données projet'!$B$11,Paramètres!$A$1:$I$89,3,0)*0.475*44/12</f>
        <v>6.0623956762903927E-2</v>
      </c>
      <c r="BR174" s="23">
        <f>EXP(-LN(2)/2)*BR173+(1-EXP(-LN(2)/2))/(LN(2)/2)*BL174*BO174*VLOOKUP('Données projet'!$B$11,Paramètres!$A$1:$I$89,3,0)*0.475*44/12</f>
        <v>1.066277069944484E-22</v>
      </c>
      <c r="BS174" s="24">
        <f t="shared" si="169"/>
        <v>3.6840708907714248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69.618769748866484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69.618769748866484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69.618769748866484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69.618769748866484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69.618769748866484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69.618769748866484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69.618769748866484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1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3.6666666666666665</v>
      </c>
      <c r="H175" s="70">
        <f t="shared" si="110"/>
        <v>232.46666666666667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69.625383241420494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66.513705559911728</v>
      </c>
      <c r="T175" s="62">
        <f t="shared" si="142"/>
        <v>293.21772799887617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3.5307324146577654</v>
      </c>
      <c r="AA175" s="23">
        <f>EXP(-LN(2)/25)*AA174+(1-EXP(-LN(2)/25))/(LN(2)/25)*Calculateur!V175*Calculateur!X175*VLOOKUP('Données projet'!$B$9,Paramètres!$A$1:$I$89,3,0)*0.475*44/12</f>
        <v>5.8606641529115537E-2</v>
      </c>
      <c r="AB175" s="23">
        <f>EXP(-LN(2)/2)*AB174+(1-EXP(-LN(2)/2))/(LN(2)/2)*V175*Y175*VLOOKUP('Données projet'!$B$9,Paramètres!$A$1:$I$89,3,0)*0.475*44/12</f>
        <v>7.4937435808157973E-23</v>
      </c>
      <c r="AC175" s="24">
        <f t="shared" si="163"/>
        <v>3.5893390561868808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69.625383241420494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3.3992364478763198E-14</v>
      </c>
      <c r="AK175" s="14">
        <f t="shared" si="164"/>
        <v>5.790027782444094E-13</v>
      </c>
      <c r="AL175" s="22">
        <f t="shared" si="165"/>
        <v>1.0676332069095257E-12</v>
      </c>
      <c r="AM175" s="62">
        <f t="shared" si="113"/>
        <v>291.95973855187623</v>
      </c>
      <c r="AN175" s="62">
        <f ca="1">AVERAGE(OFFSET($AM$3,0,0,'Données projet'!$E$10+1,1))-AVERAGE(OFFSET($H$3,0,0,'Données projet'!$E$10+1,1))</f>
        <v>210.41468975391527</v>
      </c>
      <c r="AO175" s="62">
        <f t="shared" si="144"/>
        <v>355.1268923221744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6.5713637287970856</v>
      </c>
      <c r="AV175" s="23">
        <f>EXP(-LN(2)/25)*AV174+(1-EXP(-LN(2)/25))/(LN(2)/25)*Calculateur!AQ175*Calculateur!AS175*VLOOKUP('Données projet'!$B$10,Paramètres!$A$1:$I$89,3,0)*0.475*44/12</f>
        <v>6.5207278834691643E-2</v>
      </c>
      <c r="AW175" s="23">
        <f>EXP(-LN(2)/2)*AW174+(1-EXP(-LN(2)/2))/(LN(2)/2)*AQ175*AT175*VLOOKUP('Données projet'!$B$10,Paramètres!$A$1:$I$89,3,0)*0.475*44/12</f>
        <v>4.6651128949216098E-19</v>
      </c>
      <c r="AX175" s="23">
        <f t="shared" si="166"/>
        <v>6.636571007631777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69.625383241420494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66.833935615974326</v>
      </c>
      <c r="BJ175" s="62">
        <f t="shared" si="146"/>
        <v>294.79914393693775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3.5523933497170157</v>
      </c>
      <c r="BQ175" s="23">
        <f>EXP(-LN(2)/25)*BQ174+(1-EXP(-LN(2)/25))/(LN(2)/25)*Calculateur!BL175*Calculateur!BN175*VLOOKUP('Données projet'!$B$11,Paramètres!$A$1:$I$89,3,0)*0.475*44/12</f>
        <v>5.896619147714699E-2</v>
      </c>
      <c r="BR175" s="23">
        <f>EXP(-LN(2)/2)*BR174+(1-EXP(-LN(2)/2))/(LN(2)/2)*BL175*BO175*VLOOKUP('Données projet'!$B$11,Paramètres!$A$1:$I$89,3,0)*0.475*44/12</f>
        <v>7.539717467814673E-23</v>
      </c>
      <c r="BS175" s="24">
        <f t="shared" si="169"/>
        <v>3.6113595411941626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69.625383241420494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69.625383241420494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69.625383241420494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69.625383241420494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69.625383241420494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69.625383241420494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69.625383241420494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1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3.6666666666666665</v>
      </c>
      <c r="H176" s="70">
        <f t="shared" si="110"/>
        <v>232.46666666666667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69.631882004664234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66.513705559911728</v>
      </c>
      <c r="T176" s="62">
        <f t="shared" si="142"/>
        <v>293.21772799887617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3.4614969055404559</v>
      </c>
      <c r="AA176" s="23">
        <f>EXP(-LN(2)/25)*AA175+(1-EXP(-LN(2)/25))/(LN(2)/25)*Calculateur!V176*Calculateur!X176*VLOOKUP('Données projet'!$B$9,Paramètres!$A$1:$I$89,3,0)*0.475*44/12</f>
        <v>5.7004039834512542E-2</v>
      </c>
      <c r="AB176" s="23">
        <f>EXP(-LN(2)/2)*AB175+(1-EXP(-LN(2)/2))/(LN(2)/2)*V176*Y176*VLOOKUP('Données projet'!$B$9,Paramètres!$A$1:$I$89,3,0)*0.475*44/12</f>
        <v>5.2988769024680111E-23</v>
      </c>
      <c r="AC176" s="24">
        <f t="shared" si="163"/>
        <v>3.5185009453749685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69.631882004664234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3.3992364478763198E-14</v>
      </c>
      <c r="AK176" s="14">
        <f t="shared" si="164"/>
        <v>5.790027782444094E-13</v>
      </c>
      <c r="AL176" s="22">
        <f t="shared" si="165"/>
        <v>1.0676332069095257E-12</v>
      </c>
      <c r="AM176" s="62">
        <f t="shared" si="113"/>
        <v>291.9835673504366</v>
      </c>
      <c r="AN176" s="62">
        <f ca="1">AVERAGE(OFFSET($AM$3,0,0,'Données projet'!$E$10+1,1))-AVERAGE(OFFSET($H$3,0,0,'Données projet'!$E$10+1,1))</f>
        <v>210.41468975391527</v>
      </c>
      <c r="AO176" s="62">
        <f t="shared" si="144"/>
        <v>355.1268923221744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6.4425032942114786</v>
      </c>
      <c r="AV176" s="23">
        <f>EXP(-LN(2)/25)*AV175+(1-EXP(-LN(2)/25))/(LN(2)/25)*Calculateur!AQ176*Calculateur!AS176*VLOOKUP('Données projet'!$B$10,Paramètres!$A$1:$I$89,3,0)*0.475*44/12</f>
        <v>6.3424182365855244E-2</v>
      </c>
      <c r="AW176" s="23">
        <f>EXP(-LN(2)/2)*AW175+(1-EXP(-LN(2)/2))/(LN(2)/2)*AQ176*AT176*VLOOKUP('Données projet'!$B$10,Paramètres!$A$1:$I$89,3,0)*0.475*44/12</f>
        <v>3.298732962999876E-19</v>
      </c>
      <c r="AX176" s="23">
        <f t="shared" si="166"/>
        <v>6.5059274765773338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69.631882004664234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66.833935615974326</v>
      </c>
      <c r="BJ176" s="62">
        <f t="shared" si="146"/>
        <v>294.79914393693775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3.4827330828750598</v>
      </c>
      <c r="BQ176" s="23">
        <f>EXP(-LN(2)/25)*BQ175+(1-EXP(-LN(2)/25))/(LN(2)/25)*Calculateur!BL176*Calculateur!BN176*VLOOKUP('Données projet'!$B$11,Paramètres!$A$1:$I$89,3,0)*0.475*44/12</f>
        <v>5.7353757870307165E-2</v>
      </c>
      <c r="BR176" s="23">
        <f>EXP(-LN(2)/2)*BR175+(1-EXP(-LN(2)/2))/(LN(2)/2)*BL176*BO176*VLOOKUP('Données projet'!$B$11,Paramètres!$A$1:$I$89,3,0)*0.475*44/12</f>
        <v>5.3313853497224201E-23</v>
      </c>
      <c r="BS176" s="24">
        <f t="shared" si="169"/>
        <v>3.5400868407453672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69.631882004664234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69.631882004664234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69.631882004664234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69.631882004664234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69.631882004664234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69.631882004664234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69.631882004664234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1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3.6666666666666665</v>
      </c>
      <c r="H177" s="70">
        <f t="shared" si="110"/>
        <v>232.46666666666667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69.638268028894771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66.513705559911728</v>
      </c>
      <c r="T177" s="62">
        <f t="shared" si="142"/>
        <v>293.21772799887617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3.3936190625274461</v>
      </c>
      <c r="AA177" s="23">
        <f>EXP(-LN(2)/25)*AA176+(1-EXP(-LN(2)/25))/(LN(2)/25)*Calculateur!V177*Calculateur!X177*VLOOKUP('Données projet'!$B$9,Paramètres!$A$1:$I$89,3,0)*0.475*44/12</f>
        <v>5.5445261367525624E-2</v>
      </c>
      <c r="AB177" s="23">
        <f>EXP(-LN(2)/2)*AB176+(1-EXP(-LN(2)/2))/(LN(2)/2)*V177*Y177*VLOOKUP('Données projet'!$B$9,Paramètres!$A$1:$I$89,3,0)*0.475*44/12</f>
        <v>3.7468717904078986E-23</v>
      </c>
      <c r="AC177" s="24">
        <f t="shared" si="163"/>
        <v>3.4490643238949716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69.638268028894771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3.3992364478763198E-14</v>
      </c>
      <c r="AK177" s="14">
        <f t="shared" si="164"/>
        <v>5.790027782444094E-13</v>
      </c>
      <c r="AL177" s="22">
        <f t="shared" si="165"/>
        <v>1.0676332069095257E-12</v>
      </c>
      <c r="AM177" s="62">
        <f t="shared" si="113"/>
        <v>292.00698277261523</v>
      </c>
      <c r="AN177" s="62">
        <f ca="1">AVERAGE(OFFSET($AM$3,0,0,'Données projet'!$E$10+1,1))-AVERAGE(OFFSET($H$3,0,0,'Données projet'!$E$10+1,1))</f>
        <v>210.41468975391527</v>
      </c>
      <c r="AO177" s="62">
        <f t="shared" si="144"/>
        <v>355.1268923221744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6.316169734150991</v>
      </c>
      <c r="AV177" s="23">
        <f>EXP(-LN(2)/25)*AV176+(1-EXP(-LN(2)/25))/(LN(2)/25)*Calculateur!AQ177*Calculateur!AS177*VLOOKUP('Données projet'!$B$10,Paramètres!$A$1:$I$89,3,0)*0.475*44/12</f>
        <v>6.1689844763728137E-2</v>
      </c>
      <c r="AW177" s="23">
        <f>EXP(-LN(2)/2)*AW176+(1-EXP(-LN(2)/2))/(LN(2)/2)*AQ177*AT177*VLOOKUP('Données projet'!$B$10,Paramètres!$A$1:$I$89,3,0)*0.475*44/12</f>
        <v>2.3325564474608049E-19</v>
      </c>
      <c r="AX177" s="23">
        <f t="shared" si="166"/>
        <v>6.3778595789147188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69.638268028894771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66.833935615974326</v>
      </c>
      <c r="BJ177" s="62">
        <f t="shared" si="146"/>
        <v>294.79914393693775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3.4144388113773072</v>
      </c>
      <c r="BQ177" s="23">
        <f>EXP(-LN(2)/25)*BQ176+(1-EXP(-LN(2)/25))/(LN(2)/25)*Calculateur!BL177*Calculateur!BN177*VLOOKUP('Données projet'!$B$11,Paramètres!$A$1:$I$89,3,0)*0.475*44/12</f>
        <v>5.578541634524057E-2</v>
      </c>
      <c r="BR177" s="23">
        <f>EXP(-LN(2)/2)*BR176+(1-EXP(-LN(2)/2))/(LN(2)/2)*BL177*BO177*VLOOKUP('Données projet'!$B$11,Paramètres!$A$1:$I$89,3,0)*0.475*44/12</f>
        <v>3.7698587339073365E-23</v>
      </c>
      <c r="BS177" s="24">
        <f t="shared" si="169"/>
        <v>3.4702242277225479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69.638268028894771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69.638268028894771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69.638268028894771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69.638268028894771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69.638268028894771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69.638268028894771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69.638268028894771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1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3.6666666666666665</v>
      </c>
      <c r="H178" s="70">
        <f t="shared" si="110"/>
        <v>232.46666666666667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69.644543269881908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66.513705559911728</v>
      </c>
      <c r="T178" s="62">
        <f t="shared" si="142"/>
        <v>293.21772799887617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3.327072262614525</v>
      </c>
      <c r="AA178" s="23">
        <f>EXP(-LN(2)/25)*AA177+(1-EXP(-LN(2)/25))/(LN(2)/25)*Calculateur!V178*Calculateur!X178*VLOOKUP('Données projet'!$B$9,Paramètres!$A$1:$I$89,3,0)*0.475*44/12</f>
        <v>5.3929107779691059E-2</v>
      </c>
      <c r="AB178" s="23">
        <f>EXP(-LN(2)/2)*AB177+(1-EXP(-LN(2)/2))/(LN(2)/2)*V178*Y178*VLOOKUP('Données projet'!$B$9,Paramètres!$A$1:$I$89,3,0)*0.475*44/12</f>
        <v>2.6494384512340055E-23</v>
      </c>
      <c r="AC178" s="24">
        <f t="shared" si="163"/>
        <v>3.3810013703942161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69.644543269881908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3.3992364478763198E-14</v>
      </c>
      <c r="AK178" s="14">
        <f t="shared" si="164"/>
        <v>5.790027782444094E-13</v>
      </c>
      <c r="AL178" s="22">
        <f t="shared" si="165"/>
        <v>1.0676332069095257E-12</v>
      </c>
      <c r="AM178" s="62">
        <f t="shared" si="113"/>
        <v>292.02999198956809</v>
      </c>
      <c r="AN178" s="62">
        <f ca="1">AVERAGE(OFFSET($AM$3,0,0,'Données projet'!$E$10+1,1))-AVERAGE(OFFSET($H$3,0,0,'Données projet'!$E$10+1,1))</f>
        <v>210.41468975391527</v>
      </c>
      <c r="AO178" s="62">
        <f t="shared" si="144"/>
        <v>355.1268923221744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6.1923134981474268</v>
      </c>
      <c r="AV178" s="23">
        <f>EXP(-LN(2)/25)*AV177+(1-EXP(-LN(2)/25))/(LN(2)/25)*Calculateur!AQ178*Calculateur!AS178*VLOOKUP('Données projet'!$B$10,Paramètres!$A$1:$I$89,3,0)*0.475*44/12</f>
        <v>6.000293271453605E-2</v>
      </c>
      <c r="AW178" s="23">
        <f>EXP(-LN(2)/2)*AW177+(1-EXP(-LN(2)/2))/(LN(2)/2)*AQ178*AT178*VLOOKUP('Données projet'!$B$10,Paramètres!$A$1:$I$89,3,0)*0.475*44/12</f>
        <v>1.649366481499938E-19</v>
      </c>
      <c r="AX178" s="23">
        <f t="shared" si="166"/>
        <v>6.2523164308619625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69.644543269881908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66.833935615974326</v>
      </c>
      <c r="BJ178" s="62">
        <f t="shared" si="146"/>
        <v>294.79914393693775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3.3474837488882332</v>
      </c>
      <c r="BQ178" s="23">
        <f>EXP(-LN(2)/25)*BQ177+(1-EXP(-LN(2)/25))/(LN(2)/25)*Calculateur!BL178*Calculateur!BN178*VLOOKUP('Données projet'!$B$11,Paramètres!$A$1:$I$89,3,0)*0.475*44/12</f>
        <v>5.4259961201652419E-2</v>
      </c>
      <c r="BR178" s="23">
        <f>EXP(-LN(2)/2)*BR177+(1-EXP(-LN(2)/2))/(LN(2)/2)*BL178*BO178*VLOOKUP('Données projet'!$B$11,Paramètres!$A$1:$I$89,3,0)*0.475*44/12</f>
        <v>2.6656926748612101E-23</v>
      </c>
      <c r="BS178" s="24">
        <f t="shared" si="169"/>
        <v>3.4017437100898857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69.644543269881908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69.644543269881908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69.644543269881908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69.644543269881908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69.644543269881908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69.644543269881908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69.644543269881908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1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3.6666666666666665</v>
      </c>
      <c r="H179" s="70">
        <f t="shared" si="110"/>
        <v>232.46666666666667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69.65070964946726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66.513705559911728</v>
      </c>
      <c r="T179" s="62">
        <f t="shared" si="142"/>
        <v>293.21772799887617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3.2618304048583564</v>
      </c>
      <c r="AA179" s="23">
        <f>EXP(-LN(2)/25)*AA178+(1-EXP(-LN(2)/25))/(LN(2)/25)*Calculateur!V179*Calculateur!X179*VLOOKUP('Données projet'!$B$9,Paramètres!$A$1:$I$89,3,0)*0.475*44/12</f>
        <v>5.2454413491446888E-2</v>
      </c>
      <c r="AB179" s="23">
        <f>EXP(-LN(2)/2)*AB178+(1-EXP(-LN(2)/2))/(LN(2)/2)*V179*Y179*VLOOKUP('Données projet'!$B$9,Paramètres!$A$1:$I$89,3,0)*0.475*44/12</f>
        <v>1.8734358952039493E-23</v>
      </c>
      <c r="AC179" s="24">
        <f t="shared" si="163"/>
        <v>3.3142848183498033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69.65070964946726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3.3992364478763198E-14</v>
      </c>
      <c r="AK179" s="14">
        <f t="shared" si="164"/>
        <v>5.790027782444094E-13</v>
      </c>
      <c r="AL179" s="22">
        <f t="shared" si="165"/>
        <v>1.0676332069095257E-12</v>
      </c>
      <c r="AM179" s="62">
        <f t="shared" si="113"/>
        <v>292.05260204804767</v>
      </c>
      <c r="AN179" s="62">
        <f ca="1">AVERAGE(OFFSET($AM$3,0,0,'Données projet'!$E$10+1,1))-AVERAGE(OFFSET($H$3,0,0,'Données projet'!$E$10+1,1))</f>
        <v>210.41468975391527</v>
      </c>
      <c r="AO179" s="62">
        <f t="shared" si="144"/>
        <v>355.1268923221744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6.0708860073870481</v>
      </c>
      <c r="AV179" s="23">
        <f>EXP(-LN(2)/25)*AV178+(1-EXP(-LN(2)/25))/(LN(2)/25)*Calculateur!AQ179*Calculateur!AS179*VLOOKUP('Données projet'!$B$10,Paramètres!$A$1:$I$89,3,0)*0.475*44/12</f>
        <v>5.8362149364039967E-2</v>
      </c>
      <c r="AW179" s="23">
        <f>EXP(-LN(2)/2)*AW178+(1-EXP(-LN(2)/2))/(LN(2)/2)*AQ179*AT179*VLOOKUP('Données projet'!$B$10,Paramètres!$A$1:$I$89,3,0)*0.475*44/12</f>
        <v>1.1662782237304025E-19</v>
      </c>
      <c r="AX179" s="23">
        <f t="shared" si="166"/>
        <v>6.1292481567510881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69.65070964946726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66.833935615974326</v>
      </c>
      <c r="BJ179" s="62">
        <f t="shared" si="146"/>
        <v>294.79914393693775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3.2818416343360144</v>
      </c>
      <c r="BQ179" s="23">
        <f>EXP(-LN(2)/25)*BQ178+(1-EXP(-LN(2)/25))/(LN(2)/25)*Calculateur!BL179*Calculateur!BN179*VLOOKUP('Données projet'!$B$11,Paramètres!$A$1:$I$89,3,0)*0.475*44/12</f>
        <v>5.277621970918589E-2</v>
      </c>
      <c r="BR179" s="23">
        <f>EXP(-LN(2)/2)*BR178+(1-EXP(-LN(2)/2))/(LN(2)/2)*BL179*BO179*VLOOKUP('Données projet'!$B$11,Paramètres!$A$1:$I$89,3,0)*0.475*44/12</f>
        <v>1.8849293669536683E-23</v>
      </c>
      <c r="BS179" s="24">
        <f t="shared" si="169"/>
        <v>3.3346178540452005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69.65070964946726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69.65070964946726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69.65070964946726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69.65070964946726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69.65070964946726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69.65070964946726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69.65070964946726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1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3.6666666666666665</v>
      </c>
      <c r="H180" s="70">
        <f t="shared" si="110"/>
        <v>232.46666666666667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69.656769056152768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66.513705559911728</v>
      </c>
      <c r="T180" s="62">
        <f t="shared" si="142"/>
        <v>293.21772799887617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3.1978679001391823</v>
      </c>
      <c r="AA180" s="23">
        <f>EXP(-LN(2)/25)*AA179+(1-EXP(-LN(2)/25))/(LN(2)/25)*Calculateur!V180*Calculateur!X180*VLOOKUP('Données projet'!$B$9,Paramètres!$A$1:$I$89,3,0)*0.475*44/12</f>
        <v>5.1020044796065554E-2</v>
      </c>
      <c r="AB180" s="23">
        <f>EXP(-LN(2)/2)*AB179+(1-EXP(-LN(2)/2))/(LN(2)/2)*V180*Y180*VLOOKUP('Données projet'!$B$9,Paramètres!$A$1:$I$89,3,0)*0.475*44/12</f>
        <v>1.3247192256170028E-23</v>
      </c>
      <c r="AC180" s="24">
        <f t="shared" si="163"/>
        <v>3.2488879449352477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69.656769056152768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3.3992364478763198E-14</v>
      </c>
      <c r="AK180" s="14">
        <f t="shared" si="164"/>
        <v>5.790027782444094E-13</v>
      </c>
      <c r="AL180" s="22">
        <f t="shared" si="165"/>
        <v>1.0676332069095257E-12</v>
      </c>
      <c r="AM180" s="62">
        <f t="shared" si="113"/>
        <v>292.07481987256119</v>
      </c>
      <c r="AN180" s="62">
        <f ca="1">AVERAGE(OFFSET($AM$3,0,0,'Données projet'!$E$10+1,1))-AVERAGE(OFFSET($H$3,0,0,'Données projet'!$E$10+1,1))</f>
        <v>210.41468975391527</v>
      </c>
      <c r="AO180" s="62">
        <f t="shared" si="144"/>
        <v>355.1268923221744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5.9518396356570245</v>
      </c>
      <c r="AV180" s="23">
        <f>EXP(-LN(2)/25)*AV179+(1-EXP(-LN(2)/25))/(LN(2)/25)*Calculateur!AQ180*Calculateur!AS180*VLOOKUP('Données projet'!$B$10,Paramètres!$A$1:$I$89,3,0)*0.475*44/12</f>
        <v>5.6766233320548247E-2</v>
      </c>
      <c r="AW180" s="23">
        <f>EXP(-LN(2)/2)*AW179+(1-EXP(-LN(2)/2))/(LN(2)/2)*AQ180*AT180*VLOOKUP('Données projet'!$B$10,Paramètres!$A$1:$I$89,3,0)*0.475*44/12</f>
        <v>8.24683240749969E-20</v>
      </c>
      <c r="AX180" s="23">
        <f t="shared" si="166"/>
        <v>6.0086058689775728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69.656769056152768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66.833935615974326</v>
      </c>
      <c r="BJ180" s="62">
        <f t="shared" si="146"/>
        <v>294.79914393693775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3.2174867216124281</v>
      </c>
      <c r="BQ180" s="23">
        <f>EXP(-LN(2)/25)*BQ179+(1-EXP(-LN(2)/25))/(LN(2)/25)*Calculateur!BL180*Calculateur!BN180*VLOOKUP('Données projet'!$B$11,Paramètres!$A$1:$I$89,3,0)*0.475*44/12</f>
        <v>5.1333051205857426E-2</v>
      </c>
      <c r="BR180" s="23">
        <f>EXP(-LN(2)/2)*BR179+(1-EXP(-LN(2)/2))/(LN(2)/2)*BL180*BO180*VLOOKUP('Données projet'!$B$11,Paramètres!$A$1:$I$89,3,0)*0.475*44/12</f>
        <v>1.332846337430605E-23</v>
      </c>
      <c r="BS180" s="24">
        <f t="shared" si="169"/>
        <v>3.2688197728182855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69.656769056152768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69.656769056152768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69.656769056152768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69.656769056152768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69.656769056152768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69.656769056152768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69.656769056152768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1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3.6666666666666665</v>
      </c>
      <c r="H181" s="70">
        <f t="shared" si="110"/>
        <v>232.46666666666667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69.662723345679083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66.513705559911728</v>
      </c>
      <c r="T181" s="62">
        <f t="shared" si="142"/>
        <v>293.21772799887617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3.1351596611242756</v>
      </c>
      <c r="AA181" s="23">
        <f>EXP(-LN(2)/25)*AA180+(1-EXP(-LN(2)/25))/(LN(2)/25)*Calculateur!V181*Calculateur!X181*VLOOKUP('Données projet'!$B$9,Paramètres!$A$1:$I$89,3,0)*0.475*44/12</f>
        <v>4.9624898988089597E-2</v>
      </c>
      <c r="AB181" s="23">
        <f>EXP(-LN(2)/2)*AB180+(1-EXP(-LN(2)/2))/(LN(2)/2)*V181*Y181*VLOOKUP('Données projet'!$B$9,Paramètres!$A$1:$I$89,3,0)*0.475*44/12</f>
        <v>9.3671794760197466E-24</v>
      </c>
      <c r="AC181" s="24">
        <f t="shared" si="163"/>
        <v>3.184784560112365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69.662723345679083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3.3992364478763198E-14</v>
      </c>
      <c r="AK181" s="14">
        <f t="shared" si="164"/>
        <v>5.790027782444094E-13</v>
      </c>
      <c r="AL181" s="22">
        <f t="shared" si="165"/>
        <v>1.0676332069095257E-12</v>
      </c>
      <c r="AM181" s="62">
        <f t="shared" si="113"/>
        <v>292.09665226749104</v>
      </c>
      <c r="AN181" s="62">
        <f ca="1">AVERAGE(OFFSET($AM$3,0,0,'Données projet'!$E$10+1,1))-AVERAGE(OFFSET($H$3,0,0,'Données projet'!$E$10+1,1))</f>
        <v>210.41468975391527</v>
      </c>
      <c r="AO181" s="62">
        <f t="shared" si="144"/>
        <v>355.1268923221744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5.8351276906655096</v>
      </c>
      <c r="AV181" s="23">
        <f>EXP(-LN(2)/25)*AV180+(1-EXP(-LN(2)/25))/(LN(2)/25)*Calculateur!AQ181*Calculateur!AS181*VLOOKUP('Données projet'!$B$10,Paramètres!$A$1:$I$89,3,0)*0.475*44/12</f>
        <v>5.5213957685191384E-2</v>
      </c>
      <c r="AW181" s="23">
        <f>EXP(-LN(2)/2)*AW180+(1-EXP(-LN(2)/2))/(LN(2)/2)*AQ181*AT181*VLOOKUP('Données projet'!$B$10,Paramètres!$A$1:$I$89,3,0)*0.475*44/12</f>
        <v>5.8313911186520123E-20</v>
      </c>
      <c r="AX181" s="23">
        <f t="shared" si="166"/>
        <v>5.8903416483507014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69.662723345679083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66.833935615974326</v>
      </c>
      <c r="BJ181" s="62">
        <f t="shared" si="146"/>
        <v>294.79914393693775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3.1543937694747304</v>
      </c>
      <c r="BQ181" s="23">
        <f>EXP(-LN(2)/25)*BQ180+(1-EXP(-LN(2)/25))/(LN(2)/25)*Calculateur!BL181*Calculateur!BN181*VLOOKUP('Données projet'!$B$11,Paramètres!$A$1:$I$89,3,0)*0.475*44/12</f>
        <v>4.9929346221145414E-2</v>
      </c>
      <c r="BR181" s="23">
        <f>EXP(-LN(2)/2)*BR180+(1-EXP(-LN(2)/2))/(LN(2)/2)*BL181*BO181*VLOOKUP('Données projet'!$B$11,Paramètres!$A$1:$I$89,3,0)*0.475*44/12</f>
        <v>9.4246468347683413E-24</v>
      </c>
      <c r="BS181" s="24">
        <f t="shared" si="169"/>
        <v>3.2043231156958756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69.662723345679083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69.662723345679083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69.662723345679083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69.662723345679083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69.662723345679083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69.662723345679083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69.662723345679083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1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3.6666666666666665</v>
      </c>
      <c r="H182" s="70">
        <f t="shared" si="110"/>
        <v>232.46666666666667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69.66857434159391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66.513705559911728</v>
      </c>
      <c r="T182" s="62">
        <f t="shared" si="142"/>
        <v>293.21772799887617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3.0736810924282021</v>
      </c>
      <c r="AA182" s="23">
        <f>EXP(-LN(2)/25)*AA181+(1-EXP(-LN(2)/25))/(LN(2)/25)*Calculateur!V182*Calculateur!X182*VLOOKUP('Données projet'!$B$9,Paramètres!$A$1:$I$89,3,0)*0.475*44/12</f>
        <v>4.8267903515600272E-2</v>
      </c>
      <c r="AB182" s="23">
        <f>EXP(-LN(2)/2)*AB181+(1-EXP(-LN(2)/2))/(LN(2)/2)*V182*Y182*VLOOKUP('Données projet'!$B$9,Paramètres!$A$1:$I$89,3,0)*0.475*44/12</f>
        <v>6.6235961280850138E-24</v>
      </c>
      <c r="AC182" s="24">
        <f t="shared" si="163"/>
        <v>3.1219489959438023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69.66857434159391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3.3992364478763198E-14</v>
      </c>
      <c r="AK182" s="14">
        <f t="shared" si="164"/>
        <v>5.790027782444094E-13</v>
      </c>
      <c r="AL182" s="22">
        <f t="shared" si="165"/>
        <v>1.0676332069095257E-12</v>
      </c>
      <c r="AM182" s="62">
        <f t="shared" si="113"/>
        <v>292.11810591917873</v>
      </c>
      <c r="AN182" s="62">
        <f ca="1">AVERAGE(OFFSET($AM$3,0,0,'Données projet'!$E$10+1,1))-AVERAGE(OFFSET($H$3,0,0,'Données projet'!$E$10+1,1))</f>
        <v>210.41468975391527</v>
      </c>
      <c r="AO182" s="62">
        <f t="shared" si="144"/>
        <v>355.1268923221744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5.7207043957280206</v>
      </c>
      <c r="AV182" s="23">
        <f>EXP(-LN(2)/25)*AV181+(1-EXP(-LN(2)/25))/(LN(2)/25)*Calculateur!AQ182*Calculateur!AS182*VLOOKUP('Données projet'!$B$10,Paramètres!$A$1:$I$89,3,0)*0.475*44/12</f>
        <v>5.3704129108713985E-2</v>
      </c>
      <c r="AW182" s="23">
        <f>EXP(-LN(2)/2)*AW181+(1-EXP(-LN(2)/2))/(LN(2)/2)*AQ182*AT182*VLOOKUP('Données projet'!$B$10,Paramètres!$A$1:$I$89,3,0)*0.475*44/12</f>
        <v>4.123416203749845E-20</v>
      </c>
      <c r="AX182" s="23">
        <f t="shared" si="166"/>
        <v>5.7744085248367343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69.66857434159391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66.833935615974326</v>
      </c>
      <c r="BJ182" s="62">
        <f t="shared" si="146"/>
        <v>294.79914393693775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3.0925380316455522</v>
      </c>
      <c r="BQ182" s="23">
        <f>EXP(-LN(2)/25)*BQ181+(1-EXP(-LN(2)/25))/(LN(2)/25)*Calculateur!BL182*Calculateur!BN182*VLOOKUP('Données projet'!$B$11,Paramètres!$A$1:$I$89,3,0)*0.475*44/12</f>
        <v>4.8564025623057991E-2</v>
      </c>
      <c r="BR182" s="23">
        <f>EXP(-LN(2)/2)*BR181+(1-EXP(-LN(2)/2))/(LN(2)/2)*BL182*BO182*VLOOKUP('Données projet'!$B$11,Paramètres!$A$1:$I$89,3,0)*0.475*44/12</f>
        <v>6.6642316871530252E-24</v>
      </c>
      <c r="BS182" s="24">
        <f t="shared" si="169"/>
        <v>3.1411020572686104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69.66857434159391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69.66857434159391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69.66857434159391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69.66857434159391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69.66857434159391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69.66857434159391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69.66857434159391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1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3.6666666666666665</v>
      </c>
      <c r="H183" s="70">
        <f t="shared" si="110"/>
        <v>232.46666666666667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69.674323835810497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66.513705559911728</v>
      </c>
      <c r="T183" s="62">
        <f t="shared" si="142"/>
        <v>293.21772799887617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3.0134080809660344</v>
      </c>
      <c r="AA183" s="23">
        <f>EXP(-LN(2)/25)*AA182+(1-EXP(-LN(2)/25))/(LN(2)/25)*Calculateur!V183*Calculateur!X183*VLOOKUP('Données projet'!$B$9,Paramètres!$A$1:$I$89,3,0)*0.475*44/12</f>
        <v>4.6948015155667454E-2</v>
      </c>
      <c r="AB183" s="23">
        <f>EXP(-LN(2)/2)*AB182+(1-EXP(-LN(2)/2))/(LN(2)/2)*V183*Y183*VLOOKUP('Données projet'!$B$9,Paramètres!$A$1:$I$89,3,0)*0.475*44/12</f>
        <v>4.6835897380098733E-24</v>
      </c>
      <c r="AC183" s="24">
        <f t="shared" si="163"/>
        <v>3.0603560961217018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69.674323835810497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3.3992364478763198E-14</v>
      </c>
      <c r="AK183" s="14">
        <f t="shared" si="164"/>
        <v>5.790027782444094E-13</v>
      </c>
      <c r="AL183" s="22">
        <f t="shared" si="165"/>
        <v>1.0676332069095257E-12</v>
      </c>
      <c r="AM183" s="62">
        <f t="shared" si="113"/>
        <v>292.13918739797293</v>
      </c>
      <c r="AN183" s="62">
        <f ca="1">AVERAGE(OFFSET($AM$3,0,0,'Données projet'!$E$10+1,1))-AVERAGE(OFFSET($H$3,0,0,'Données projet'!$E$10+1,1))</f>
        <v>210.41468975391527</v>
      </c>
      <c r="AO183" s="62">
        <f t="shared" si="144"/>
        <v>355.1268923221744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5.6085248718129375</v>
      </c>
      <c r="AV183" s="23">
        <f>EXP(-LN(2)/25)*AV182+(1-EXP(-LN(2)/25))/(LN(2)/25)*Calculateur!AQ183*Calculateur!AS183*VLOOKUP('Données projet'!$B$10,Paramètres!$A$1:$I$89,3,0)*0.475*44/12</f>
        <v>5.2235586874058791E-2</v>
      </c>
      <c r="AW183" s="23">
        <f>EXP(-LN(2)/2)*AW182+(1-EXP(-LN(2)/2))/(LN(2)/2)*AQ183*AT183*VLOOKUP('Données projet'!$B$10,Paramètres!$A$1:$I$89,3,0)*0.475*44/12</f>
        <v>2.9156955593260061E-20</v>
      </c>
      <c r="AX183" s="23">
        <f t="shared" si="166"/>
        <v>5.6607604586869966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69.674323835810497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66.833935615974326</v>
      </c>
      <c r="BJ183" s="62">
        <f t="shared" si="146"/>
        <v>294.79914393693775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3.0318952471069291</v>
      </c>
      <c r="BQ183" s="23">
        <f>EXP(-LN(2)/25)*BQ182+(1-EXP(-LN(2)/25))/(LN(2)/25)*Calculateur!BL183*Calculateur!BN183*VLOOKUP('Données projet'!$B$11,Paramètres!$A$1:$I$89,3,0)*0.475*44/12</f>
        <v>4.7236039788524357E-2</v>
      </c>
      <c r="BR183" s="23">
        <f>EXP(-LN(2)/2)*BR182+(1-EXP(-LN(2)/2))/(LN(2)/2)*BL183*BO183*VLOOKUP('Données projet'!$B$11,Paramètres!$A$1:$I$89,3,0)*0.475*44/12</f>
        <v>4.7123234173841706E-24</v>
      </c>
      <c r="BS183" s="24">
        <f t="shared" si="169"/>
        <v>3.0791312868954535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69.674323835810497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69.674323835810497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69.674323835810497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69.674323835810497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69.674323835810497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69.674323835810497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69.674323835810497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1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3.6666666666666665</v>
      </c>
      <c r="H184" s="70">
        <f t="shared" si="110"/>
        <v>232.46666666666667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69.679973589156361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66.513705559911728</v>
      </c>
      <c r="T184" s="62">
        <f t="shared" si="142"/>
        <v>293.21772799887617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2.9543169864957326</v>
      </c>
      <c r="AA184" s="23">
        <f>EXP(-LN(2)/25)*AA183+(1-EXP(-LN(2)/25))/(LN(2)/25)*Calculateur!V184*Calculateur!X184*VLOOKUP('Données projet'!$B$9,Paramètres!$A$1:$I$89,3,0)*0.475*44/12</f>
        <v>4.566421921234691E-2</v>
      </c>
      <c r="AB184" s="23">
        <f>EXP(-LN(2)/2)*AB183+(1-EXP(-LN(2)/2))/(LN(2)/2)*V184*Y184*VLOOKUP('Données projet'!$B$9,Paramètres!$A$1:$I$89,3,0)*0.475*44/12</f>
        <v>3.3117980640425069E-24</v>
      </c>
      <c r="AC184" s="24">
        <f t="shared" si="163"/>
        <v>2.9999812057080795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69.679973589156361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3.3992364478763198E-14</v>
      </c>
      <c r="AK184" s="14">
        <f t="shared" si="164"/>
        <v>5.790027782444094E-13</v>
      </c>
      <c r="AL184" s="22">
        <f t="shared" si="165"/>
        <v>1.0676332069095257E-12</v>
      </c>
      <c r="AM184" s="62">
        <f t="shared" si="113"/>
        <v>292.15990316024107</v>
      </c>
      <c r="AN184" s="62">
        <f ca="1">AVERAGE(OFFSET($AM$3,0,0,'Données projet'!$E$10+1,1))-AVERAGE(OFFSET($H$3,0,0,'Données projet'!$E$10+1,1))</f>
        <v>210.41468975391527</v>
      </c>
      <c r="AO184" s="62">
        <f t="shared" si="144"/>
        <v>355.1268923221744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5.4985451199390756</v>
      </c>
      <c r="AV184" s="23">
        <f>EXP(-LN(2)/25)*AV183+(1-EXP(-LN(2)/25))/(LN(2)/25)*Calculateur!AQ184*Calculateur!AS184*VLOOKUP('Données projet'!$B$10,Paramètres!$A$1:$I$89,3,0)*0.475*44/12</f>
        <v>5.0807202004037523E-2</v>
      </c>
      <c r="AW184" s="23">
        <f>EXP(-LN(2)/2)*AW183+(1-EXP(-LN(2)/2))/(LN(2)/2)*AQ184*AT184*VLOOKUP('Données projet'!$B$10,Paramètres!$A$1:$I$89,3,0)*0.475*44/12</f>
        <v>2.0617081018749225E-20</v>
      </c>
      <c r="AX184" s="23">
        <f t="shared" si="166"/>
        <v>5.5493523219431129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69.679973589156361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66.833935615974326</v>
      </c>
      <c r="BJ184" s="62">
        <f t="shared" si="146"/>
        <v>294.79914393693775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2.9724416305846626</v>
      </c>
      <c r="BQ184" s="23">
        <f>EXP(-LN(2)/25)*BQ183+(1-EXP(-LN(2)/25))/(LN(2)/25)*Calculateur!BL184*Calculateur!BN184*VLOOKUP('Données projet'!$B$11,Paramètres!$A$1:$I$89,3,0)*0.475*44/12</f>
        <v>4.5944367796471784E-2</v>
      </c>
      <c r="BR184" s="23">
        <f>EXP(-LN(2)/2)*BR183+(1-EXP(-LN(2)/2))/(LN(2)/2)*BL184*BO184*VLOOKUP('Données projet'!$B$11,Paramètres!$A$1:$I$89,3,0)*0.475*44/12</f>
        <v>3.3321158435765126E-24</v>
      </c>
      <c r="BS184" s="24">
        <f t="shared" si="169"/>
        <v>3.0183859983811345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69.679973589156361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69.679973589156361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69.679973589156361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69.679973589156361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69.679973589156361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69.679973589156361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69.679973589156361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1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3.6666666666666665</v>
      </c>
      <c r="H185" s="70">
        <f t="shared" si="110"/>
        <v>232.46666666666667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69.685525331912629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66.513705559911728</v>
      </c>
      <c r="T185" s="62">
        <f t="shared" si="142"/>
        <v>293.21772799887617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2.8963846323459848</v>
      </c>
      <c r="AA185" s="23">
        <f>EXP(-LN(2)/25)*AA184+(1-EXP(-LN(2)/25))/(LN(2)/25)*Calculateur!V185*Calculateur!X185*VLOOKUP('Données projet'!$B$9,Paramètres!$A$1:$I$89,3,0)*0.475*44/12</f>
        <v>4.441552873660836E-2</v>
      </c>
      <c r="AB185" s="23">
        <f>EXP(-LN(2)/2)*AB184+(1-EXP(-LN(2)/2))/(LN(2)/2)*V185*Y185*VLOOKUP('Données projet'!$B$9,Paramètres!$A$1:$I$89,3,0)*0.475*44/12</f>
        <v>2.3417948690049366E-24</v>
      </c>
      <c r="AC185" s="24">
        <f t="shared" si="163"/>
        <v>2.9408001610825929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69.685525331912629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3.3992364478763198E-14</v>
      </c>
      <c r="AK185" s="14">
        <f t="shared" si="164"/>
        <v>5.790027782444094E-13</v>
      </c>
      <c r="AL185" s="22">
        <f t="shared" si="165"/>
        <v>1.0676332069095257E-12</v>
      </c>
      <c r="AM185" s="62">
        <f t="shared" si="113"/>
        <v>292.18025955034739</v>
      </c>
      <c r="AN185" s="62">
        <f ca="1">AVERAGE(OFFSET($AM$3,0,0,'Données projet'!$E$10+1,1))-AVERAGE(OFFSET($H$3,0,0,'Données projet'!$E$10+1,1))</f>
        <v>210.41468975391527</v>
      </c>
      <c r="AO185" s="62">
        <f t="shared" si="144"/>
        <v>355.1268923221744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5.3907220039184347</v>
      </c>
      <c r="AV185" s="23">
        <f>EXP(-LN(2)/25)*AV184+(1-EXP(-LN(2)/25))/(LN(2)/25)*Calculateur!AQ185*Calculateur!AS185*VLOOKUP('Données projet'!$B$10,Paramètres!$A$1:$I$89,3,0)*0.475*44/12</f>
        <v>4.9417876393402484E-2</v>
      </c>
      <c r="AW185" s="23">
        <f>EXP(-LN(2)/2)*AW184+(1-EXP(-LN(2)/2))/(LN(2)/2)*AQ185*AT185*VLOOKUP('Données projet'!$B$10,Paramètres!$A$1:$I$89,3,0)*0.475*44/12</f>
        <v>1.4578477796630031E-20</v>
      </c>
      <c r="AX185" s="23">
        <f t="shared" si="166"/>
        <v>5.440139880311837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69.685525331912629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66.833935615974326</v>
      </c>
      <c r="BJ185" s="62">
        <f t="shared" si="146"/>
        <v>294.79914393693775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2.9141538632192723</v>
      </c>
      <c r="BQ185" s="23">
        <f>EXP(-LN(2)/25)*BQ184+(1-EXP(-LN(2)/25))/(LN(2)/25)*Calculateur!BL185*Calculateur!BN185*VLOOKUP('Données projet'!$B$11,Paramètres!$A$1:$I$89,3,0)*0.475*44/12</f>
        <v>4.4688016642967968E-2</v>
      </c>
      <c r="BR185" s="23">
        <f>EXP(-LN(2)/2)*BR184+(1-EXP(-LN(2)/2))/(LN(2)/2)*BL185*BO185*VLOOKUP('Données projet'!$B$11,Paramètres!$A$1:$I$89,3,0)*0.475*44/12</f>
        <v>2.3561617086920853E-24</v>
      </c>
      <c r="BS185" s="24">
        <f t="shared" si="169"/>
        <v>2.9588418798622405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69.685525331912629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69.685525331912629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69.685525331912629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69.685525331912629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69.685525331912629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69.685525331912629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69.685525331912629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1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3.6666666666666665</v>
      </c>
      <c r="H186" s="70">
        <f t="shared" si="110"/>
        <v>232.46666666666667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69.690980764343905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66.513705559911728</v>
      </c>
      <c r="T186" s="62">
        <f t="shared" si="142"/>
        <v>293.21772799887617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2.8395882963258665</v>
      </c>
      <c r="AA186" s="23">
        <f>EXP(-LN(2)/25)*AA185+(1-EXP(-LN(2)/25))/(LN(2)/25)*Calculateur!V186*Calculateur!X186*VLOOKUP('Données projet'!$B$9,Paramètres!$A$1:$I$89,3,0)*0.475*44/12</f>
        <v>4.320098376759466E-2</v>
      </c>
      <c r="AB186" s="23">
        <f>EXP(-LN(2)/2)*AB185+(1-EXP(-LN(2)/2))/(LN(2)/2)*V186*Y186*VLOOKUP('Données projet'!$B$9,Paramètres!$A$1:$I$89,3,0)*0.475*44/12</f>
        <v>1.6558990320212535E-24</v>
      </c>
      <c r="AC186" s="24">
        <f t="shared" si="163"/>
        <v>2.8827892800934611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69.690980764343905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3.3992364478763198E-14</v>
      </c>
      <c r="AK186" s="14">
        <f t="shared" si="164"/>
        <v>5.790027782444094E-13</v>
      </c>
      <c r="AL186" s="22">
        <f t="shared" si="165"/>
        <v>1.0676332069095257E-12</v>
      </c>
      <c r="AM186" s="62">
        <f t="shared" si="113"/>
        <v>292.20026280259538</v>
      </c>
      <c r="AN186" s="62">
        <f ca="1">AVERAGE(OFFSET($AM$3,0,0,'Données projet'!$E$10+1,1))-AVERAGE(OFFSET($H$3,0,0,'Données projet'!$E$10+1,1))</f>
        <v>210.41468975391527</v>
      </c>
      <c r="AO186" s="62">
        <f t="shared" si="144"/>
        <v>355.1268923221744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5.2850132334373523</v>
      </c>
      <c r="AV186" s="23">
        <f>EXP(-LN(2)/25)*AV185+(1-EXP(-LN(2)/25))/(LN(2)/25)*Calculateur!AQ186*Calculateur!AS186*VLOOKUP('Données projet'!$B$10,Paramètres!$A$1:$I$89,3,0)*0.475*44/12</f>
        <v>4.8066541964651717E-2</v>
      </c>
      <c r="AW186" s="23">
        <f>EXP(-LN(2)/2)*AW185+(1-EXP(-LN(2)/2))/(LN(2)/2)*AQ186*AT186*VLOOKUP('Données projet'!$B$10,Paramètres!$A$1:$I$89,3,0)*0.475*44/12</f>
        <v>1.0308540509374613E-20</v>
      </c>
      <c r="AX186" s="23">
        <f t="shared" si="166"/>
        <v>5.3330797754020036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69.690980764343905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66.833935615974326</v>
      </c>
      <c r="BJ186" s="62">
        <f t="shared" si="146"/>
        <v>294.79914393693775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2.8570090834198894</v>
      </c>
      <c r="BQ186" s="23">
        <f>EXP(-LN(2)/25)*BQ185+(1-EXP(-LN(2)/25))/(LN(2)/25)*Calculateur!BL186*Calculateur!BN186*VLOOKUP('Données projet'!$B$11,Paramètres!$A$1:$I$89,3,0)*0.475*44/12</f>
        <v>4.346602047782535E-2</v>
      </c>
      <c r="BR186" s="23">
        <f>EXP(-LN(2)/2)*BR185+(1-EXP(-LN(2)/2))/(LN(2)/2)*BL186*BO186*VLOOKUP('Données projet'!$B$11,Paramètres!$A$1:$I$89,3,0)*0.475*44/12</f>
        <v>1.6660579217882563E-24</v>
      </c>
      <c r="BS186" s="24">
        <f t="shared" si="169"/>
        <v>2.9004751038977146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69.690980764343905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69.690980764343905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69.690980764343905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69.690980764343905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69.690980764343905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69.690980764343905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69.690980764343905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1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3.6666666666666665</v>
      </c>
      <c r="H187" s="70">
        <f t="shared" si="110"/>
        <v>232.46666666666667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69.696341557219029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66.513705559911728</v>
      </c>
      <c r="T187" s="62">
        <f t="shared" si="142"/>
        <v>293.21772799887617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2.7839057018127584</v>
      </c>
      <c r="AA187" s="23">
        <f>EXP(-LN(2)/25)*AA186+(1-EXP(-LN(2)/25))/(LN(2)/25)*Calculateur!V187*Calculateur!X187*VLOOKUP('Données projet'!$B$9,Paramètres!$A$1:$I$89,3,0)*0.475*44/12</f>
        <v>4.2019650594628782E-2</v>
      </c>
      <c r="AB187" s="23">
        <f>EXP(-LN(2)/2)*AB186+(1-EXP(-LN(2)/2))/(LN(2)/2)*V187*Y187*VLOOKUP('Données projet'!$B$9,Paramètres!$A$1:$I$89,3,0)*0.475*44/12</f>
        <v>1.1708974345024683E-24</v>
      </c>
      <c r="AC187" s="24">
        <f t="shared" si="163"/>
        <v>2.8259253524073871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69.696341557219029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3.3992364478763198E-14</v>
      </c>
      <c r="AK187" s="14">
        <f t="shared" si="164"/>
        <v>5.790027782444094E-13</v>
      </c>
      <c r="AL187" s="22">
        <f t="shared" si="165"/>
        <v>1.0676332069095257E-12</v>
      </c>
      <c r="AM187" s="62">
        <f t="shared" si="113"/>
        <v>292.21991904313751</v>
      </c>
      <c r="AN187" s="62">
        <f ca="1">AVERAGE(OFFSET($AM$3,0,0,'Données projet'!$E$10+1,1))-AVERAGE(OFFSET($H$3,0,0,'Données projet'!$E$10+1,1))</f>
        <v>210.41468975391527</v>
      </c>
      <c r="AO187" s="62">
        <f t="shared" si="144"/>
        <v>355.1268923221744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5.1813773474694198</v>
      </c>
      <c r="AV187" s="23">
        <f>EXP(-LN(2)/25)*AV186+(1-EXP(-LN(2)/25))/(LN(2)/25)*Calculateur!AQ187*Calculateur!AS187*VLOOKUP('Données projet'!$B$10,Paramètres!$A$1:$I$89,3,0)*0.475*44/12</f>
        <v>4.6752159846918731E-2</v>
      </c>
      <c r="AW187" s="23">
        <f>EXP(-LN(2)/2)*AW186+(1-EXP(-LN(2)/2))/(LN(2)/2)*AQ187*AT187*VLOOKUP('Données projet'!$B$10,Paramètres!$A$1:$I$89,3,0)*0.475*44/12</f>
        <v>7.2892388983150153E-21</v>
      </c>
      <c r="AX187" s="23">
        <f t="shared" si="166"/>
        <v>5.2281295073163383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69.696341557219029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66.833935615974326</v>
      </c>
      <c r="BJ187" s="62">
        <f t="shared" si="146"/>
        <v>294.79914393693775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2.8009848778974984</v>
      </c>
      <c r="BQ187" s="23">
        <f>EXP(-LN(2)/25)*BQ186+(1-EXP(-LN(2)/25))/(LN(2)/25)*Calculateur!BL187*Calculateur!BN187*VLOOKUP('Données projet'!$B$11,Paramètres!$A$1:$I$89,3,0)*0.475*44/12</f>
        <v>4.2277439862080539E-2</v>
      </c>
      <c r="BR187" s="23">
        <f>EXP(-LN(2)/2)*BR186+(1-EXP(-LN(2)/2))/(LN(2)/2)*BL187*BO187*VLOOKUP('Données projet'!$B$11,Paramètres!$A$1:$I$89,3,0)*0.475*44/12</f>
        <v>1.1780808543460427E-24</v>
      </c>
      <c r="BS187" s="24">
        <f t="shared" si="169"/>
        <v>2.8432623177595788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69.696341557219029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69.696341557219029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69.696341557219029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69.696341557219029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69.696341557219029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69.696341557219029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69.696341557219029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1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3.6666666666666665</v>
      </c>
      <c r="H188" s="70">
        <f t="shared" si="110"/>
        <v>232.46666666666667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69.701609352322706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66.513705559911728</v>
      </c>
      <c r="T188" s="62">
        <f t="shared" si="142"/>
        <v>293.21772799887617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2.7293150090150231</v>
      </c>
      <c r="AA188" s="23">
        <f>EXP(-LN(2)/25)*AA187+(1-EXP(-LN(2)/25))/(LN(2)/25)*Calculateur!V188*Calculateur!X188*VLOOKUP('Données projet'!$B$9,Paramètres!$A$1:$I$89,3,0)*0.475*44/12</f>
        <v>4.087062103940127E-2</v>
      </c>
      <c r="AB188" s="23">
        <f>EXP(-LN(2)/2)*AB187+(1-EXP(-LN(2)/2))/(LN(2)/2)*V188*Y188*VLOOKUP('Données projet'!$B$9,Paramètres!$A$1:$I$89,3,0)*0.475*44/12</f>
        <v>8.2794951601062673E-25</v>
      </c>
      <c r="AC188" s="24">
        <f t="shared" si="163"/>
        <v>2.7701856300544243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69.701609352322706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3.3992364478763198E-14</v>
      </c>
      <c r="AK188" s="14">
        <f t="shared" si="164"/>
        <v>5.790027782444094E-13</v>
      </c>
      <c r="AL188" s="22">
        <f t="shared" si="165"/>
        <v>1.0676332069095257E-12</v>
      </c>
      <c r="AM188" s="62">
        <f t="shared" si="113"/>
        <v>292.23923429185101</v>
      </c>
      <c r="AN188" s="62">
        <f ca="1">AVERAGE(OFFSET($AM$3,0,0,'Données projet'!$E$10+1,1))-AVERAGE(OFFSET($H$3,0,0,'Données projet'!$E$10+1,1))</f>
        <v>210.41468975391527</v>
      </c>
      <c r="AO188" s="62">
        <f t="shared" si="144"/>
        <v>355.1268923221744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5.0797736980136703</v>
      </c>
      <c r="AV188" s="23">
        <f>EXP(-LN(2)/25)*AV187+(1-EXP(-LN(2)/25))/(LN(2)/25)*Calculateur!AQ188*Calculateur!AS188*VLOOKUP('Données projet'!$B$10,Paramètres!$A$1:$I$89,3,0)*0.475*44/12</f>
        <v>4.5473719577315504E-2</v>
      </c>
      <c r="AW188" s="23">
        <f>EXP(-LN(2)/2)*AW187+(1-EXP(-LN(2)/2))/(LN(2)/2)*AQ188*AT188*VLOOKUP('Données projet'!$B$10,Paramètres!$A$1:$I$89,3,0)*0.475*44/12</f>
        <v>5.1542702546873063E-21</v>
      </c>
      <c r="AX188" s="23">
        <f t="shared" si="166"/>
        <v>5.1252474175909857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69.701609352322706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66.833935615974326</v>
      </c>
      <c r="BJ188" s="62">
        <f t="shared" si="146"/>
        <v>294.79914393693775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2.7460592728740103</v>
      </c>
      <c r="BQ188" s="23">
        <f>EXP(-LN(2)/25)*BQ187+(1-EXP(-LN(2)/25))/(LN(2)/25)*Calculateur!BL188*Calculateur!BN188*VLOOKUP('Données projet'!$B$11,Paramètres!$A$1:$I$89,3,0)*0.475*44/12</f>
        <v>4.1121361045778008E-2</v>
      </c>
      <c r="BR188" s="23">
        <f>EXP(-LN(2)/2)*BR187+(1-EXP(-LN(2)/2))/(LN(2)/2)*BL188*BO188*VLOOKUP('Données projet'!$B$11,Paramètres!$A$1:$I$89,3,0)*0.475*44/12</f>
        <v>8.3302896089412815E-25</v>
      </c>
      <c r="BS188" s="24">
        <f t="shared" si="169"/>
        <v>2.7871806339197884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69.701609352322706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69.701609352322706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69.701609352322706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69.701609352322706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69.701609352322706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69.701609352322706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69.701609352322706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1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3.6666666666666665</v>
      </c>
      <c r="H189" s="70">
        <f t="shared" si="110"/>
        <v>232.46666666666667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69.706785762958361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66.513705559911728</v>
      </c>
      <c r="T189" s="62">
        <f t="shared" si="142"/>
        <v>293.21772799887617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2.6757948064060169</v>
      </c>
      <c r="AA189" s="23">
        <f>EXP(-LN(2)/25)*AA188+(1-EXP(-LN(2)/25))/(LN(2)/25)*Calculateur!V189*Calculateur!X189*VLOOKUP('Données projet'!$B$9,Paramètres!$A$1:$I$89,3,0)*0.475*44/12</f>
        <v>3.975301175778629E-2</v>
      </c>
      <c r="AB189" s="23">
        <f>EXP(-LN(2)/2)*AB188+(1-EXP(-LN(2)/2))/(LN(2)/2)*V189*Y189*VLOOKUP('Données projet'!$B$9,Paramètres!$A$1:$I$89,3,0)*0.475*44/12</f>
        <v>5.8544871725123416E-25</v>
      </c>
      <c r="AC189" s="24">
        <f t="shared" si="163"/>
        <v>2.7155478181638033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69.706785762958361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3.3992364478763198E-14</v>
      </c>
      <c r="AK189" s="14">
        <f t="shared" si="164"/>
        <v>5.790027782444094E-13</v>
      </c>
      <c r="AL189" s="22">
        <f t="shared" si="165"/>
        <v>1.0676332069095257E-12</v>
      </c>
      <c r="AM189" s="62">
        <f t="shared" si="113"/>
        <v>292.25821446418172</v>
      </c>
      <c r="AN189" s="62">
        <f ca="1">AVERAGE(OFFSET($AM$3,0,0,'Données projet'!$E$10+1,1))-AVERAGE(OFFSET($H$3,0,0,'Données projet'!$E$10+1,1))</f>
        <v>210.41468975391527</v>
      </c>
      <c r="AO189" s="62">
        <f t="shared" si="144"/>
        <v>355.1268923221744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4.9801624341516408</v>
      </c>
      <c r="AV189" s="23">
        <f>EXP(-LN(2)/25)*AV188+(1-EXP(-LN(2)/25))/(LN(2)/25)*Calculateur!AQ189*Calculateur!AS189*VLOOKUP('Données projet'!$B$10,Paramètres!$A$1:$I$89,3,0)*0.475*44/12</f>
        <v>4.423023832411483E-2</v>
      </c>
      <c r="AW189" s="23">
        <f>EXP(-LN(2)/2)*AW188+(1-EXP(-LN(2)/2))/(LN(2)/2)*AQ189*AT189*VLOOKUP('Données projet'!$B$10,Paramètres!$A$1:$I$89,3,0)*0.475*44/12</f>
        <v>3.6446194491575077E-21</v>
      </c>
      <c r="AX189" s="23">
        <f t="shared" si="166"/>
        <v>5.0243926724757557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69.706785762958361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66.833935615974326</v>
      </c>
      <c r="BJ189" s="62">
        <f t="shared" si="146"/>
        <v>294.79914393693775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2.6922107254637218</v>
      </c>
      <c r="BQ189" s="23">
        <f>EXP(-LN(2)/25)*BQ188+(1-EXP(-LN(2)/25))/(LN(2)/25)*Calculateur!BL189*Calculateur!BN189*VLOOKUP('Données projet'!$B$11,Paramètres!$A$1:$I$89,3,0)*0.475*44/12</f>
        <v>3.9996895265502819E-2</v>
      </c>
      <c r="BR189" s="23">
        <f>EXP(-LN(2)/2)*BR188+(1-EXP(-LN(2)/2))/(LN(2)/2)*BL189*BO189*VLOOKUP('Données projet'!$B$11,Paramètres!$A$1:$I$89,3,0)*0.475*44/12</f>
        <v>5.8904042717302133E-25</v>
      </c>
      <c r="BS189" s="24">
        <f t="shared" si="169"/>
        <v>2.7322076207292247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69.706785762958361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69.706785762958361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69.706785762958361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69.706785762958361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69.706785762958361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69.706785762958361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69.706785762958361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1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3.6666666666666665</v>
      </c>
      <c r="H190" s="70">
        <f t="shared" si="110"/>
        <v>232.46666666666667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69.711872374442208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66.513705559911728</v>
      </c>
      <c r="T190" s="62">
        <f t="shared" si="142"/>
        <v>293.21772799887617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2.6233241023260727</v>
      </c>
      <c r="AA190" s="23">
        <f>EXP(-LN(2)/25)*AA189+(1-EXP(-LN(2)/25))/(LN(2)/25)*Calculateur!V190*Calculateur!X190*VLOOKUP('Données projet'!$B$9,Paramètres!$A$1:$I$89,3,0)*0.475*44/12</f>
        <v>3.866596356074959E-2</v>
      </c>
      <c r="AB190" s="23">
        <f>EXP(-LN(2)/2)*AB189+(1-EXP(-LN(2)/2))/(LN(2)/2)*V190*Y190*VLOOKUP('Données projet'!$B$9,Paramètres!$A$1:$I$89,3,0)*0.475*44/12</f>
        <v>4.1397475800531337E-25</v>
      </c>
      <c r="AC190" s="24">
        <f t="shared" si="163"/>
        <v>2.6619900658868225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69.711872374442208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3.3992364478763198E-14</v>
      </c>
      <c r="AK190" s="14">
        <f t="shared" si="164"/>
        <v>5.790027782444094E-13</v>
      </c>
      <c r="AL190" s="22">
        <f t="shared" si="165"/>
        <v>1.0676332069095257E-12</v>
      </c>
      <c r="AM190" s="62">
        <f t="shared" si="113"/>
        <v>292.27686537295585</v>
      </c>
      <c r="AN190" s="62">
        <f ca="1">AVERAGE(OFFSET($AM$3,0,0,'Données projet'!$E$10+1,1))-AVERAGE(OFFSET($H$3,0,0,'Données projet'!$E$10+1,1))</f>
        <v>210.41468975391527</v>
      </c>
      <c r="AO190" s="62">
        <f t="shared" si="144"/>
        <v>355.1268923221744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4.8825044864170737</v>
      </c>
      <c r="AV190" s="23">
        <f>EXP(-LN(2)/25)*AV189+(1-EXP(-LN(2)/25))/(LN(2)/25)*Calculateur!AQ190*Calculateur!AS190*VLOOKUP('Données projet'!$B$10,Paramètres!$A$1:$I$89,3,0)*0.475*44/12</f>
        <v>4.3020760131174764E-2</v>
      </c>
      <c r="AW190" s="23">
        <f>EXP(-LN(2)/2)*AW189+(1-EXP(-LN(2)/2))/(LN(2)/2)*AQ190*AT190*VLOOKUP('Données projet'!$B$10,Paramètres!$A$1:$I$89,3,0)*0.475*44/12</f>
        <v>2.5771351273436531E-21</v>
      </c>
      <c r="AX190" s="23">
        <f t="shared" si="166"/>
        <v>4.9255252465482489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69.711872374442208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66.833935615974326</v>
      </c>
      <c r="BJ190" s="62">
        <f t="shared" si="146"/>
        <v>294.79914393693775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2.6394181152237781</v>
      </c>
      <c r="BQ190" s="23">
        <f>EXP(-LN(2)/25)*BQ189+(1-EXP(-LN(2)/25))/(LN(2)/25)*Calculateur!BL190*Calculateur!BN190*VLOOKUP('Données projet'!$B$11,Paramètres!$A$1:$I$89,3,0)*0.475*44/12</f>
        <v>3.8903178061122333E-2</v>
      </c>
      <c r="BR190" s="23">
        <f>EXP(-LN(2)/2)*BR189+(1-EXP(-LN(2)/2))/(LN(2)/2)*BL190*BO190*VLOOKUP('Données projet'!$B$11,Paramètres!$A$1:$I$89,3,0)*0.475*44/12</f>
        <v>4.1651448044706407E-25</v>
      </c>
      <c r="BS190" s="24">
        <f t="shared" si="169"/>
        <v>2.6783212932849003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69.711872374442208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69.711872374442208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69.711872374442208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69.711872374442208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69.711872374442208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69.711872374442208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69.711872374442208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1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3.6666666666666665</v>
      </c>
      <c r="H191" s="70">
        <f t="shared" si="110"/>
        <v>232.46666666666667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69.716870744588761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66.513705559911728</v>
      </c>
      <c r="T191" s="62">
        <f t="shared" si="142"/>
        <v>293.21772799887617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2.5718823167491669</v>
      </c>
      <c r="AA191" s="23">
        <f>EXP(-LN(2)/25)*AA190+(1-EXP(-LN(2)/25))/(LN(2)/25)*Calculateur!V191*Calculateur!X191*VLOOKUP('Données projet'!$B$9,Paramètres!$A$1:$I$89,3,0)*0.475*44/12</f>
        <v>3.7608640753826243E-2</v>
      </c>
      <c r="AB191" s="23">
        <f>EXP(-LN(2)/2)*AB190+(1-EXP(-LN(2)/2))/(LN(2)/2)*V191*Y191*VLOOKUP('Données projet'!$B$9,Paramètres!$A$1:$I$89,3,0)*0.475*44/12</f>
        <v>2.9272435862561708E-25</v>
      </c>
      <c r="AC191" s="24">
        <f t="shared" si="163"/>
        <v>2.609490957502993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69.716870744588761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3.3992364478763198E-14</v>
      </c>
      <c r="AK191" s="14">
        <f t="shared" si="164"/>
        <v>5.790027782444094E-13</v>
      </c>
      <c r="AL191" s="22">
        <f t="shared" si="165"/>
        <v>1.0676332069095257E-12</v>
      </c>
      <c r="AM191" s="62">
        <f t="shared" si="113"/>
        <v>292.2951927301599</v>
      </c>
      <c r="AN191" s="62">
        <f ca="1">AVERAGE(OFFSET($AM$3,0,0,'Données projet'!$E$10+1,1))-AVERAGE(OFFSET($H$3,0,0,'Données projet'!$E$10+1,1))</f>
        <v>210.41468975391527</v>
      </c>
      <c r="AO191" s="62">
        <f t="shared" si="144"/>
        <v>355.1268923221744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4.7867615514721154</v>
      </c>
      <c r="AV191" s="23">
        <f>EXP(-LN(2)/25)*AV190+(1-EXP(-LN(2)/25))/(LN(2)/25)*Calculateur!AQ191*Calculateur!AS191*VLOOKUP('Données projet'!$B$10,Paramètres!$A$1:$I$89,3,0)*0.475*44/12</f>
        <v>4.1844355183024338E-2</v>
      </c>
      <c r="AW191" s="23">
        <f>EXP(-LN(2)/2)*AW190+(1-EXP(-LN(2)/2))/(LN(2)/2)*AQ191*AT191*VLOOKUP('Données projet'!$B$10,Paramètres!$A$1:$I$89,3,0)*0.475*44/12</f>
        <v>1.8223097245787538E-21</v>
      </c>
      <c r="AX191" s="23">
        <f t="shared" si="166"/>
        <v>4.8286059066551399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69.716870744588761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66.833935615974326</v>
      </c>
      <c r="BJ191" s="62">
        <f t="shared" si="146"/>
        <v>294.79914393693775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2.587660735870327</v>
      </c>
      <c r="BQ191" s="23">
        <f>EXP(-LN(2)/25)*BQ190+(1-EXP(-LN(2)/25))/(LN(2)/25)*Calculateur!BL191*Calculateur!BN191*VLOOKUP('Données projet'!$B$11,Paramètres!$A$1:$I$89,3,0)*0.475*44/12</f>
        <v>3.7839368611211725E-2</v>
      </c>
      <c r="BR191" s="23">
        <f>EXP(-LN(2)/2)*BR190+(1-EXP(-LN(2)/2))/(LN(2)/2)*BL191*BO191*VLOOKUP('Données projet'!$B$11,Paramètres!$A$1:$I$89,3,0)*0.475*44/12</f>
        <v>2.9452021358651066E-25</v>
      </c>
      <c r="BS191" s="24">
        <f t="shared" si="169"/>
        <v>2.6255001044815387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69.716870744588761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69.716870744588761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69.716870744588761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69.716870744588761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69.716870744588761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69.716870744588761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69.716870744588761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1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3.6666666666666665</v>
      </c>
      <c r="H192" s="70">
        <f t="shared" si="110"/>
        <v>232.46666666666667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69.721782404187962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66.513705559911728</v>
      </c>
      <c r="T192" s="62">
        <f t="shared" si="142"/>
        <v>293.21772799887617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2.5214492732110334</v>
      </c>
      <c r="AA192" s="23">
        <f>EXP(-LN(2)/25)*AA191+(1-EXP(-LN(2)/25))/(LN(2)/25)*Calculateur!V192*Calculateur!X192*VLOOKUP('Données projet'!$B$9,Paramètres!$A$1:$I$89,3,0)*0.475*44/12</f>
        <v>3.6580230494660401E-2</v>
      </c>
      <c r="AB192" s="23">
        <f>EXP(-LN(2)/2)*AB191+(1-EXP(-LN(2)/2))/(LN(2)/2)*V192*Y192*VLOOKUP('Données projet'!$B$9,Paramètres!$A$1:$I$89,3,0)*0.475*44/12</f>
        <v>2.0698737900265668E-25</v>
      </c>
      <c r="AC192" s="24">
        <f t="shared" si="163"/>
        <v>2.5580295037056939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69.721782404187962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3.3992364478763198E-14</v>
      </c>
      <c r="AK192" s="14">
        <f t="shared" si="164"/>
        <v>5.790027782444094E-13</v>
      </c>
      <c r="AL192" s="22">
        <f t="shared" si="165"/>
        <v>1.0676332069095257E-12</v>
      </c>
      <c r="AM192" s="62">
        <f t="shared" si="113"/>
        <v>292.31320214869027</v>
      </c>
      <c r="AN192" s="62">
        <f ca="1">AVERAGE(OFFSET($AM$3,0,0,'Données projet'!$E$10+1,1))-AVERAGE(OFFSET($H$3,0,0,'Données projet'!$E$10+1,1))</f>
        <v>210.41468975391527</v>
      </c>
      <c r="AO192" s="62">
        <f t="shared" si="144"/>
        <v>355.1268923221744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4.6928960770840034</v>
      </c>
      <c r="AV192" s="23">
        <f>EXP(-LN(2)/25)*AV191+(1-EXP(-LN(2)/25))/(LN(2)/25)*Calculateur!AQ192*Calculateur!AS192*VLOOKUP('Données projet'!$B$10,Paramètres!$A$1:$I$89,3,0)*0.475*44/12</f>
        <v>4.0700119090045533E-2</v>
      </c>
      <c r="AW192" s="23">
        <f>EXP(-LN(2)/2)*AW191+(1-EXP(-LN(2)/2))/(LN(2)/2)*AQ192*AT192*VLOOKUP('Données projet'!$B$10,Paramètres!$A$1:$I$89,3,0)*0.475*44/12</f>
        <v>1.2885675636718266E-21</v>
      </c>
      <c r="AX192" s="23">
        <f t="shared" si="166"/>
        <v>4.7335961961740489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69.721782404187962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66.833935615974326</v>
      </c>
      <c r="BJ192" s="62">
        <f t="shared" si="146"/>
        <v>294.79914393693775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2.5369182871571128</v>
      </c>
      <c r="BQ192" s="23">
        <f>EXP(-LN(2)/25)*BQ191+(1-EXP(-LN(2)/25))/(LN(2)/25)*Calculateur!BL192*Calculateur!BN192*VLOOKUP('Données projet'!$B$11,Paramètres!$A$1:$I$89,3,0)*0.475*44/12</f>
        <v>3.6804649086652229E-2</v>
      </c>
      <c r="BR192" s="23">
        <f>EXP(-LN(2)/2)*BR191+(1-EXP(-LN(2)/2))/(LN(2)/2)*BL192*BO192*VLOOKUP('Données projet'!$B$11,Paramètres!$A$1:$I$89,3,0)*0.475*44/12</f>
        <v>2.0825724022353204E-25</v>
      </c>
      <c r="BS192" s="24">
        <f t="shared" si="169"/>
        <v>2.5737229362437648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69.721782404187962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69.721782404187962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69.721782404187962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69.721782404187962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69.721782404187962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69.721782404187962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69.721782404187962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1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3.6666666666666665</v>
      </c>
      <c r="H193" s="70">
        <f t="shared" si="110"/>
        <v>232.46666666666667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69.726608857473934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66.513705559911728</v>
      </c>
      <c r="T193" s="62">
        <f t="shared" si="142"/>
        <v>293.21772799887617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2.4720051908955636</v>
      </c>
      <c r="AA193" s="23">
        <f>EXP(-LN(2)/25)*AA192+(1-EXP(-LN(2)/25))/(LN(2)/25)*Calculateur!V193*Calculateur!X193*VLOOKUP('Données projet'!$B$9,Paramètres!$A$1:$I$89,3,0)*0.475*44/12</f>
        <v>3.5579942168113193E-2</v>
      </c>
      <c r="AB193" s="23">
        <f>EXP(-LN(2)/2)*AB192+(1-EXP(-LN(2)/2))/(LN(2)/2)*V193*Y193*VLOOKUP('Données projet'!$B$9,Paramètres!$A$1:$I$89,3,0)*0.475*44/12</f>
        <v>1.4636217931280854E-25</v>
      </c>
      <c r="AC193" s="24">
        <f t="shared" si="163"/>
        <v>2.5075851330636767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69.726608857473934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3.3992364478763198E-14</v>
      </c>
      <c r="AK193" s="14">
        <f t="shared" si="164"/>
        <v>5.790027782444094E-13</v>
      </c>
      <c r="AL193" s="22">
        <f t="shared" si="165"/>
        <v>1.0676332069095257E-12</v>
      </c>
      <c r="AM193" s="62">
        <f t="shared" si="113"/>
        <v>292.33089914407219</v>
      </c>
      <c r="AN193" s="62">
        <f ca="1">AVERAGE(OFFSET($AM$3,0,0,'Données projet'!$E$10+1,1))-AVERAGE(OFFSET($H$3,0,0,'Données projet'!$E$10+1,1))</f>
        <v>210.41468975391527</v>
      </c>
      <c r="AO193" s="62">
        <f t="shared" si="144"/>
        <v>355.1268923221744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4.6008712473963564</v>
      </c>
      <c r="AV193" s="23">
        <f>EXP(-LN(2)/25)*AV192+(1-EXP(-LN(2)/25))/(LN(2)/25)*Calculateur!AQ193*Calculateur!AS193*VLOOKUP('Données projet'!$B$10,Paramètres!$A$1:$I$89,3,0)*0.475*44/12</f>
        <v>3.9587172193202E-2</v>
      </c>
      <c r="AW193" s="23">
        <f>EXP(-LN(2)/2)*AW192+(1-EXP(-LN(2)/2))/(LN(2)/2)*AQ193*AT193*VLOOKUP('Données projet'!$B$10,Paramètres!$A$1:$I$89,3,0)*0.475*44/12</f>
        <v>9.1115486228937691E-22</v>
      </c>
      <c r="AX193" s="23">
        <f t="shared" si="166"/>
        <v>4.6404584195895584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69.726608857473934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66.833935615974326</v>
      </c>
      <c r="BJ193" s="62">
        <f t="shared" si="146"/>
        <v>294.79914393693775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2.4871708669133272</v>
      </c>
      <c r="BQ193" s="23">
        <f>EXP(-LN(2)/25)*BQ192+(1-EXP(-LN(2)/25))/(LN(2)/25)*Calculateur!BL193*Calculateur!BN193*VLOOKUP('Données projet'!$B$11,Paramètres!$A$1:$I$89,3,0)*0.475*44/12</f>
        <v>3.5798224021905349E-2</v>
      </c>
      <c r="BR193" s="23">
        <f>EXP(-LN(2)/2)*BR192+(1-EXP(-LN(2)/2))/(LN(2)/2)*BL193*BO193*VLOOKUP('Données projet'!$B$11,Paramètres!$A$1:$I$89,3,0)*0.475*44/12</f>
        <v>1.4726010679325533E-25</v>
      </c>
      <c r="BS193" s="24">
        <f t="shared" si="169"/>
        <v>2.5229690909352325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69.726608857473934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69.726608857473934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69.726608857473934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69.726608857473934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69.726608857473934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69.726608857473934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69.726608857473934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1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3.6666666666666665</v>
      </c>
      <c r="H194" s="70">
        <f t="shared" si="110"/>
        <v>232.46666666666667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69.731351582585731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66.513705559911728</v>
      </c>
      <c r="T194" s="62">
        <f t="shared" si="142"/>
        <v>293.21772799887617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2.4235306768763878</v>
      </c>
      <c r="AA194" s="23">
        <f>EXP(-LN(2)/25)*AA193+(1-EXP(-LN(2)/25))/(LN(2)/25)*Calculateur!V194*Calculateur!X194*VLOOKUP('Données projet'!$B$9,Paramètres!$A$1:$I$89,3,0)*0.475*44/12</f>
        <v>3.46070067784583E-2</v>
      </c>
      <c r="AB194" s="23">
        <f>EXP(-LN(2)/2)*AB193+(1-EXP(-LN(2)/2))/(LN(2)/2)*V194*Y194*VLOOKUP('Données projet'!$B$9,Paramètres!$A$1:$I$89,3,0)*0.475*44/12</f>
        <v>1.0349368950132834E-25</v>
      </c>
      <c r="AC194" s="24">
        <f t="shared" si="163"/>
        <v>2.4581376836548463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69.731351582585731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3.3992364478763198E-14</v>
      </c>
      <c r="AK194" s="14">
        <f t="shared" si="164"/>
        <v>5.790027782444094E-13</v>
      </c>
      <c r="AL194" s="22">
        <f t="shared" si="165"/>
        <v>1.0676332069095257E-12</v>
      </c>
      <c r="AM194" s="62">
        <f t="shared" si="113"/>
        <v>292.34828913614876</v>
      </c>
      <c r="AN194" s="62">
        <f ca="1">AVERAGE(OFFSET($AM$3,0,0,'Données projet'!$E$10+1,1))-AVERAGE(OFFSET($H$3,0,0,'Données projet'!$E$10+1,1))</f>
        <v>210.41468975391527</v>
      </c>
      <c r="AO194" s="62">
        <f t="shared" si="144"/>
        <v>355.1268923221744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4.5106509684892799</v>
      </c>
      <c r="AV194" s="23">
        <f>EXP(-LN(2)/25)*AV193+(1-EXP(-LN(2)/25))/(LN(2)/25)*Calculateur!AQ194*Calculateur!AS194*VLOOKUP('Données projet'!$B$10,Paramètres!$A$1:$I$89,3,0)*0.475*44/12</f>
        <v>3.8504658887779986E-2</v>
      </c>
      <c r="AW194" s="23">
        <f>EXP(-LN(2)/2)*AW193+(1-EXP(-LN(2)/2))/(LN(2)/2)*AQ194*AT194*VLOOKUP('Données projet'!$B$10,Paramètres!$A$1:$I$89,3,0)*0.475*44/12</f>
        <v>6.4428378183591328E-22</v>
      </c>
      <c r="AX194" s="23">
        <f t="shared" si="166"/>
        <v>4.5491556273770595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69.731351582585731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66.833935615974326</v>
      </c>
      <c r="BJ194" s="62">
        <f t="shared" si="146"/>
        <v>294.79914393693775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2.4383989632375918</v>
      </c>
      <c r="BQ194" s="23">
        <f>EXP(-LN(2)/25)*BQ193+(1-EXP(-LN(2)/25))/(LN(2)/25)*Calculateur!BL194*Calculateur!BN194*VLOOKUP('Données projet'!$B$11,Paramètres!$A$1:$I$89,3,0)*0.475*44/12</f>
        <v>3.4819319703479561E-2</v>
      </c>
      <c r="BR194" s="23">
        <f>EXP(-LN(2)/2)*BR193+(1-EXP(-LN(2)/2))/(LN(2)/2)*BL194*BO194*VLOOKUP('Données projet'!$B$11,Paramètres!$A$1:$I$89,3,0)*0.475*44/12</f>
        <v>1.0412862011176602E-25</v>
      </c>
      <c r="BS194" s="24">
        <f t="shared" si="169"/>
        <v>2.4732182829410712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69.731351582585731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69.731351582585731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69.731351582585731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69.731351582585731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69.731351582585731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69.731351582585731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69.731351582585731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1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3.6666666666666665</v>
      </c>
      <c r="H195" s="70">
        <f t="shared" si="110"/>
        <v>232.46666666666667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69.736012032019985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66.513705559911728</v>
      </c>
      <c r="T195" s="62">
        <f t="shared" si="142"/>
        <v>293.21772799887617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2.376006718510594</v>
      </c>
      <c r="AA195" s="23">
        <f>EXP(-LN(2)/25)*AA194+(1-EXP(-LN(2)/25))/(LN(2)/25)*Calculateur!V195*Calculateur!X195*VLOOKUP('Données projet'!$B$9,Paramètres!$A$1:$I$89,3,0)*0.475*44/12</f>
        <v>3.3660676358197965E-2</v>
      </c>
      <c r="AB195" s="23">
        <f>EXP(-LN(2)/2)*AB194+(1-EXP(-LN(2)/2))/(LN(2)/2)*V195*Y195*VLOOKUP('Données projet'!$B$9,Paramètres!$A$1:$I$89,3,0)*0.475*44/12</f>
        <v>7.318108965640427E-26</v>
      </c>
      <c r="AC195" s="24">
        <f t="shared" si="163"/>
        <v>2.4096673948687921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69.736012032019985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3.3992364478763198E-14</v>
      </c>
      <c r="AK195" s="14">
        <f t="shared" si="164"/>
        <v>5.790027782444094E-13</v>
      </c>
      <c r="AL195" s="22">
        <f t="shared" si="165"/>
        <v>1.0676332069095257E-12</v>
      </c>
      <c r="AM195" s="62">
        <f t="shared" si="113"/>
        <v>292.36537745074099</v>
      </c>
      <c r="AN195" s="62">
        <f ca="1">AVERAGE(OFFSET($AM$3,0,0,'Données projet'!$E$10+1,1))-AVERAGE(OFFSET($H$3,0,0,'Données projet'!$E$10+1,1))</f>
        <v>210.41468975391527</v>
      </c>
      <c r="AO195" s="62">
        <f t="shared" si="144"/>
        <v>355.1268923221744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4.4221998542226348</v>
      </c>
      <c r="AV195" s="23">
        <f>EXP(-LN(2)/25)*AV194+(1-EXP(-LN(2)/25))/(LN(2)/25)*Calculateur!AQ195*Calculateur!AS195*VLOOKUP('Données projet'!$B$10,Paramètres!$A$1:$I$89,3,0)*0.475*44/12</f>
        <v>3.7451746965621632E-2</v>
      </c>
      <c r="AW195" s="23">
        <f>EXP(-LN(2)/2)*AW194+(1-EXP(-LN(2)/2))/(LN(2)/2)*AQ195*AT195*VLOOKUP('Données projet'!$B$10,Paramètres!$A$1:$I$89,3,0)*0.475*44/12</f>
        <v>4.5557743114468846E-22</v>
      </c>
      <c r="AX195" s="23">
        <f t="shared" si="166"/>
        <v>4.4596516011882565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69.736012032019985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66.833935615974326</v>
      </c>
      <c r="BJ195" s="62">
        <f t="shared" si="146"/>
        <v>294.79914393693775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2.3905834468450138</v>
      </c>
      <c r="BQ195" s="23">
        <f>EXP(-LN(2)/25)*BQ194+(1-EXP(-LN(2)/25))/(LN(2)/25)*Calculateur!BL195*Calculateur!BN195*VLOOKUP('Données projet'!$B$11,Paramètres!$A$1:$I$89,3,0)*0.475*44/12</f>
        <v>3.3867183575119468E-2</v>
      </c>
      <c r="BR195" s="23">
        <f>EXP(-LN(2)/2)*BR194+(1-EXP(-LN(2)/2))/(LN(2)/2)*BL195*BO195*VLOOKUP('Données projet'!$B$11,Paramètres!$A$1:$I$89,3,0)*0.475*44/12</f>
        <v>7.3630053396627666E-26</v>
      </c>
      <c r="BS195" s="24">
        <f t="shared" si="169"/>
        <v>2.4244506304201332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69.736012032019985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69.736012032019985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69.736012032019985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69.736012032019985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69.736012032019985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69.736012032019985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69.736012032019985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1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3.6666666666666665</v>
      </c>
      <c r="H196" s="70">
        <f t="shared" ref="H196:H203" si="192">(B196+E196+F196)*44/12+(C196+D196)*0.475*44/12</f>
        <v>232.46666666666667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69.740591633075766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66.513705559911728</v>
      </c>
      <c r="T196" s="62">
        <f t="shared" si="142"/>
        <v>293.21772799887617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2.3294146759816008</v>
      </c>
      <c r="AA196" s="23">
        <f>EXP(-LN(2)/25)*AA195+(1-EXP(-LN(2)/25))/(LN(2)/25)*Calculateur!V196*Calculateur!X196*VLOOKUP('Données projet'!$B$9,Paramètres!$A$1:$I$89,3,0)*0.475*44/12</f>
        <v>3.2740223393045005E-2</v>
      </c>
      <c r="AB196" s="23">
        <f>EXP(-LN(2)/2)*AB195+(1-EXP(-LN(2)/2))/(LN(2)/2)*V196*Y196*VLOOKUP('Données projet'!$B$9,Paramètres!$A$1:$I$89,3,0)*0.475*44/12</f>
        <v>5.1746844750664171E-26</v>
      </c>
      <c r="AC196" s="24">
        <f t="shared" si="163"/>
        <v>2.3621548993746457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69.740591633075766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3.3992364478763198E-14</v>
      </c>
      <c r="AK196" s="14">
        <f t="shared" si="164"/>
        <v>5.790027782444094E-13</v>
      </c>
      <c r="AL196" s="22">
        <f t="shared" si="165"/>
        <v>1.0676332069095257E-12</v>
      </c>
      <c r="AM196" s="62">
        <f t="shared" ref="AM196:AM203" si="193">AL196+(AD196+AE196)*44/12</f>
        <v>292.38216932127887</v>
      </c>
      <c r="AN196" s="62">
        <f ca="1">AVERAGE(OFFSET($AM$3,0,0,'Données projet'!$E$10+1,1))-AVERAGE(OFFSET($H$3,0,0,'Données projet'!$E$10+1,1))</f>
        <v>210.41468975391527</v>
      </c>
      <c r="AO196" s="62">
        <f t="shared" si="144"/>
        <v>355.1268923221744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4.3354832123569063</v>
      </c>
      <c r="AV196" s="23">
        <f>EXP(-LN(2)/25)*AV195+(1-EXP(-LN(2)/25))/(LN(2)/25)*Calculateur!AQ196*Calculateur!AS196*VLOOKUP('Données projet'!$B$10,Paramètres!$A$1:$I$89,3,0)*0.475*44/12</f>
        <v>3.6427626975344934E-2</v>
      </c>
      <c r="AW196" s="23">
        <f>EXP(-LN(2)/2)*AW195+(1-EXP(-LN(2)/2))/(LN(2)/2)*AQ196*AT196*VLOOKUP('Données projet'!$B$10,Paramètres!$A$1:$I$89,3,0)*0.475*44/12</f>
        <v>3.2214189091795664E-22</v>
      </c>
      <c r="AX196" s="23">
        <f t="shared" si="166"/>
        <v>4.3719108393322514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69.740591633075766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66.833935615974326</v>
      </c>
      <c r="BJ196" s="62">
        <f t="shared" si="146"/>
        <v>294.79914393693775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2.3437055635643089</v>
      </c>
      <c r="BQ196" s="23">
        <f>EXP(-LN(2)/25)*BQ195+(1-EXP(-LN(2)/25))/(LN(2)/25)*Calculateur!BL196*Calculateur!BN196*VLOOKUP('Données projet'!$B$11,Paramètres!$A$1:$I$89,3,0)*0.475*44/12</f>
        <v>3.2941083659260045E-2</v>
      </c>
      <c r="BR196" s="23">
        <f>EXP(-LN(2)/2)*BR195+(1-EXP(-LN(2)/2))/(LN(2)/2)*BL196*BO196*VLOOKUP('Données projet'!$B$11,Paramètres!$A$1:$I$89,3,0)*0.475*44/12</f>
        <v>5.2064310055883009E-26</v>
      </c>
      <c r="BS196" s="24">
        <f t="shared" si="169"/>
        <v>2.376646647223569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69.740591633075766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69.740591633075766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69.740591633075766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69.740591633075766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69.740591633075766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69.740591633075766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69.740591633075766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1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3.6666666666666665</v>
      </c>
      <c r="H197" s="70">
        <f t="shared" si="192"/>
        <v>232.46666666666667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69.745091788291674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66.513705559911728</v>
      </c>
      <c r="T197" s="62">
        <f t="shared" ref="T197:T203" si="204">$T$3</f>
        <v>293.21772799887617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2.2837362749882613</v>
      </c>
      <c r="AA197" s="23">
        <f>EXP(-LN(2)/25)*AA196+(1-EXP(-LN(2)/25))/(LN(2)/25)*Calculateur!V197*Calculateur!X197*VLOOKUP('Données projet'!$B$9,Paramètres!$A$1:$I$89,3,0)*0.475*44/12</f>
        <v>3.1844940262628671E-2</v>
      </c>
      <c r="AB197" s="23">
        <f>EXP(-LN(2)/2)*AB196+(1-EXP(-LN(2)/2))/(LN(2)/2)*V197*Y197*VLOOKUP('Données projet'!$B$9,Paramètres!$A$1:$I$89,3,0)*0.475*44/12</f>
        <v>3.6590544828202135E-26</v>
      </c>
      <c r="AC197" s="24">
        <f t="shared" si="163"/>
        <v>2.3155812152508899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69.745091788291674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3.3992364478763198E-14</v>
      </c>
      <c r="AK197" s="14">
        <f t="shared" si="164"/>
        <v>5.790027782444094E-13</v>
      </c>
      <c r="AL197" s="22">
        <f t="shared" si="165"/>
        <v>1.0676332069095257E-12</v>
      </c>
      <c r="AM197" s="62">
        <f t="shared" si="193"/>
        <v>292.39866989040388</v>
      </c>
      <c r="AN197" s="62">
        <f ca="1">AVERAGE(OFFSET($AM$3,0,0,'Données projet'!$E$10+1,1))-AVERAGE(OFFSET($H$3,0,0,'Données projet'!$E$10+1,1))</f>
        <v>210.41468975391527</v>
      </c>
      <c r="AO197" s="62">
        <f t="shared" ref="AO197:AO203" si="205">$AO$3</f>
        <v>355.1268923221744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4.2504670309462353</v>
      </c>
      <c r="AV197" s="23">
        <f>EXP(-LN(2)/25)*AV196+(1-EXP(-LN(2)/25))/(LN(2)/25)*Calculateur!AQ197*Calculateur!AS197*VLOOKUP('Données projet'!$B$10,Paramètres!$A$1:$I$89,3,0)*0.475*44/12</f>
        <v>3.5431511600058481E-2</v>
      </c>
      <c r="AW197" s="23">
        <f>EXP(-LN(2)/2)*AW196+(1-EXP(-LN(2)/2))/(LN(2)/2)*AQ197*AT197*VLOOKUP('Données projet'!$B$10,Paramètres!$A$1:$I$89,3,0)*0.475*44/12</f>
        <v>2.2778871557234423E-22</v>
      </c>
      <c r="AX197" s="23">
        <f t="shared" si="166"/>
        <v>4.2858985425462937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69.745091788291674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66.833935615974326</v>
      </c>
      <c r="BJ197" s="62">
        <f t="shared" ref="BJ197:BJ203" si="206">$BJ$3</f>
        <v>294.79914393693775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2.2977469269820534</v>
      </c>
      <c r="BQ197" s="23">
        <f>EXP(-LN(2)/25)*BQ196+(1-EXP(-LN(2)/25))/(LN(2)/25)*Calculateur!BL197*Calculateur!BN197*VLOOKUP('Données projet'!$B$11,Paramètres!$A$1:$I$89,3,0)*0.475*44/12</f>
        <v>3.2040307994301277E-2</v>
      </c>
      <c r="BR197" s="23">
        <f>EXP(-LN(2)/2)*BR196+(1-EXP(-LN(2)/2))/(LN(2)/2)*BL197*BO197*VLOOKUP('Données projet'!$B$11,Paramètres!$A$1:$I$89,3,0)*0.475*44/12</f>
        <v>3.6815026698313833E-26</v>
      </c>
      <c r="BS197" s="24">
        <f t="shared" si="169"/>
        <v>2.3297872349763549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69.745091788291674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69.745091788291674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69.745091788291674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69.745091788291674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69.745091788291674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69.745091788291674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69.745091788291674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1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3.6666666666666665</v>
      </c>
      <c r="H198" s="70">
        <f t="shared" si="192"/>
        <v>232.46666666666667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69.749513875875422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66.513705559911728</v>
      </c>
      <c r="T198" s="62">
        <f t="shared" si="204"/>
        <v>293.21772799887617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2.2389535995773278</v>
      </c>
      <c r="AA198" s="23">
        <f>EXP(-LN(2)/25)*AA197+(1-EXP(-LN(2)/25))/(LN(2)/25)*Calculateur!V198*Calculateur!X198*VLOOKUP('Données projet'!$B$9,Paramètres!$A$1:$I$89,3,0)*0.475*44/12</f>
        <v>3.0974138696494465E-2</v>
      </c>
      <c r="AB198" s="23">
        <f>EXP(-LN(2)/2)*AB197+(1-EXP(-LN(2)/2))/(LN(2)/2)*V198*Y198*VLOOKUP('Données projet'!$B$9,Paramètres!$A$1:$I$89,3,0)*0.475*44/12</f>
        <v>2.5873422375332085E-26</v>
      </c>
      <c r="AC198" s="24">
        <f t="shared" si="163"/>
        <v>2.2699277382738221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69.749513875875422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3.3992364478763198E-14</v>
      </c>
      <c r="AK198" s="14">
        <f t="shared" si="164"/>
        <v>5.790027782444094E-13</v>
      </c>
      <c r="AL198" s="22">
        <f t="shared" si="165"/>
        <v>1.0676332069095257E-12</v>
      </c>
      <c r="AM198" s="62">
        <f t="shared" si="193"/>
        <v>292.41488421154429</v>
      </c>
      <c r="AN198" s="62">
        <f ca="1">AVERAGE(OFFSET($AM$3,0,0,'Données projet'!$E$10+1,1))-AVERAGE(OFFSET($H$3,0,0,'Données projet'!$E$10+1,1))</f>
        <v>210.41468975391527</v>
      </c>
      <c r="AO198" s="62">
        <f t="shared" si="205"/>
        <v>355.1268923221744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4.1671179649982779</v>
      </c>
      <c r="AV198" s="23">
        <f>EXP(-LN(2)/25)*AV197+(1-EXP(-LN(2)/25))/(LN(2)/25)*Calculateur!AQ198*Calculateur!AS198*VLOOKUP('Données projet'!$B$10,Paramètres!$A$1:$I$89,3,0)*0.475*44/12</f>
        <v>3.4462635052092669E-2</v>
      </c>
      <c r="AW198" s="23">
        <f>EXP(-LN(2)/2)*AW197+(1-EXP(-LN(2)/2))/(LN(2)/2)*AQ198*AT198*VLOOKUP('Données projet'!$B$10,Paramètres!$A$1:$I$89,3,0)*0.475*44/12</f>
        <v>1.6107094545897832E-22</v>
      </c>
      <c r="AX198" s="23">
        <f t="shared" si="166"/>
        <v>4.2015806000503702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69.749513875875422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66.833935615974326</v>
      </c>
      <c r="BJ198" s="62">
        <f t="shared" si="206"/>
        <v>294.79914393693775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2.2526895112311753</v>
      </c>
      <c r="BQ198" s="23">
        <f>EXP(-LN(2)/25)*BQ197+(1-EXP(-LN(2)/25))/(LN(2)/25)*Calculateur!BL198*Calculateur!BN198*VLOOKUP('Données projet'!$B$11,Paramètres!$A$1:$I$89,3,0)*0.475*44/12</f>
        <v>3.1164164087270539E-2</v>
      </c>
      <c r="BR198" s="23">
        <f>EXP(-LN(2)/2)*BR197+(1-EXP(-LN(2)/2))/(LN(2)/2)*BL198*BO198*VLOOKUP('Données projet'!$B$11,Paramètres!$A$1:$I$89,3,0)*0.475*44/12</f>
        <v>2.6032155027941505E-26</v>
      </c>
      <c r="BS198" s="24">
        <f t="shared" si="169"/>
        <v>2.2838536753184457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69.749513875875422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69.749513875875422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69.749513875875422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69.749513875875422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69.749513875875422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69.749513875875422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69.749513875875422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1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3.6666666666666665</v>
      </c>
      <c r="H199" s="70">
        <f t="shared" si="192"/>
        <v>232.46666666666667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69.753859250125913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66.513705559911728</v>
      </c>
      <c r="T199" s="62">
        <f t="shared" si="204"/>
        <v>293.21772799887617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2.1950490851164677</v>
      </c>
      <c r="AA199" s="23">
        <f>EXP(-LN(2)/25)*AA198+(1-EXP(-LN(2)/25))/(LN(2)/25)*Calculateur!V199*Calculateur!X199*VLOOKUP('Données projet'!$B$9,Paramètres!$A$1:$I$89,3,0)*0.475*44/12</f>
        <v>3.012714924497966E-2</v>
      </c>
      <c r="AB199" s="23">
        <f>EXP(-LN(2)/2)*AB198+(1-EXP(-LN(2)/2))/(LN(2)/2)*V199*Y199*VLOOKUP('Données projet'!$B$9,Paramètres!$A$1:$I$89,3,0)*0.475*44/12</f>
        <v>1.8295272414101068E-26</v>
      </c>
      <c r="AC199" s="24">
        <f t="shared" si="163"/>
        <v>2.2251762343614474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69.753859250125913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3.3992364478763198E-14</v>
      </c>
      <c r="AK199" s="14">
        <f t="shared" si="164"/>
        <v>5.790027782444094E-13</v>
      </c>
      <c r="AL199" s="22">
        <f t="shared" si="165"/>
        <v>1.0676332069095257E-12</v>
      </c>
      <c r="AM199" s="62">
        <f t="shared" si="193"/>
        <v>292.43081725046272</v>
      </c>
      <c r="AN199" s="62">
        <f ca="1">AVERAGE(OFFSET($AM$3,0,0,'Données projet'!$E$10+1,1))-AVERAGE(OFFSET($H$3,0,0,'Données projet'!$E$10+1,1))</f>
        <v>210.41468975391527</v>
      </c>
      <c r="AO199" s="62">
        <f t="shared" si="205"/>
        <v>355.1268923221744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4.0854033233956493</v>
      </c>
      <c r="AV199" s="23">
        <f>EXP(-LN(2)/25)*AV198+(1-EXP(-LN(2)/25))/(LN(2)/25)*Calculateur!AQ199*Calculateur!AS199*VLOOKUP('Données projet'!$B$10,Paramètres!$A$1:$I$89,3,0)*0.475*44/12</f>
        <v>3.3520252484281983E-2</v>
      </c>
      <c r="AW199" s="23">
        <f>EXP(-LN(2)/2)*AW198+(1-EXP(-LN(2)/2))/(LN(2)/2)*AQ199*AT199*VLOOKUP('Données projet'!$B$10,Paramètres!$A$1:$I$89,3,0)*0.475*44/12</f>
        <v>1.1389435778617211E-22</v>
      </c>
      <c r="AX199" s="23">
        <f t="shared" si="166"/>
        <v>4.118923575879931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69.753859250125913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66.833935615974326</v>
      </c>
      <c r="BJ199" s="62">
        <f t="shared" si="206"/>
        <v>294.79914393693775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2.2085156439208622</v>
      </c>
      <c r="BQ199" s="23">
        <f>EXP(-LN(2)/25)*BQ198+(1-EXP(-LN(2)/25))/(LN(2)/25)*Calculateur!BL199*Calculateur!BN199*VLOOKUP('Données projet'!$B$11,Paramètres!$A$1:$I$89,3,0)*0.475*44/12</f>
        <v>3.0311978381451964E-2</v>
      </c>
      <c r="BR199" s="23">
        <f>EXP(-LN(2)/2)*BR198+(1-EXP(-LN(2)/2))/(LN(2)/2)*BL199*BO199*VLOOKUP('Données projet'!$B$11,Paramètres!$A$1:$I$89,3,0)*0.475*44/12</f>
        <v>1.8407513349156917E-26</v>
      </c>
      <c r="BS199" s="24">
        <f t="shared" si="169"/>
        <v>2.2388276223023142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69.753859250125913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69.753859250125913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69.753859250125913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69.753859250125913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69.753859250125913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69.753859250125913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69.753859250125913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1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3.6666666666666665</v>
      </c>
      <c r="H200" s="70">
        <f t="shared" si="192"/>
        <v>232.46666666666667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69.758129241847939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66.513705559911728</v>
      </c>
      <c r="T200" s="62">
        <f t="shared" si="204"/>
        <v>293.21772799887617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2.1520055114050756</v>
      </c>
      <c r="AA200" s="23">
        <f>EXP(-LN(2)/25)*AA199+(1-EXP(-LN(2)/25))/(LN(2)/25)*Calculateur!V200*Calculateur!X200*VLOOKUP('Données projet'!$B$9,Paramètres!$A$1:$I$89,3,0)*0.475*44/12</f>
        <v>2.9303320764557769E-2</v>
      </c>
      <c r="AB200" s="23">
        <f>EXP(-LN(2)/2)*AB199+(1-EXP(-LN(2)/2))/(LN(2)/2)*V200*Y200*VLOOKUP('Données projet'!$B$9,Paramètres!$A$1:$I$89,3,0)*0.475*44/12</f>
        <v>1.2936711187666043E-26</v>
      </c>
      <c r="AC200" s="24">
        <f t="shared" si="163"/>
        <v>2.1813088321696332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69.758129241847939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3.3992364478763198E-14</v>
      </c>
      <c r="AK200" s="14">
        <f t="shared" si="164"/>
        <v>5.790027782444094E-13</v>
      </c>
      <c r="AL200" s="22">
        <f t="shared" si="165"/>
        <v>1.0676332069095257E-12</v>
      </c>
      <c r="AM200" s="62">
        <f t="shared" si="193"/>
        <v>292.44647388677686</v>
      </c>
      <c r="AN200" s="62">
        <f ca="1">AVERAGE(OFFSET($AM$3,0,0,'Données projet'!$E$10+1,1))-AVERAGE(OFFSET($H$3,0,0,'Données projet'!$E$10+1,1))</f>
        <v>210.41468975391527</v>
      </c>
      <c r="AO200" s="62">
        <f t="shared" si="205"/>
        <v>355.1268923221744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4.0052910560738377</v>
      </c>
      <c r="AV200" s="23">
        <f>EXP(-LN(2)/25)*AV199+(1-EXP(-LN(2)/25))/(LN(2)/25)*Calculateur!AQ200*Calculateur!AS200*VLOOKUP('Données projet'!$B$10,Paramètres!$A$1:$I$89,3,0)*0.475*44/12</f>
        <v>3.2603639417345828E-2</v>
      </c>
      <c r="AW200" s="23">
        <f>EXP(-LN(2)/2)*AW199+(1-EXP(-LN(2)/2))/(LN(2)/2)*AQ200*AT200*VLOOKUP('Données projet'!$B$10,Paramètres!$A$1:$I$89,3,0)*0.475*44/12</f>
        <v>8.053547272948916E-23</v>
      </c>
      <c r="AX200" s="23">
        <f t="shared" si="166"/>
        <v>4.0378946954911834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69.758129241847939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66.833935615974326</v>
      </c>
      <c r="BJ200" s="62">
        <f t="shared" si="206"/>
        <v>294.79914393693775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2.1652079992051054</v>
      </c>
      <c r="BQ200" s="23">
        <f>EXP(-LN(2)/25)*BQ199+(1-EXP(-LN(2)/25))/(LN(2)/25)*Calculateur!BL200*Calculateur!BN200*VLOOKUP('Données projet'!$B$11,Paramètres!$A$1:$I$89,3,0)*0.475*44/12</f>
        <v>2.9483095738573495E-2</v>
      </c>
      <c r="BR200" s="23">
        <f>EXP(-LN(2)/2)*BR199+(1-EXP(-LN(2)/2))/(LN(2)/2)*BL200*BO200*VLOOKUP('Données projet'!$B$11,Paramètres!$A$1:$I$89,3,0)*0.475*44/12</f>
        <v>1.3016077513970752E-26</v>
      </c>
      <c r="BS200" s="24">
        <f t="shared" si="169"/>
        <v>2.1946910949436789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69.758129241847939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69.758129241847939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69.758129241847939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69.758129241847939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69.758129241847939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69.758129241847939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69.758129241847939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1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3.6666666666666665</v>
      </c>
      <c r="H201" s="70">
        <f t="shared" si="192"/>
        <v>232.46666666666667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69.762325158759879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66.513705559911728</v>
      </c>
      <c r="T201" s="62">
        <f t="shared" si="204"/>
        <v>293.21772799887617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2.1098059959201763</v>
      </c>
      <c r="AA201" s="23">
        <f>EXP(-LN(2)/25)*AA200+(1-EXP(-LN(2)/25))/(LN(2)/25)*Calculateur!V201*Calculateur!X201*VLOOKUP('Données projet'!$B$9,Paramètres!$A$1:$I$89,3,0)*0.475*44/12</f>
        <v>2.8502019917256271E-2</v>
      </c>
      <c r="AB201" s="23">
        <f>EXP(-LN(2)/2)*AB200+(1-EXP(-LN(2)/2))/(LN(2)/2)*V201*Y201*VLOOKUP('Données projet'!$B$9,Paramètres!$A$1:$I$89,3,0)*0.475*44/12</f>
        <v>9.1476362070505338E-27</v>
      </c>
      <c r="AC201" s="24">
        <f t="shared" si="163"/>
        <v>2.1383080158374326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69.762325158759879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3.3992364478763198E-14</v>
      </c>
      <c r="AK201" s="14">
        <f t="shared" si="164"/>
        <v>5.790027782444094E-13</v>
      </c>
      <c r="AL201" s="22">
        <f t="shared" si="165"/>
        <v>1.0676332069095257E-12</v>
      </c>
      <c r="AM201" s="62">
        <f t="shared" si="193"/>
        <v>292.46185891545394</v>
      </c>
      <c r="AN201" s="62">
        <f ca="1">AVERAGE(OFFSET($AM$3,0,0,'Données projet'!$E$10+1,1))-AVERAGE(OFFSET($H$3,0,0,'Données projet'!$E$10+1,1))</f>
        <v>210.41468975391527</v>
      </c>
      <c r="AO201" s="62">
        <f t="shared" si="205"/>
        <v>355.1268923221744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3.926749741450549</v>
      </c>
      <c r="AV201" s="23">
        <f>EXP(-LN(2)/25)*AV200+(1-EXP(-LN(2)/25))/(LN(2)/25)*Calculateur!AQ201*Calculateur!AS201*VLOOKUP('Données projet'!$B$10,Paramètres!$A$1:$I$89,3,0)*0.475*44/12</f>
        <v>3.1712091182927629E-2</v>
      </c>
      <c r="AW201" s="23">
        <f>EXP(-LN(2)/2)*AW200+(1-EXP(-LN(2)/2))/(LN(2)/2)*AQ201*AT201*VLOOKUP('Données projet'!$B$10,Paramètres!$A$1:$I$89,3,0)*0.475*44/12</f>
        <v>5.6947178893086057E-23</v>
      </c>
      <c r="AX201" s="23">
        <f t="shared" si="166"/>
        <v>3.9584618326334766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69.762325158759879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66.833935615974326</v>
      </c>
      <c r="BJ201" s="62">
        <f t="shared" si="206"/>
        <v>294.79914393693775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2.1227495909871696</v>
      </c>
      <c r="BQ201" s="23">
        <f>EXP(-LN(2)/25)*BQ200+(1-EXP(-LN(2)/25))/(LN(2)/25)*Calculateur!BL201*Calculateur!BN201*VLOOKUP('Données projet'!$B$11,Paramètres!$A$1:$I$89,3,0)*0.475*44/12</f>
        <v>2.8676878935153582E-2</v>
      </c>
      <c r="BR201" s="23">
        <f>EXP(-LN(2)/2)*BR200+(1-EXP(-LN(2)/2))/(LN(2)/2)*BL201*BO201*VLOOKUP('Données projet'!$B$11,Paramètres!$A$1:$I$89,3,0)*0.475*44/12</f>
        <v>9.2037566745784583E-27</v>
      </c>
      <c r="BS201" s="24">
        <f t="shared" si="169"/>
        <v>2.1514264699223231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69.762325158759879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69.762325158759879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69.762325158759879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69.762325158759879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69.762325158759879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69.762325158759879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69.762325158759879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1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3.6666666666666665</v>
      </c>
      <c r="H202" s="70">
        <f t="shared" si="192"/>
        <v>232.46666666666667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69.766448285894057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66.513705559911728</v>
      </c>
      <c r="T202" s="62">
        <f t="shared" si="204"/>
        <v>293.21772799887617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2.0684339871947728</v>
      </c>
      <c r="AA202" s="23">
        <f>EXP(-LN(2)/25)*AA201+(1-EXP(-LN(2)/25))/(LN(2)/25)*Calculateur!V202*Calculateur!X202*VLOOKUP('Données projet'!$B$9,Paramètres!$A$1:$I$89,3,0)*0.475*44/12</f>
        <v>2.7722630683762812E-2</v>
      </c>
      <c r="AB202" s="23">
        <f>EXP(-LN(2)/2)*AB201+(1-EXP(-LN(2)/2))/(LN(2)/2)*V202*Y202*VLOOKUP('Données projet'!$B$9,Paramètres!$A$1:$I$89,3,0)*0.475*44/12</f>
        <v>6.4683555938330213E-27</v>
      </c>
      <c r="AC202" s="24">
        <f t="shared" si="163"/>
        <v>2.0961566178785356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69.766448285894057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3.3992364478763198E-14</v>
      </c>
      <c r="AK202" s="14">
        <f t="shared" si="164"/>
        <v>5.790027782444094E-13</v>
      </c>
      <c r="AL202" s="22">
        <f t="shared" si="165"/>
        <v>1.0676332069095257E-12</v>
      </c>
      <c r="AM202" s="62">
        <f t="shared" si="193"/>
        <v>292.47697704827931</v>
      </c>
      <c r="AN202" s="62">
        <f ca="1">AVERAGE(OFFSET($AM$3,0,0,'Données projet'!$E$10+1,1))-AVERAGE(OFFSET($H$3,0,0,'Données projet'!$E$10+1,1))</f>
        <v>210.41468975391527</v>
      </c>
      <c r="AO202" s="62">
        <f t="shared" si="205"/>
        <v>355.1268923221744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3.8497485741015516</v>
      </c>
      <c r="AV202" s="23">
        <f>EXP(-LN(2)/25)*AV201+(1-EXP(-LN(2)/25))/(LN(2)/25)*Calculateur!AQ202*Calculateur!AS202*VLOOKUP('Données projet'!$B$10,Paramètres!$A$1:$I$89,3,0)*0.475*44/12</f>
        <v>3.0844922381864075E-2</v>
      </c>
      <c r="AW202" s="23">
        <f>EXP(-LN(2)/2)*AW201+(1-EXP(-LN(2)/2))/(LN(2)/2)*AQ202*AT202*VLOOKUP('Données projet'!$B$10,Paramètres!$A$1:$I$89,3,0)*0.475*44/12</f>
        <v>4.026773636474458E-23</v>
      </c>
      <c r="AX202" s="23">
        <f t="shared" si="166"/>
        <v>3.8805934964834154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69.766448285894057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66.833935615974326</v>
      </c>
      <c r="BJ202" s="62">
        <f t="shared" si="206"/>
        <v>294.79914393693775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2.0811237662573157</v>
      </c>
      <c r="BQ202" s="23">
        <f>EXP(-LN(2)/25)*BQ201+(1-EXP(-LN(2)/25))/(LN(2)/25)*Calculateur!BL202*Calculateur!BN202*VLOOKUP('Données projet'!$B$11,Paramètres!$A$1:$I$89,3,0)*0.475*44/12</f>
        <v>2.7892708172620285E-2</v>
      </c>
      <c r="BR202" s="23">
        <f>EXP(-LN(2)/2)*BR201+(1-EXP(-LN(2)/2))/(LN(2)/2)*BL202*BO202*VLOOKUP('Données projet'!$B$11,Paramètres!$A$1:$I$89,3,0)*0.475*44/12</f>
        <v>6.5080387569853761E-27</v>
      </c>
      <c r="BS202" s="24">
        <f t="shared" si="169"/>
        <v>2.1090164744299358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69.766448285894057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69.766448285894057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69.766448285894057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69.766448285894057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69.766448285894057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69.766448285894057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69.766448285894057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1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62.4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3.6666666666666665</v>
      </c>
      <c r="H203" s="70">
        <f t="shared" si="192"/>
        <v>232.46666666666667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69.770499885990375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66.513705559911728</v>
      </c>
      <c r="T203" s="62">
        <f t="shared" si="204"/>
        <v>293.21772799887617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2.027873258326041</v>
      </c>
      <c r="AA203" s="23">
        <f>EXP(-LN(2)/25)*AA202+(1-EXP(-LN(2)/25))/(LN(2)/25)*Calculateur!V203*Calculateur!X203*VLOOKUP('Données projet'!$B$9,Paramètres!$A$1:$I$89,3,0)*0.475*44/12</f>
        <v>2.6964553889845529E-2</v>
      </c>
      <c r="AB203" s="23">
        <f>EXP(-LN(2)/2)*AB202+(1-EXP(-LN(2)/2))/(LN(2)/2)*V203*Y203*VLOOKUP('Données projet'!$B$9,Paramètres!$A$1:$I$89,3,0)*0.475*44/12</f>
        <v>4.5738181035252669E-27</v>
      </c>
      <c r="AC203" s="24">
        <f t="shared" si="163"/>
        <v>2.0548378122158866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69.770499885990375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3.3992364478763198E-14</v>
      </c>
      <c r="AK203" s="14">
        <f t="shared" si="164"/>
        <v>5.790027782444094E-13</v>
      </c>
      <c r="AL203" s="22">
        <f t="shared" si="165"/>
        <v>1.0676332069095257E-12</v>
      </c>
      <c r="AM203" s="62">
        <f t="shared" si="193"/>
        <v>292.49183291529914</v>
      </c>
      <c r="AN203" s="62">
        <f ca="1">AVERAGE(OFFSET($AM$3,0,0,'Données projet'!$E$10+1,1))-AVERAGE(OFFSET($H$3,0,0,'Données projet'!$E$10+1,1))</f>
        <v>210.41468975391527</v>
      </c>
      <c r="AO203" s="62">
        <f t="shared" si="205"/>
        <v>355.1268923221744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3.7742573526781933</v>
      </c>
      <c r="AV203" s="23">
        <f>EXP(-LN(2)/25)*AV202+(1-EXP(-LN(2)/25))/(LN(2)/25)*Calculateur!AQ203*Calculateur!AS203*VLOOKUP('Données projet'!$B$10,Paramètres!$A$1:$I$89,3,0)*0.475*44/12</f>
        <v>3.0001466357268032E-2</v>
      </c>
      <c r="AW203" s="23">
        <f>EXP(-LN(2)/2)*AW202+(1-EXP(-LN(2)/2))/(LN(2)/2)*AQ203*AT203*VLOOKUP('Données projet'!$B$10,Paramètres!$A$1:$I$89,3,0)*0.475*44/12</f>
        <v>2.8473589446543029E-23</v>
      </c>
      <c r="AX203" s="23">
        <f t="shared" si="166"/>
        <v>3.8042588190354611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69.770499885990375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66.833935615974326</v>
      </c>
      <c r="BJ203" s="62">
        <f t="shared" si="206"/>
        <v>294.79914393693775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2.0403141985611684</v>
      </c>
      <c r="BQ203" s="23">
        <f>EXP(-LN(2)/25)*BQ202+(1-EXP(-LN(2)/25))/(LN(2)/25)*Calculateur!BL203*Calculateur!BN203*VLOOKUP('Données projet'!$B$11,Paramètres!$A$1:$I$89,3,0)*0.475*44/12</f>
        <v>2.712998060082621E-2</v>
      </c>
      <c r="BR203" s="23">
        <f>EXP(-LN(2)/2)*BR202+(1-EXP(-LN(2)/2))/(LN(2)/2)*BL203*BO203*VLOOKUP('Données projet'!$B$11,Paramètres!$A$1:$I$89,3,0)*0.475*44/12</f>
        <v>4.6018783372892291E-27</v>
      </c>
      <c r="BS203" s="24">
        <f t="shared" si="169"/>
        <v>2.0674441791619946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69.770499885990375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69.770499885990375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69.770499885990375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69.770499885990375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69.770499885990375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69.770499885990375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69.770499885990375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1.3141519994188957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1.3939124009120489</v>
      </c>
      <c r="BA205" s="88">
        <f>EXP(LN('Données projet'!B88)/'Données projet'!A88)</f>
        <v>1.3141519994188957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D18" sqref="D1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Koster</v>
      </c>
      <c r="B6" s="155">
        <f>'Données projet'!D9</f>
        <v>1.42</v>
      </c>
      <c r="C6" s="156">
        <f ca="1">IF(OR('Données projet'!B9="",'Données projet'!C9="",'Données projet'!C9=0%),0,Calculateur!S3)</f>
        <v>66.513705559911728</v>
      </c>
      <c r="D6" s="156">
        <f>IF(OR('Données projet'!B9="",'Données projet'!C9="",'Données projet'!C9=0%),0,Calculateur!T3)</f>
        <v>293.21772799887617</v>
      </c>
      <c r="E6" s="156">
        <f ca="1">MIN(C6,D6)</f>
        <v>66.513705559911728</v>
      </c>
      <c r="F6" s="156">
        <f ca="1">E6*B6</f>
        <v>94.449461895074649</v>
      </c>
      <c r="G6" s="156">
        <f ca="1">F6*(100%-'Données projet'!$C$24)*(100%-'Données projet'!$C$25)*(100%-'Données projet'!$C$26)*(100%-'Données projet'!$C$27)</f>
        <v>80.754289920288826</v>
      </c>
      <c r="H6" s="157">
        <f>IF(OR('Données projet'!B9="",'Données projet'!C9="",'Données projet'!C9=0%),0,AVERAGE(Calculateur!$AC$3:$AC$33)*B6)</f>
        <v>35.373055795132174</v>
      </c>
      <c r="I6" s="158">
        <f>H6*(100%-'Données projet'!$C$24)*(100%-'Données projet'!$C$25)*(100%-'Données projet'!$C$26)*(100%-'Données projet'!$C$27)</f>
        <v>30.243962704838008</v>
      </c>
      <c r="J6" s="159">
        <f>IF(OR('Données projet'!B9="",'Données projet'!C9="",'Données projet'!C9=0%),0,SUM(Calculateur!$V$3:$V$33)*VLOOKUP('Données projet'!$B$9,Paramètres!$A$1:$I$89,9,0)*B6)</f>
        <v>345.17360000000002</v>
      </c>
      <c r="K6" s="160">
        <f>J6*(100%-'Données projet'!$C$24)*(100%-'Données projet'!$C$25)*(100%-'Données projet'!$C$26)*(100%-'Données projet'!$C$27)</f>
        <v>295.12342799999999</v>
      </c>
      <c r="L6" s="161">
        <f ca="1">G6+I6+K6</f>
        <v>406.12168062512683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maritime</v>
      </c>
      <c r="B7" s="163">
        <f>'Données projet'!D10</f>
        <v>11.927999999999999</v>
      </c>
      <c r="C7" s="156">
        <f ca="1">IF(OR('Données projet'!B10="",'Données projet'!C10="",'Données projet'!C10=0%),0,Calculateur!AN3)</f>
        <v>210.41468975391527</v>
      </c>
      <c r="D7" s="156">
        <f>IF(OR('Données projet'!B10="",'Données projet'!C10="",'Données projet'!C10=0%),0,Calculateur!AO3)</f>
        <v>355.1268923221744</v>
      </c>
      <c r="E7" s="156">
        <f t="shared" ref="E7:E15" ca="1" si="0">MIN(C7,D7)</f>
        <v>210.41468975391527</v>
      </c>
      <c r="F7" s="156">
        <f t="shared" ref="F7:F15" ca="1" si="1">E7*B7</f>
        <v>2509.8264193847012</v>
      </c>
      <c r="G7" s="156">
        <f ca="1">F7*(100%-'Données projet'!$C$24)*(100%-'Données projet'!$C$25)*(100%-'Données projet'!$C$26)*(100%-'Données projet'!$C$27)</f>
        <v>2145.9015885739195</v>
      </c>
      <c r="H7" s="164">
        <f>IF(OR('Données projet'!B10="",'Données projet'!C10="",'Données projet'!C10=0%),0,AVERAGE(Calculateur!$AX$3:$AX$33)*B7)</f>
        <v>97.655128539670727</v>
      </c>
      <c r="I7" s="158">
        <f>H7*(100%-'Données projet'!$C$24)*(100%-'Données projet'!$C$25)*(100%-'Données projet'!$C$26)*(100%-'Données projet'!$C$27)</f>
        <v>83.495134901418467</v>
      </c>
      <c r="J7" s="159">
        <f>IF(OR('Données projet'!B10="",'Données projet'!C10="",'Données projet'!C10=0%),0,SUM(Calculateur!$AQ$3:$AQ$33)*VLOOKUP('Données projet'!$B$10,Paramètres!$A$1:$I$89,9,0)*B7)</f>
        <v>767.08967999999993</v>
      </c>
      <c r="K7" s="160">
        <f>J7*(100%-'Données projet'!$C$24)*(100%-'Données projet'!$C$25)*(100%-'Données projet'!$C$26)*(100%-'Données projet'!$C$27)</f>
        <v>655.86167639999985</v>
      </c>
      <c r="L7" s="161">
        <f t="shared" ref="L7:L15" ca="1" si="2">G7+I7+K7</f>
        <v>2885.258399875338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I-45/51</v>
      </c>
      <c r="B8" s="163">
        <f>'Données projet'!D11</f>
        <v>0.85199999999999998</v>
      </c>
      <c r="C8" s="156">
        <f ca="1">IF(OR('Données projet'!B11="",'Données projet'!C11="",'Données projet'!C11=0%),0,Calculateur!BI3)</f>
        <v>66.833935615974326</v>
      </c>
      <c r="D8" s="156">
        <f>IF(OR('Données projet'!B11="",'Données projet'!C11="",'Données projet'!C11=0%),0,Calculateur!BJ3)</f>
        <v>294.79914393693775</v>
      </c>
      <c r="E8" s="156">
        <f t="shared" ca="1" si="0"/>
        <v>66.833935615974326</v>
      </c>
      <c r="F8" s="156">
        <f t="shared" ca="1" si="1"/>
        <v>56.942513144810121</v>
      </c>
      <c r="G8" s="156">
        <f ca="1">F8*(100%-'Données projet'!$C$24)*(100%-'Données projet'!$C$25)*(100%-'Données projet'!$C$26)*(100%-'Données projet'!$C$27)</f>
        <v>48.685848738812652</v>
      </c>
      <c r="H8" s="164">
        <f>IF(OR('Données projet'!B11="",'Données projet'!C11="",'Données projet'!C11=0%),0,AVERAGE(Calculateur!$BS$3:$BS$33)*B8)</f>
        <v>21.354041044423354</v>
      </c>
      <c r="I8" s="158">
        <f>H8*(100%-'Données projet'!$C$24)*(100%-'Données projet'!$C$25)*(100%-'Données projet'!$C$26)*(100%-'Données projet'!$C$27)</f>
        <v>18.257705092981968</v>
      </c>
      <c r="J8" s="159">
        <f>IF(OR('Données projet'!B11="",'Données projet'!C11="",'Données projet'!C11=0%),0,SUM(Calculateur!$BL$3:$BL$33)*VLOOKUP('Données projet'!$B$11,Paramètres!$A$1:$I$89,9,0)*B8)</f>
        <v>207.10416000000001</v>
      </c>
      <c r="K8" s="160">
        <f>J8*(100%-'Données projet'!$C$24)*(100%-'Données projet'!$C$25)*(100%-'Données projet'!$C$26)*(100%-'Données projet'!$C$27)</f>
        <v>177.07405679999999</v>
      </c>
      <c r="L8" s="161">
        <f t="shared" ca="1" si="2"/>
        <v>244.01761063179461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2661.2183944245862</v>
      </c>
      <c r="G16" s="175">
        <f t="shared" ca="1" si="3"/>
        <v>2275.3417272330212</v>
      </c>
      <c r="H16" s="176">
        <f t="shared" si="3"/>
        <v>154.38222537922627</v>
      </c>
      <c r="I16" s="176">
        <f t="shared" si="3"/>
        <v>131.99680269923846</v>
      </c>
      <c r="J16" s="177">
        <f t="shared" si="3"/>
        <v>1319.36744</v>
      </c>
      <c r="K16" s="177">
        <f t="shared" si="3"/>
        <v>1128.0591611999998</v>
      </c>
      <c r="L16" s="178">
        <f t="shared" ca="1" si="3"/>
        <v>3535.3976911322593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Koster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maritime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I-45/51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0" zoomScale="90" zoomScaleNormal="90" workbookViewId="0">
      <selection activeCell="AA32" sqref="AA32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Koster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3825.3428931337176</v>
      </c>
      <c r="U10" s="190">
        <f>'Données projet'!D9</f>
        <v>1.42</v>
      </c>
      <c r="V10" s="189">
        <f>U10*T10</f>
        <v>5431.986908249879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maritime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-257.205073891719</v>
      </c>
      <c r="U11" s="190">
        <f>'Données projet'!D10</f>
        <v>11.927999999999999</v>
      </c>
      <c r="V11" s="189">
        <f t="shared" ref="V11" si="0">U11*T11</f>
        <v>-3067.9421213804239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I-45/51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0.85199999999999998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Koster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2046</v>
      </c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1203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236</v>
      </c>
      <c r="C23" s="206">
        <v>60</v>
      </c>
      <c r="D23" s="194">
        <f>B23*C23</f>
        <v>14160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-14718.555213130543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397825.39522128546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2000</v>
      </c>
      <c r="Q25" s="265"/>
      <c r="R25" s="25"/>
      <c r="S25" s="198" t="s">
        <v>266</v>
      </c>
      <c r="T25" s="336">
        <f ca="1">T23-T24</f>
        <v>-412543.95043441601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28015.872902907427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2000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1913.8755980861245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1831.4599024747606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1752.5932081098188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1677.1226871864299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1604.9020930013683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1535.7914765563337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1469.6569153649125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1406.3702539377157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1345.8088554427902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1287.8553640600865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1232.3974775694608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maritime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1179.3277297315417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1128.5432820397527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1079.945724439955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937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1033.4408846315359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988.93864558041753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946.35277089035162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905.60073769411656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866.60357674078148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829.2857193691691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13</v>
      </c>
      <c r="B54" s="193">
        <f>'Données projet'!D62</f>
        <v>15</v>
      </c>
      <c r="C54" s="204">
        <v>23</v>
      </c>
      <c r="D54" s="191">
        <f>B54*C54</f>
        <v>345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19</v>
      </c>
      <c r="B55" s="193">
        <f>'Données projet'!D63</f>
        <v>40</v>
      </c>
      <c r="C55" s="204">
        <v>24</v>
      </c>
      <c r="D55" s="191">
        <f t="shared" ref="D55:D73" si="4">B55*C55</f>
        <v>960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25</v>
      </c>
      <c r="B56" s="193">
        <f>'Données projet'!D64</f>
        <v>54</v>
      </c>
      <c r="C56" s="204">
        <v>27</v>
      </c>
      <c r="D56" s="191">
        <f t="shared" si="4"/>
        <v>1458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30</v>
      </c>
      <c r="B57" s="193">
        <f>'Données projet'!D65</f>
        <v>0</v>
      </c>
      <c r="C57" s="204">
        <v>30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38</v>
      </c>
      <c r="B58" s="193">
        <f>'Données projet'!D66</f>
        <v>338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I-45/51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236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2023-05-11T10:53:50Z</dcterms:modified>
</cp:coreProperties>
</file>