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CFBL\Projets_LBC\Projet Saint-Martin-Sepert_032022\"/>
    </mc:Choice>
  </mc:AlternateContent>
  <bookViews>
    <workbookView xWindow="0" yWindow="0" windowWidth="23040" windowHeight="9384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<sst xmlns="http://schemas.openxmlformats.org/spreadsheetml/2006/main" count="1171" uniqueCount="325">
  <si>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</si>
  <si>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</si>
  <si>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</si>
  <si>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</si>
  <si>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</si>
  <si>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</si>
  <si>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</si>
  <si>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</si>
  <si>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</si>
  <si>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</si>
  <si>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</si>
  <si>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</si>
  <si>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</si>
  <si>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</si>
  <si>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</si>
  <si>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</si>
  <si>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</si>
  <si>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</si>
  <si>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</si>
  <si>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</si>
  <si>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</si>
  <si>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</si>
  <si>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</si>
  <si>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</si>
  <si>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</si>
  <si>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</si>
  <si>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</si>
  <si>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</si>
  <si>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</si>
  <si>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</si>
  <si>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</si>
  <si>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</si>
  <si>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</si>
  <si>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</si>
  <si>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</si>
  <si>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</si>
  <si>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</si>
  <si>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</si>
  <si>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</si>
  <si>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</si>
  <si>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</si>
  <si>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</si>
  <si>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</si>
  <si>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</si>
  <si>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</si>
  <si>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</si>
  <si>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</si>
  <si>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</si>
  <si>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</si>
  <si>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</si>
  <si>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</si>
  <si>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</si>
  <si>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</si>
  <si>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</si>
  <si>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</si>
  <si>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</si>
  <si>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</si>
  <si>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</si>
  <si>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</si>
  <si>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</si>
  <si>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</si>
  <si>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</si>
  <si>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</si>
  <si>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</si>
  <si>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</si>
  <si>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</si>
  <si>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</si>
  <si>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</si>
  <si>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</si>
  <si>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</si>
  <si>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</si>
  <si>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</si>
  <si>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</si>
  <si>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</si>
  <si>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</si>
  <si>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</si>
  <si>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</si>
  <si>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</si>
  <si>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</si>
  <si>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</si>
  <si>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</si>
  <si>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</si>
  <si>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</si>
  <si>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</si>
  <si>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</si>
  <si>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</si>
  <si>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</si>
  <si>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</si>
  <si>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</si>
  <si>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</si>
  <si>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</si>
  <si>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</si>
  <si>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</si>
  <si>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</si>
  <si>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</si>
  <si>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</si>
  <si>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</si>
  <si>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</si>
  <si>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</si>
  <si>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</si>
  <si>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</si>
  <si>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</si>
  <si>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</si>
  <si>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</si>
  <si>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</si>
  <si>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</si>
  <si>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</si>
  <si>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</si>
  <si>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</si>
  <si>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</si>
  <si>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</si>
  <si>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</si>
  <si>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</si>
  <si>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</si>
  <si>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</si>
  <si>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</si>
  <si>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</si>
  <si>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</si>
  <si>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</si>
  <si>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</si>
  <si>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</si>
  <si>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</si>
  <si>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</si>
  <si>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</si>
  <si>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</si>
  <si>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</si>
  <si>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</si>
  <si>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</si>
  <si>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</si>
  <si>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</si>
  <si>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</si>
  <si>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</si>
  <si>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</si>
  <si>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</si>
  <si>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</si>
  <si>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</si>
  <si>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</si>
  <si>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</si>
  <si>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</si>
  <si>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</si>
  <si>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</si>
  <si>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</si>
  <si>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</si>
  <si>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</si>
  <si>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</si>
  <si>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</si>
  <si>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</si>
  <si>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</si>
  <si>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</si>
  <si>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</si>
  <si>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</si>
  <si>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</si>
  <si>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</si>
  <si>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</si>
  <si>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</si>
  <si>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</si>
  <si>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</si>
  <si>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</si>
  <si>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</si>
  <si>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</si>
  <si>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</si>
  <si>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</si>
  <si>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</si>
  <si>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</si>
  <si>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</si>
  <si>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</si>
  <si>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</si>
  <si>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</si>
  <si>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</si>
  <si>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</si>
  <si>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</si>
  <si>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</si>
  <si>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</si>
  <si>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</si>
  <si>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</si>
  <si>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</si>
  <si>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</si>
  <si>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</si>
  <si>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</si>
  <si>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</si>
  <si>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</si>
  <si>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</si>
  <si>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</si>
  <si>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</si>
  <si>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</si>
  <si>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</si>
  <si>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</si>
  <si>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</si>
  <si>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</si>
  <si>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</si>
  <si>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</si>
  <si>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</si>
  <si>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</si>
  <si>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</si>
  <si>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</si>
  <si>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</si>
  <si>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</si>
  <si>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</si>
  <si>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</si>
  <si>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</si>
  <si>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</si>
  <si>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</si>
  <si>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</si>
  <si>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</si>
  <si>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</si>
  <si>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</si>
  <si>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</si>
  <si>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</si>
  <si>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</si>
  <si>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</si>
  <si>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</si>
  <si>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</si>
  <si>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</si>
  <si>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</si>
  <si>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</si>
  <si>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</si>
  <si>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</si>
  <si>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</si>
  <si>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</si>
  <si>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</si>
  <si>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</si>
  <si>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</si>
  <si>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</si>
  <si>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</si>
  <si>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</si>
  <si>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</si>
  <si>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</si>
  <si>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</si>
  <si>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</si>
  <si>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</si>
  <si>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</si>
  <si>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</si>
  <si>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</si>
  <si>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</si>
  <si>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</si>
  <si>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</si>
  <si>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</si>
  <si>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</si>
  <si>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</si>
  <si>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</si>
  <si>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</si>
  <si>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</si>
  <si>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</si>
  <si>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</si>
  <si>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</si>
  <si>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</si>
  <si>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</si>
  <si>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</si>
  <si>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</si>
  <si>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</si>
  <si>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</si>
  <si>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</si>
  <si>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</si>
  <si>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</si>
  <si>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</si>
  <si>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</si>
  <si>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</si>
  <si>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</si>
  <si>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</si>
  <si>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</si>
  <si>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</si>
  <si>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</si>
  <si>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</si>
  <si>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</si>
  <si>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</si>
  <si>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</si>
  <si>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</si>
  <si>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</si>
  <si>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</si>
  <si>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</si>
  <si>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</si>
  <si>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</si>
  <si>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</si>
  <si>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</si>
  <si>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</si>
  <si>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</si>
  <si>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</si>
  <si>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</si>
  <si>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</si>
  <si>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</si>
  <si>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</si>
  <si>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</si>
  <si>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</si>
  <si>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</si>
  <si>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</si>
  <si>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</si>
  <si>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</si>
  <si>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</si>
  <si>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</si>
  <si>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</si>
  <si>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</si>
  <si>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</si>
  <si>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</si>
  <si>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</si>
  <si>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</si>
  <si>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</si>
  <si>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</si>
  <si>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</si>
  <si>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</si>
  <si>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</si>
  <si>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</si>
  <si>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</si>
  <si>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</si>
  <si>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</si>
  <si>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</si>
  <si>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</si>
  <si>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</si>
  <si>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</si>
  <si>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</si>
  <si>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</si>
  <si>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</si>
  <si>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</si>
  <si>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</si>
  <si>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</si>
  <si>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</si>
  <si>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</si>
  <si>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</si>
  <si>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</si>
  <si>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</si>
  <si>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</si>
  <si>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</si>
  <si>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</si>
  <si>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</si>
  <si>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</si>
  <si>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Fermage de 170€/ha, aucun bénéfice direct autre.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</si>
</sst>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0" borderId="0" xfId="0" applyFont="1"/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29294032"/>
        <c:axId val="-929292400"/>
      </c:scatterChart>
      <c:valAx>
        <c:axId val="-929294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29292400"/>
        <c:crosses val="autoZero"/>
        <c:crossBetween val="midCat"/>
      </c:valAx>
      <c:valAx>
        <c:axId val="-92929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29294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49199152"/>
        <c:axId val="-749198608"/>
      </c:scatterChart>
      <c:valAx>
        <c:axId val="-749199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49198608"/>
        <c:crosses val="autoZero"/>
        <c:crossBetween val="midCat"/>
      </c:valAx>
      <c:valAx>
        <c:axId val="-74919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49199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29294576"/>
        <c:axId val="-588962912"/>
      </c:scatterChart>
      <c:valAx>
        <c:axId val="-929294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88962912"/>
        <c:crosses val="autoZero"/>
        <c:crossBetween val="midCat"/>
      </c:valAx>
      <c:valAx>
        <c:axId val="-58896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29294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8962368"/>
        <c:axId val="-588965088"/>
      </c:scatterChart>
      <c:valAx>
        <c:axId val="-588962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88965088"/>
        <c:crosses val="autoZero"/>
        <c:crossBetween val="midCat"/>
      </c:valAx>
      <c:valAx>
        <c:axId val="-58896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88962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8967264"/>
        <c:axId val="-588967808"/>
      </c:scatterChart>
      <c:valAx>
        <c:axId val="-5889672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88967808"/>
        <c:crosses val="autoZero"/>
        <c:crossBetween val="midCat"/>
      </c:valAx>
      <c:valAx>
        <c:axId val="-58896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88967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8960736"/>
        <c:axId val="-588961824"/>
      </c:scatterChart>
      <c:valAx>
        <c:axId val="-588960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88961824"/>
        <c:crosses val="autoZero"/>
        <c:crossBetween val="midCat"/>
      </c:valAx>
      <c:valAx>
        <c:axId val="-58896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88960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8961280"/>
        <c:axId val="-588964000"/>
      </c:scatterChart>
      <c:valAx>
        <c:axId val="-58896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88964000"/>
        <c:crosses val="autoZero"/>
        <c:crossBetween val="midCat"/>
      </c:valAx>
      <c:valAx>
        <c:axId val="-58896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8896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8966720"/>
        <c:axId val="-588966176"/>
      </c:scatterChart>
      <c:valAx>
        <c:axId val="-58896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88966176"/>
        <c:crosses val="autoZero"/>
        <c:crossBetween val="midCat"/>
      </c:valAx>
      <c:valAx>
        <c:axId val="-58896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8896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49200784"/>
        <c:axId val="-749198064"/>
      </c:scatterChart>
      <c:valAx>
        <c:axId val="-749200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49198064"/>
        <c:crosses val="autoZero"/>
        <c:crossBetween val="midCat"/>
      </c:valAx>
      <c:valAx>
        <c:axId val="-74919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4920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49199696"/>
        <c:axId val="-749201328"/>
      </c:scatterChart>
      <c:valAx>
        <c:axId val="-74919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49201328"/>
        <c:crosses val="autoZero"/>
        <c:crossBetween val="midCat"/>
      </c:valAx>
      <c:valAx>
        <c:axId val="-74920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4919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99" zoomScaleNormal="80" workbookViewId="0">
      <selection activeCell="K39" sqref="K3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2.2000000000000002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13</v>
      </c>
      <c r="C9" s="35">
        <v>1</v>
      </c>
      <c r="D9" s="36">
        <f t="shared" ref="D9:D18" si="0">C9*$C$5</f>
        <v>2.2000000000000002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2.2000000000000002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15</v>
      </c>
      <c r="B36" s="63">
        <v>87</v>
      </c>
      <c r="C36" s="63">
        <v>1</v>
      </c>
      <c r="D36" s="63">
        <v>21</v>
      </c>
      <c r="E36" s="54"/>
      <c r="F36" s="54"/>
      <c r="G36" s="54"/>
      <c r="H36" s="54">
        <v>1</v>
      </c>
      <c r="I36" s="52">
        <f>IFERROR(B36/A36,"")</f>
        <v>5.8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20</v>
      </c>
      <c r="B37" s="63">
        <v>137</v>
      </c>
      <c r="C37" s="63">
        <v>2</v>
      </c>
      <c r="D37" s="63">
        <v>43</v>
      </c>
      <c r="E37" s="54"/>
      <c r="F37" s="54"/>
      <c r="G37" s="54">
        <v>0.4</v>
      </c>
      <c r="H37" s="54">
        <v>0.6</v>
      </c>
      <c r="I37" s="56">
        <f t="shared" ref="I37:I55" si="1">IF(A37&lt;&gt;0,(B37-(B36-D36))/(A37-A36),"")</f>
        <v>14.2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v>163</v>
      </c>
      <c r="C38" s="63">
        <v>3</v>
      </c>
      <c r="D38" s="63">
        <v>44</v>
      </c>
      <c r="E38" s="54"/>
      <c r="F38" s="54">
        <v>0.25</v>
      </c>
      <c r="G38" s="54">
        <v>0.4</v>
      </c>
      <c r="H38" s="54">
        <v>0.35</v>
      </c>
      <c r="I38" s="56">
        <f t="shared" si="1"/>
        <v>13.8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184</v>
      </c>
      <c r="C39" s="63">
        <v>4</v>
      </c>
      <c r="D39" s="63">
        <v>44</v>
      </c>
      <c r="E39" s="54"/>
      <c r="F39" s="54">
        <v>0.4</v>
      </c>
      <c r="G39" s="54">
        <v>0.4</v>
      </c>
      <c r="H39" s="54">
        <v>0.2</v>
      </c>
      <c r="I39" s="52">
        <f t="shared" si="1"/>
        <v>13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35</v>
      </c>
      <c r="B40" s="63">
        <v>201</v>
      </c>
      <c r="C40" s="63">
        <v>5</v>
      </c>
      <c r="D40" s="63">
        <v>42</v>
      </c>
      <c r="E40" s="54"/>
      <c r="F40" s="54"/>
      <c r="G40" s="54"/>
      <c r="H40" s="54"/>
      <c r="I40" s="52">
        <f t="shared" si="1"/>
        <v>12.2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40</v>
      </c>
      <c r="B41" s="63">
        <v>213</v>
      </c>
      <c r="C41" s="63">
        <v>6</v>
      </c>
      <c r="D41" s="63">
        <v>39</v>
      </c>
      <c r="E41" s="54"/>
      <c r="F41" s="54"/>
      <c r="G41" s="54"/>
      <c r="H41" s="54"/>
      <c r="I41" s="56">
        <f t="shared" si="1"/>
        <v>10.8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45</v>
      </c>
      <c r="B42" s="63">
        <v>223</v>
      </c>
      <c r="C42" s="63">
        <v>7</v>
      </c>
      <c r="D42" s="63">
        <v>36</v>
      </c>
      <c r="E42" s="54"/>
      <c r="F42" s="54"/>
      <c r="G42" s="54"/>
      <c r="H42" s="54"/>
      <c r="I42" s="56">
        <f t="shared" si="1"/>
        <v>9.8000000000000007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50</v>
      </c>
      <c r="B43" s="63">
        <v>231</v>
      </c>
      <c r="C43" s="63">
        <v>8</v>
      </c>
      <c r="D43" s="63">
        <v>33</v>
      </c>
      <c r="E43" s="54"/>
      <c r="F43" s="54"/>
      <c r="G43" s="54"/>
      <c r="H43" s="54"/>
      <c r="I43" s="52">
        <f t="shared" si="1"/>
        <v>8.8000000000000007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55</v>
      </c>
      <c r="B44" s="63">
        <v>237</v>
      </c>
      <c r="C44" s="63">
        <v>9</v>
      </c>
      <c r="D44" s="63">
        <v>29</v>
      </c>
      <c r="E44" s="54"/>
      <c r="F44" s="54"/>
      <c r="G44" s="54"/>
      <c r="H44" s="54"/>
      <c r="I44" s="52">
        <f t="shared" si="1"/>
        <v>7.8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60</v>
      </c>
      <c r="B45" s="63">
        <v>242</v>
      </c>
      <c r="C45" s="63">
        <v>10</v>
      </c>
      <c r="D45" s="63">
        <v>26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65</v>
      </c>
      <c r="B46" s="63">
        <v>246</v>
      </c>
      <c r="C46" s="63">
        <v>11</v>
      </c>
      <c r="D46" s="63">
        <v>23</v>
      </c>
      <c r="E46" s="54"/>
      <c r="F46" s="54"/>
      <c r="G46" s="54"/>
      <c r="H46" s="54"/>
      <c r="I46" s="52">
        <f t="shared" si="1"/>
        <v>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70</v>
      </c>
      <c r="B47" s="63">
        <v>249</v>
      </c>
      <c r="C47" s="63"/>
      <c r="D47" s="63">
        <v>249</v>
      </c>
      <c r="E47" s="54"/>
      <c r="F47" s="54"/>
      <c r="G47" s="54"/>
      <c r="H47" s="54"/>
      <c r="I47" s="52">
        <f t="shared" si="1"/>
        <v>5.2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rouge d'Amérique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321.23599968992932</v>
      </c>
      <c r="T3" s="62">
        <f>IF('Données projet'!E9&gt;30,$R$33-$H$33,LOOKUP('Données projet'!$E$9,$A$3:$A$203,R3:R203)-LOOKUP('Données projet'!$E$9,$A$3:$A$203,$H$3:$H$203))</f>
        <v>388.05195847800502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5.8</v>
      </c>
      <c r="N4" s="14">
        <f>IF('Données projet'!$A$36&gt;35,N3+M4-V3,IF(A4&lt;'Données projet'!$A$36,$K$205^A4,IF(A4='Données projet'!$A$36,'Données projet'!$B$36,N3+M4-V3)))</f>
        <v>1.3467943429205997</v>
      </c>
      <c r="O4" s="14">
        <f>N4*VLOOKUP('Données projet'!$B$9,Paramètres!$A$1:$I$89,3,0)*VLOOKUP('Données projet'!$B$9,Paramètres!$A$1:$I$89,5,0)</f>
        <v>1.1765595379754361</v>
      </c>
      <c r="P4" s="14">
        <f>EXP(-1.0587+0.8836*LN(O4)+0.284)</f>
        <v>0.53204273185561757</v>
      </c>
      <c r="Q4" s="22">
        <f t="shared" ref="Q4:Q34" si="2">(O4+P4)*0.475*44/12</f>
        <v>2.9758156199557515</v>
      </c>
      <c r="R4" s="62">
        <f t="shared" si="0"/>
        <v>260.86470450884462</v>
      </c>
      <c r="S4" s="62">
        <f ca="1">AVERAGE(OFFSET($R$3,0,0,'Données projet'!$E$9+1,1))-AVERAGE(OFFSET($H$3,0,0,'Données projet'!$E$9+1,1))</f>
        <v>321.23599968992932</v>
      </c>
      <c r="T4" s="62">
        <f>$T$3</f>
        <v>388.05195847800502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5.8</v>
      </c>
      <c r="N5" s="14">
        <f>IF('Données projet'!$A$36&gt;35,N4+M5-V4,IF(A5&lt;'Données projet'!$A$36,$K$205^A5,IF(A5='Données projet'!$A$36,'Données projet'!$B$36,N4+M5-V4)))</f>
        <v>1.81385500212293</v>
      </c>
      <c r="O5" s="14">
        <f>N5*VLOOKUP('Données projet'!$B$9,Paramètres!$A$1:$I$89,3,0)*VLOOKUP('Données projet'!$B$9,Paramètres!$A$1:$I$89,5,0)</f>
        <v>1.5845837298545919</v>
      </c>
      <c r="P5" s="14">
        <f t="shared" ref="P5:P68" si="33">EXP(-1.0587+0.8836*LN(O5)+0.284)</f>
        <v>0.69214506839939893</v>
      </c>
      <c r="Q5" s="22">
        <f t="shared" si="2"/>
        <v>3.9653026569590337</v>
      </c>
      <c r="R5" s="62">
        <f t="shared" si="0"/>
        <v>263.07641376807015</v>
      </c>
      <c r="S5" s="62">
        <f ca="1">AVERAGE(OFFSET($R$3,0,0,'Données projet'!$E$9+1,1))-AVERAGE(OFFSET($H$3,0,0,'Données projet'!$E$9+1,1))</f>
        <v>321.23599968992932</v>
      </c>
      <c r="T5" s="62">
        <f t="shared" ref="T5:T68" si="34">$T$3</f>
        <v>388.05195847800502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5.8</v>
      </c>
      <c r="N6" s="14">
        <f>IF('Données projet'!$A$36&gt;35,N5+M6-V5,IF(A6&lt;'Données projet'!$A$36,$K$205^A6,IF(A6='Données projet'!$A$36,'Données projet'!$B$36,N5+M6-V5)))</f>
        <v>2.4428896557373947</v>
      </c>
      <c r="O6" s="14">
        <f>N6*VLOOKUP('Données projet'!$B$9,Paramètres!$A$1:$I$89,3,0)*VLOOKUP('Données projet'!$B$9,Paramètres!$A$1:$I$89,5,0)</f>
        <v>2.1341084032521884</v>
      </c>
      <c r="P6" s="14">
        <f t="shared" si="33"/>
        <v>0.90042541139273424</v>
      </c>
      <c r="Q6" s="22">
        <f t="shared" si="2"/>
        <v>5.2851463938399075</v>
      </c>
      <c r="R6" s="62">
        <f t="shared" si="0"/>
        <v>265.61847972717322</v>
      </c>
      <c r="S6" s="62">
        <f ca="1">AVERAGE(OFFSET($R$3,0,0,'Données projet'!$E$9+1,1))-AVERAGE(OFFSET($H$3,0,0,'Données projet'!$E$9+1,1))</f>
        <v>321.23599968992932</v>
      </c>
      <c r="T6" s="62">
        <f t="shared" si="34"/>
        <v>388.05195847800502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5.8</v>
      </c>
      <c r="N7" s="14">
        <f>IF('Données projet'!$A$36&gt;35,N6+M7-V6,IF(A7&lt;'Données projet'!$A$36,$K$205^A7,IF(A7='Données projet'!$A$36,'Données projet'!$B$36,N6+M7-V6)))</f>
        <v>3.2900699687263746</v>
      </c>
      <c r="O7" s="14">
        <f>N7*VLOOKUP('Données projet'!$B$9,Paramètres!$A$1:$I$89,3,0)*VLOOKUP('Données projet'!$B$9,Paramètres!$A$1:$I$89,5,0)</f>
        <v>2.874205124679361</v>
      </c>
      <c r="P7" s="14">
        <f t="shared" si="33"/>
        <v>1.1713814899478936</v>
      </c>
      <c r="Q7" s="22">
        <f t="shared" si="2"/>
        <v>7.0460633538091342</v>
      </c>
      <c r="R7" s="62">
        <f t="shared" si="0"/>
        <v>268.60161890936467</v>
      </c>
      <c r="S7" s="62">
        <f ca="1">AVERAGE(OFFSET($R$3,0,0,'Données projet'!$E$9+1,1))-AVERAGE(OFFSET($H$3,0,0,'Données projet'!$E$9+1,1))</f>
        <v>321.23599968992932</v>
      </c>
      <c r="T7" s="62">
        <f t="shared" si="34"/>
        <v>388.05195847800502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5.8</v>
      </c>
      <c r="N8" s="14">
        <f>IF('Données projet'!$A$36&gt;35,N7+M8-V7,IF(A8&lt;'Données projet'!$A$36,$K$205^A8,IF(A8='Données projet'!$A$36,'Données projet'!$B$36,N7+M8-V7)))</f>
        <v>4.4310476216936356</v>
      </c>
      <c r="O8" s="14">
        <f>N8*VLOOKUP('Données projet'!$B$9,Paramètres!$A$1:$I$89,3,0)*VLOOKUP('Données projet'!$B$9,Paramètres!$A$1:$I$89,5,0)</f>
        <v>3.8709632023115605</v>
      </c>
      <c r="P8" s="14">
        <f t="shared" si="33"/>
        <v>1.5238736908481918</v>
      </c>
      <c r="Q8" s="22">
        <f t="shared" si="2"/>
        <v>9.3960075889199022</v>
      </c>
      <c r="R8" s="62">
        <f t="shared" si="0"/>
        <v>272.1737853666977</v>
      </c>
      <c r="S8" s="62">
        <f ca="1">AVERAGE(OFFSET($R$3,0,0,'Données projet'!$E$9+1,1))-AVERAGE(OFFSET($H$3,0,0,'Données projet'!$E$9+1,1))</f>
        <v>321.23599968992932</v>
      </c>
      <c r="T8" s="62">
        <f t="shared" si="34"/>
        <v>388.05195847800502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5.8</v>
      </c>
      <c r="N9" s="14">
        <f>IF('Données projet'!$A$36&gt;35,N8+M9-V8,IF(A9&lt;'Données projet'!$A$36,$K$205^A9,IF(A9='Données projet'!$A$36,'Données projet'!$B$36,N8+M9-V8)))</f>
        <v>5.9677098701087665</v>
      </c>
      <c r="O9" s="14">
        <f>N9*VLOOKUP('Données projet'!$B$9,Paramètres!$A$1:$I$89,3,0)*VLOOKUP('Données projet'!$B$9,Paramètres!$A$1:$I$89,5,0)</f>
        <v>5.2133913425270189</v>
      </c>
      <c r="P9" s="14">
        <f t="shared" si="33"/>
        <v>1.9824378698032765</v>
      </c>
      <c r="Q9" s="22">
        <f t="shared" si="2"/>
        <v>12.53273587814193</v>
      </c>
      <c r="R9" s="62">
        <f t="shared" si="0"/>
        <v>276.53273587814192</v>
      </c>
      <c r="S9" s="62">
        <f ca="1">AVERAGE(OFFSET($R$3,0,0,'Données projet'!$E$9+1,1))-AVERAGE(OFFSET($H$3,0,0,'Données projet'!$E$9+1,1))</f>
        <v>321.23599968992932</v>
      </c>
      <c r="T9" s="62">
        <f t="shared" si="34"/>
        <v>388.05195847800502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5.8</v>
      </c>
      <c r="N10" s="14">
        <f>IF('Données projet'!$A$36&gt;35,N9+M10-V9,IF(A10&lt;'Données projet'!$A$36,$K$205^A10,IF(A10='Données projet'!$A$36,'Données projet'!$B$36,N9+M10-V9)))</f>
        <v>8.0372778932539148</v>
      </c>
      <c r="O10" s="14">
        <f>N10*VLOOKUP('Données projet'!$B$9,Paramètres!$A$1:$I$89,3,0)*VLOOKUP('Données projet'!$B$9,Paramètres!$A$1:$I$89,5,0)</f>
        <v>7.0213659675466209</v>
      </c>
      <c r="P10" s="14">
        <f t="shared" si="33"/>
        <v>2.5789932139603198</v>
      </c>
      <c r="Q10" s="22">
        <f t="shared" si="2"/>
        <v>16.72062557445792</v>
      </c>
      <c r="R10" s="62">
        <f t="shared" si="0"/>
        <v>281.94284779668016</v>
      </c>
      <c r="S10" s="62">
        <f ca="1">AVERAGE(OFFSET($R$3,0,0,'Données projet'!$E$9+1,1))-AVERAGE(OFFSET($H$3,0,0,'Données projet'!$E$9+1,1))</f>
        <v>321.23599968992932</v>
      </c>
      <c r="T10" s="62">
        <f t="shared" si="34"/>
        <v>388.05195847800502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5.8</v>
      </c>
      <c r="N11" s="14">
        <f>IF('Données projet'!$A$36&gt;35,N10+M11-V10,IF(A11&lt;'Données projet'!$A$36,$K$205^A11,IF(A11='Données projet'!$A$36,'Données projet'!$B$36,N10+M11-V10)))</f>
        <v>10.824560399115168</v>
      </c>
      <c r="O11" s="14">
        <f>N11*VLOOKUP('Données projet'!$B$9,Paramètres!$A$1:$I$89,3,0)*VLOOKUP('Données projet'!$B$9,Paramètres!$A$1:$I$89,5,0)</f>
        <v>9.4563359646670122</v>
      </c>
      <c r="P11" s="14">
        <f t="shared" si="33"/>
        <v>3.3550640345230081</v>
      </c>
      <c r="Q11" s="22">
        <f t="shared" si="2"/>
        <v>22.313188331922618</v>
      </c>
      <c r="R11" s="62">
        <f t="shared" si="0"/>
        <v>288.75763277636707</v>
      </c>
      <c r="S11" s="62">
        <f ca="1">AVERAGE(OFFSET($R$3,0,0,'Données projet'!$E$9+1,1))-AVERAGE(OFFSET($H$3,0,0,'Données projet'!$E$9+1,1))</f>
        <v>321.23599968992932</v>
      </c>
      <c r="T11" s="62">
        <f t="shared" si="34"/>
        <v>388.05195847800502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5.8</v>
      </c>
      <c r="N12" s="14">
        <f>IF('Données projet'!$A$36&gt;35,N11+M12-V11,IF(A12&lt;'Données projet'!$A$36,$K$205^A12,IF(A12='Données projet'!$A$36,'Données projet'!$B$36,N11+M12-V11)))</f>
        <v>14.578456710130657</v>
      </c>
      <c r="O12" s="14">
        <f>N12*VLOOKUP('Données projet'!$B$9,Paramètres!$A$1:$I$89,3,0)*VLOOKUP('Données projet'!$B$9,Paramètres!$A$1:$I$89,5,0)</f>
        <v>12.735739781970144</v>
      </c>
      <c r="P12" s="14">
        <f t="shared" si="33"/>
        <v>4.364670141362768</v>
      </c>
      <c r="Q12" s="22">
        <f t="shared" si="2"/>
        <v>29.783213949804821</v>
      </c>
      <c r="R12" s="62">
        <f t="shared" si="0"/>
        <v>297.44988061647149</v>
      </c>
      <c r="S12" s="62">
        <f ca="1">AVERAGE(OFFSET($R$3,0,0,'Données projet'!$E$9+1,1))-AVERAGE(OFFSET($H$3,0,0,'Données projet'!$E$9+1,1))</f>
        <v>321.23599968992932</v>
      </c>
      <c r="T12" s="62">
        <f t="shared" si="34"/>
        <v>388.05195847800502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5.8</v>
      </c>
      <c r="N13" s="14">
        <f>IF('Données projet'!$A$36&gt;35,N12+M13-V12,IF(A13&lt;'Données projet'!$A$36,$K$205^A13,IF(A13='Données projet'!$A$36,'Données projet'!$B$36,N12+M13-V12)))</f>
        <v>19.634183025716826</v>
      </c>
      <c r="O13" s="14">
        <f>N13*VLOOKUP('Données projet'!$B$9,Paramètres!$A$1:$I$89,3,0)*VLOOKUP('Données projet'!$B$9,Paramètres!$A$1:$I$89,5,0)</f>
        <v>17.152422291266223</v>
      </c>
      <c r="P13" s="14">
        <f t="shared" si="33"/>
        <v>5.678086989362658</v>
      </c>
      <c r="Q13" s="22">
        <f t="shared" si="2"/>
        <v>39.763136997095295</v>
      </c>
      <c r="R13" s="62">
        <f t="shared" si="0"/>
        <v>308.65202588598413</v>
      </c>
      <c r="S13" s="62">
        <f ca="1">AVERAGE(OFFSET($R$3,0,0,'Données projet'!$E$9+1,1))-AVERAGE(OFFSET($H$3,0,0,'Données projet'!$E$9+1,1))</f>
        <v>321.23599968992932</v>
      </c>
      <c r="T13" s="62">
        <f t="shared" si="34"/>
        <v>388.05195847800502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5.8</v>
      </c>
      <c r="N14" s="14">
        <f>IF('Données projet'!$A$36&gt;35,N13+M14-V13,IF(A14&lt;'Données projet'!$A$36,$K$205^A14,IF(A14='Données projet'!$A$36,'Données projet'!$B$36,N13+M14-V13)))</f>
        <v>26.443206626903088</v>
      </c>
      <c r="O14" s="14">
        <f>N14*VLOOKUP('Données projet'!$B$9,Paramètres!$A$1:$I$89,3,0)*VLOOKUP('Données projet'!$B$9,Paramètres!$A$1:$I$89,5,0)</f>
        <v>23.100785309262541</v>
      </c>
      <c r="P14" s="14">
        <f t="shared" si="33"/>
        <v>7.3867373282653306</v>
      </c>
      <c r="Q14" s="22">
        <f t="shared" si="2"/>
        <v>53.099101927027704</v>
      </c>
      <c r="R14" s="62">
        <f t="shared" si="0"/>
        <v>323.21021303813882</v>
      </c>
      <c r="S14" s="62">
        <f ca="1">AVERAGE(OFFSET($R$3,0,0,'Données projet'!$E$9+1,1))-AVERAGE(OFFSET($H$3,0,0,'Données projet'!$E$9+1,1))</f>
        <v>321.23599968992932</v>
      </c>
      <c r="T14" s="62">
        <f t="shared" si="34"/>
        <v>388.05195847800502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5.8</v>
      </c>
      <c r="N15" s="14">
        <f>IF('Données projet'!$A$36&gt;35,N14+M15-V14,IF(A15&lt;'Données projet'!$A$36,$K$205^A15,IF(A15='Données projet'!$A$36,'Données projet'!$B$36,N14+M15-V14)))</f>
        <v>35.613561093793592</v>
      </c>
      <c r="O15" s="14">
        <f>N15*VLOOKUP('Données projet'!$B$9,Paramètres!$A$1:$I$89,3,0)*VLOOKUP('Données projet'!$B$9,Paramètres!$A$1:$I$89,5,0)</f>
        <v>31.112006971538086</v>
      </c>
      <c r="P15" s="14">
        <f t="shared" si="33"/>
        <v>9.6095548481396289</v>
      </c>
      <c r="Q15" s="22">
        <f t="shared" si="2"/>
        <v>70.9233868359387</v>
      </c>
      <c r="R15" s="62">
        <f t="shared" si="0"/>
        <v>342.256720169272</v>
      </c>
      <c r="S15" s="62">
        <f ca="1">AVERAGE(OFFSET($R$3,0,0,'Données projet'!$E$9+1,1))-AVERAGE(OFFSET($H$3,0,0,'Données projet'!$E$9+1,1))</f>
        <v>321.23599968992932</v>
      </c>
      <c r="T15" s="62">
        <f t="shared" si="34"/>
        <v>388.05195847800502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5.8</v>
      </c>
      <c r="N16" s="14">
        <f>IF('Données projet'!$A$36&gt;35,N15+M16-V15,IF(A16&lt;'Données projet'!$A$36,$K$205^A16,IF(A16='Données projet'!$A$36,'Données projet'!$B$36,N15+M16-V15)))</f>
        <v>47.964142612378375</v>
      </c>
      <c r="O16" s="14">
        <f>N16*VLOOKUP('Données projet'!$B$9,Paramètres!$A$1:$I$89,3,0)*VLOOKUP('Données projet'!$B$9,Paramètres!$A$1:$I$89,5,0)</f>
        <v>41.901474986173753</v>
      </c>
      <c r="P16" s="14">
        <f t="shared" si="33"/>
        <v>12.501262773491545</v>
      </c>
      <c r="Q16" s="22">
        <f t="shared" si="2"/>
        <v>94.751434931417066</v>
      </c>
      <c r="R16" s="62">
        <f t="shared" si="0"/>
        <v>367.30699048697261</v>
      </c>
      <c r="S16" s="62">
        <f ca="1">AVERAGE(OFFSET($R$3,0,0,'Données projet'!$E$9+1,1))-AVERAGE(OFFSET($H$3,0,0,'Données projet'!$E$9+1,1))</f>
        <v>321.23599968992932</v>
      </c>
      <c r="T16" s="62">
        <f t="shared" si="34"/>
        <v>388.05195847800502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5.8</v>
      </c>
      <c r="N17" s="14">
        <f>IF('Données projet'!$A$36&gt;35,N16+M17-V16,IF(A17&lt;'Données projet'!$A$36,$K$205^A17,IF(A17='Données projet'!$A$36,'Données projet'!$B$36,N16+M17-V16)))</f>
        <v>64.597835933388069</v>
      </c>
      <c r="O17" s="14">
        <f>N17*VLOOKUP('Données projet'!$B$9,Paramètres!$A$1:$I$89,3,0)*VLOOKUP('Données projet'!$B$9,Paramètres!$A$1:$I$89,5,0)</f>
        <v>56.432669471407827</v>
      </c>
      <c r="P17" s="14">
        <f t="shared" si="33"/>
        <v>16.263143652501352</v>
      </c>
      <c r="Q17" s="22">
        <f t="shared" si="2"/>
        <v>126.61187452414181</v>
      </c>
      <c r="R17" s="62">
        <f t="shared" si="0"/>
        <v>400.38965230191957</v>
      </c>
      <c r="S17" s="62">
        <f ca="1">AVERAGE(OFFSET($R$3,0,0,'Données projet'!$E$9+1,1))-AVERAGE(OFFSET($H$3,0,0,'Données projet'!$E$9+1,1))</f>
        <v>321.23599968992932</v>
      </c>
      <c r="T17" s="62">
        <f t="shared" si="34"/>
        <v>388.05195847800502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87</v>
      </c>
      <c r="L18" s="13">
        <f>VLOOKUP(A18,'Données projet'!$A$35:$I$55,9,0)</f>
        <v>5.8</v>
      </c>
      <c r="M18" s="13">
        <f t="array" ref="M18">INDEX(L:L,MIN(IF(ISNUMBER(L18:L214),ROW(L18:L214),"")))</f>
        <v>5.8</v>
      </c>
      <c r="N18" s="14">
        <f>IF('Données projet'!$A$36&gt;35,N17+M18-V17,IF(A18&lt;'Données projet'!$A$36,$K$205^A18,IF(A18='Données projet'!$A$36,'Données projet'!$B$36,N17+M18-V17)))</f>
        <v>87</v>
      </c>
      <c r="O18" s="14">
        <f>N18*VLOOKUP('Données projet'!$B$9,Paramètres!$A$1:$I$89,3,0)*VLOOKUP('Données projet'!$B$9,Paramètres!$A$1:$I$89,5,0)</f>
        <v>76.003200000000007</v>
      </c>
      <c r="P18" s="14">
        <f t="shared" si="33"/>
        <v>21.157049992000456</v>
      </c>
      <c r="Q18" s="22">
        <f t="shared" si="2"/>
        <v>169.22076873606747</v>
      </c>
      <c r="R18" s="62">
        <f t="shared" si="0"/>
        <v>444.2207687360675</v>
      </c>
      <c r="S18" s="62">
        <f ca="1">AVERAGE(OFFSET($R$3,0,0,'Données projet'!$E$9+1,1))-AVERAGE(OFFSET($H$3,0,0,'Données projet'!$E$9+1,1))</f>
        <v>321.23599968992932</v>
      </c>
      <c r="T18" s="62">
        <f t="shared" si="34"/>
        <v>388.05195847800502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21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14.2</v>
      </c>
      <c r="N19" s="14">
        <f>IF('Données projet'!$A$36&gt;35,N18+M19-V18,IF(A19&lt;'Données projet'!$A$36,$K$205^A19,IF(A19='Données projet'!$A$36,'Données projet'!$B$36,N18+M19-V18)))</f>
        <v>80.2</v>
      </c>
      <c r="O19" s="14">
        <f>N19*VLOOKUP('Données projet'!$B$9,Paramètres!$A$1:$I$89,3,0)*VLOOKUP('Données projet'!$B$9,Paramètres!$A$1:$I$89,5,0)</f>
        <v>70.062720000000013</v>
      </c>
      <c r="P19" s="14">
        <f t="shared" si="33"/>
        <v>19.689032345957123</v>
      </c>
      <c r="Q19" s="22">
        <f t="shared" si="2"/>
        <v>156.31763533587534</v>
      </c>
      <c r="R19" s="62">
        <f t="shared" si="0"/>
        <v>432.53985755809754</v>
      </c>
      <c r="S19" s="62">
        <f ca="1">AVERAGE(OFFSET($R$3,0,0,'Données projet'!$E$9+1,1))-AVERAGE(OFFSET($H$3,0,0,'Données projet'!$E$9+1,1))</f>
        <v>321.23599968992932</v>
      </c>
      <c r="T19" s="62">
        <f t="shared" si="34"/>
        <v>388.05195847800502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14.2</v>
      </c>
      <c r="N20" s="14">
        <f>IF('Données projet'!$A$36&gt;35,N19+M20-V19,IF(A20&lt;'Données projet'!$A$36,$K$205^A20,IF(A20='Données projet'!$A$36,'Données projet'!$B$36,N19+M20-V19)))</f>
        <v>94.4</v>
      </c>
      <c r="O20" s="14">
        <f>N20*VLOOKUP('Données projet'!$B$9,Paramètres!$A$1:$I$89,3,0)*VLOOKUP('Données projet'!$B$9,Paramètres!$A$1:$I$89,5,0)</f>
        <v>82.467840000000024</v>
      </c>
      <c r="P20" s="14">
        <f t="shared" si="33"/>
        <v>22.739512759227473</v>
      </c>
      <c r="Q20" s="22">
        <f t="shared" si="2"/>
        <v>183.23613938898788</v>
      </c>
      <c r="R20" s="62">
        <f t="shared" si="0"/>
        <v>460.68058383343237</v>
      </c>
      <c r="S20" s="62">
        <f ca="1">AVERAGE(OFFSET($R$3,0,0,'Données projet'!$E$9+1,1))-AVERAGE(OFFSET($H$3,0,0,'Données projet'!$E$9+1,1))</f>
        <v>321.23599968992932</v>
      </c>
      <c r="T20" s="62">
        <f t="shared" si="34"/>
        <v>388.05195847800502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14.2</v>
      </c>
      <c r="N21" s="14">
        <f>IF('Données projet'!$A$36&gt;35,N20+M21-V20,IF(A21&lt;'Données projet'!$A$36,$K$205^A21,IF(A21='Données projet'!$A$36,'Données projet'!$B$36,N20+M21-V20)))</f>
        <v>108.60000000000001</v>
      </c>
      <c r="O21" s="14">
        <f>N21*VLOOKUP('Données projet'!$B$9,Paramètres!$A$1:$I$89,3,0)*VLOOKUP('Données projet'!$B$9,Paramètres!$A$1:$I$89,5,0)</f>
        <v>94.87296000000002</v>
      </c>
      <c r="P21" s="14">
        <f t="shared" si="33"/>
        <v>25.736834760472274</v>
      </c>
      <c r="Q21" s="22">
        <f t="shared" si="2"/>
        <v>210.06205920782259</v>
      </c>
      <c r="R21" s="62">
        <f t="shared" si="0"/>
        <v>488.72872587448927</v>
      </c>
      <c r="S21" s="62">
        <f ca="1">AVERAGE(OFFSET($R$3,0,0,'Données projet'!$E$9+1,1))-AVERAGE(OFFSET($H$3,0,0,'Données projet'!$E$9+1,1))</f>
        <v>321.23599968992932</v>
      </c>
      <c r="T21" s="62">
        <f t="shared" si="34"/>
        <v>388.05195847800502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14.2</v>
      </c>
      <c r="N22" s="14">
        <f>IF('Données projet'!$A$36&gt;35,N21+M22-V21,IF(A22&lt;'Données projet'!$A$36,$K$205^A22,IF(A22='Données projet'!$A$36,'Données projet'!$B$36,N21+M22-V21)))</f>
        <v>122.80000000000001</v>
      </c>
      <c r="O22" s="14">
        <f>N22*VLOOKUP('Données projet'!$B$9,Paramètres!$A$1:$I$89,3,0)*VLOOKUP('Données projet'!$B$9,Paramètres!$A$1:$I$89,5,0)</f>
        <v>107.27808000000003</v>
      </c>
      <c r="P22" s="14">
        <f t="shared" si="33"/>
        <v>28.688746800886673</v>
      </c>
      <c r="Q22" s="22">
        <f t="shared" si="2"/>
        <v>236.80889001154432</v>
      </c>
      <c r="R22" s="62">
        <f t="shared" si="0"/>
        <v>516.69777890043315</v>
      </c>
      <c r="S22" s="62">
        <f ca="1">AVERAGE(OFFSET($R$3,0,0,'Données projet'!$E$9+1,1))-AVERAGE(OFFSET($H$3,0,0,'Données projet'!$E$9+1,1))</f>
        <v>321.23599968992932</v>
      </c>
      <c r="T22" s="62">
        <f t="shared" si="34"/>
        <v>388.05195847800502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137</v>
      </c>
      <c r="L23" s="13">
        <f>VLOOKUP(A23,'Données projet'!$A$35:$I$55,9,0)</f>
        <v>14.2</v>
      </c>
      <c r="M23" s="13">
        <f t="array" ref="M23">INDEX(L:L,MIN(IF(ISNUMBER(L23:L219),ROW(L23:L219),"")))</f>
        <v>14.2</v>
      </c>
      <c r="N23" s="14">
        <f>IF('Données projet'!$A$36&gt;35,N22+M23-V22,IF(A23&lt;'Données projet'!$A$36,$K$205^A23,IF(A23='Données projet'!$A$36,'Données projet'!$B$36,N22+M23-V22)))</f>
        <v>137</v>
      </c>
      <c r="O23" s="14">
        <f>N23*VLOOKUP('Données projet'!$B$9,Paramètres!$A$1:$I$89,3,0)*VLOOKUP('Données projet'!$B$9,Paramètres!$A$1:$I$89,5,0)</f>
        <v>119.68320000000003</v>
      </c>
      <c r="P23" s="14">
        <f t="shared" si="33"/>
        <v>31.601099532596194</v>
      </c>
      <c r="Q23" s="22">
        <f t="shared" si="2"/>
        <v>263.48682168593842</v>
      </c>
      <c r="R23" s="62">
        <f t="shared" si="0"/>
        <v>544.59793279704957</v>
      </c>
      <c r="S23" s="62">
        <f ca="1">AVERAGE(OFFSET($R$3,0,0,'Données projet'!$E$9+1,1))-AVERAGE(OFFSET($H$3,0,0,'Données projet'!$E$9+1,1))</f>
        <v>321.23599968992932</v>
      </c>
      <c r="T23" s="62">
        <f t="shared" si="34"/>
        <v>388.05195847800502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43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0.4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14.177359936707397</v>
      </c>
      <c r="AC23" s="24">
        <f t="shared" si="3"/>
        <v>14.177359936707397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13.8</v>
      </c>
      <c r="N24" s="14">
        <f>IF('Données projet'!$A$36&gt;35,N23+M24-V23,IF(A24&lt;'Données projet'!$A$36,$K$205^A24,IF(A24='Données projet'!$A$36,'Données projet'!$B$36,N23+M24-V23)))</f>
        <v>107.80000000000001</v>
      </c>
      <c r="O24" s="14">
        <f>N24*VLOOKUP('Données projet'!$B$9,Paramètres!$A$1:$I$89,3,0)*VLOOKUP('Données projet'!$B$9,Paramètres!$A$1:$I$89,5,0)</f>
        <v>94.174080000000018</v>
      </c>
      <c r="P24" s="14">
        <f t="shared" si="33"/>
        <v>25.569241067746205</v>
      </c>
      <c r="Q24" s="22">
        <f t="shared" si="2"/>
        <v>208.55295085965801</v>
      </c>
      <c r="R24" s="62">
        <f t="shared" si="0"/>
        <v>490.8862841929913</v>
      </c>
      <c r="S24" s="62">
        <f ca="1">AVERAGE(OFFSET($R$3,0,0,'Données projet'!$E$9+1,1))-AVERAGE(OFFSET($H$3,0,0,'Données projet'!$E$9+1,1))</f>
        <v>321.23599968992932</v>
      </c>
      <c r="T24" s="62">
        <f t="shared" si="34"/>
        <v>388.05195847800502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10.024907350568283</v>
      </c>
      <c r="AC24" s="24">
        <f t="shared" si="3"/>
        <v>10.024907350568283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13.8</v>
      </c>
      <c r="N25" s="14">
        <f>IF('Données projet'!$A$36&gt;35,N24+M25-V24,IF(A25&lt;'Données projet'!$A$36,$K$205^A25,IF(A25='Données projet'!$A$36,'Données projet'!$B$36,N24+M25-V24)))</f>
        <v>121.60000000000001</v>
      </c>
      <c r="O25" s="14">
        <f>N25*VLOOKUP('Données projet'!$B$9,Paramètres!$A$1:$I$89,3,0)*VLOOKUP('Données projet'!$B$9,Paramètres!$A$1:$I$89,5,0)</f>
        <v>106.22976000000003</v>
      </c>
      <c r="P25" s="14">
        <f t="shared" si="33"/>
        <v>28.440891625171492</v>
      </c>
      <c r="Q25" s="22">
        <f t="shared" si="2"/>
        <v>234.55138491384039</v>
      </c>
      <c r="R25" s="62">
        <f t="shared" si="0"/>
        <v>518.10694046939591</v>
      </c>
      <c r="S25" s="62">
        <f ca="1">AVERAGE(OFFSET($R$3,0,0,'Données projet'!$E$9+1,1))-AVERAGE(OFFSET($H$3,0,0,'Données projet'!$E$9+1,1))</f>
        <v>321.23599968992932</v>
      </c>
      <c r="T25" s="62">
        <f t="shared" si="34"/>
        <v>388.05195847800502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7.0886799683536994</v>
      </c>
      <c r="AC25" s="24">
        <f t="shared" si="3"/>
        <v>7.0886799683536994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13.8</v>
      </c>
      <c r="N26" s="14">
        <f>IF('Données projet'!$A$36&gt;35,N25+M26-V25,IF(A26&lt;'Données projet'!$A$36,$K$205^A26,IF(A26='Données projet'!$A$36,'Données projet'!$B$36,N25+M26-V25)))</f>
        <v>135.4</v>
      </c>
      <c r="O26" s="14">
        <f>N26*VLOOKUP('Données projet'!$B$9,Paramètres!$A$1:$I$89,3,0)*VLOOKUP('Données projet'!$B$9,Paramètres!$A$1:$I$89,5,0)</f>
        <v>118.28544000000002</v>
      </c>
      <c r="P26" s="14">
        <f t="shared" si="33"/>
        <v>31.274772013169596</v>
      </c>
      <c r="Q26" s="22">
        <f t="shared" si="2"/>
        <v>260.48403592293715</v>
      </c>
      <c r="R26" s="62">
        <f t="shared" si="0"/>
        <v>545.26181370071492</v>
      </c>
      <c r="S26" s="62">
        <f ca="1">AVERAGE(OFFSET($R$3,0,0,'Données projet'!$E$9+1,1))-AVERAGE(OFFSET($H$3,0,0,'Données projet'!$E$9+1,1))</f>
        <v>321.23599968992932</v>
      </c>
      <c r="T26" s="62">
        <f t="shared" si="34"/>
        <v>388.05195847800502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5.0124536752841422</v>
      </c>
      <c r="AC26" s="24">
        <f t="shared" si="3"/>
        <v>5.0124536752841422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13.8</v>
      </c>
      <c r="N27" s="14">
        <f>IF('Données projet'!$A$36&gt;35,N26+M27-V26,IF(A27&lt;'Données projet'!$A$36,$K$205^A27,IF(A27='Données projet'!$A$36,'Données projet'!$B$36,N26+M27-V26)))</f>
        <v>149.20000000000002</v>
      </c>
      <c r="O27" s="14">
        <f>N27*VLOOKUP('Données projet'!$B$9,Paramètres!$A$1:$I$89,3,0)*VLOOKUP('Données projet'!$B$9,Paramètres!$A$1:$I$89,5,0)</f>
        <v>130.34112000000005</v>
      </c>
      <c r="P27" s="14">
        <f t="shared" si="33"/>
        <v>34.075170122989917</v>
      </c>
      <c r="Q27" s="22">
        <f t="shared" si="2"/>
        <v>286.35837196420749</v>
      </c>
      <c r="R27" s="62">
        <f t="shared" si="0"/>
        <v>572.35837196420744</v>
      </c>
      <c r="S27" s="62">
        <f ca="1">AVERAGE(OFFSET($R$3,0,0,'Données projet'!$E$9+1,1))-AVERAGE(OFFSET($H$3,0,0,'Données projet'!$E$9+1,1))</f>
        <v>321.23599968992932</v>
      </c>
      <c r="T27" s="62">
        <f t="shared" si="34"/>
        <v>388.05195847800502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3.5443399841768501</v>
      </c>
      <c r="AC27" s="24">
        <f t="shared" si="3"/>
        <v>3.5443399841768501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163</v>
      </c>
      <c r="L28" s="13">
        <f>VLOOKUP(A28,'Données projet'!$A$35:$I$55,9,0)</f>
        <v>13.8</v>
      </c>
      <c r="M28" s="13">
        <f t="array" ref="M28">INDEX(L:L,MIN(IF(ISNUMBER(L28:L224),ROW(L28:L224),"")))</f>
        <v>13.8</v>
      </c>
      <c r="N28" s="14">
        <f>IF('Données projet'!$A$36&gt;35,N27+M28-V27,IF(A28&lt;'Données projet'!$A$36,$K$205^A28,IF(A28='Données projet'!$A$36,'Données projet'!$B$36,N27+M28-V27)))</f>
        <v>163.00000000000003</v>
      </c>
      <c r="O28" s="14">
        <f>N28*VLOOKUP('Données projet'!$B$9,Paramètres!$A$1:$I$89,3,0)*VLOOKUP('Données projet'!$B$9,Paramètres!$A$1:$I$89,5,0)</f>
        <v>142.39680000000004</v>
      </c>
      <c r="P28" s="14">
        <f t="shared" si="33"/>
        <v>36.845535084476985</v>
      </c>
      <c r="Q28" s="22">
        <f t="shared" si="2"/>
        <v>312.18040027213078</v>
      </c>
      <c r="R28" s="62">
        <f t="shared" si="0"/>
        <v>599.40262249435295</v>
      </c>
      <c r="S28" s="62">
        <f ca="1">AVERAGE(OFFSET($R$3,0,0,'Données projet'!$E$9+1,1))-AVERAGE(OFFSET($H$3,0,0,'Données projet'!$E$9+1,1))</f>
        <v>321.23599968992932</v>
      </c>
      <c r="T28" s="62">
        <f t="shared" si="34"/>
        <v>388.05195847800502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44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0.1075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4.5499593680232664</v>
      </c>
      <c r="AB28" s="23">
        <f>EXP(-LN(2)/2)*AB27+(1-EXP(-LN(2)/2))/(LN(2)/2)*V28*Y28*VLOOKUP('Données projet'!$B$9,Paramètres!$A$1:$I$89,3,0)*0.475*44/12</f>
        <v>17.013292819389175</v>
      </c>
      <c r="AC28" s="24">
        <f t="shared" si="3"/>
        <v>21.563252187412441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</v>
      </c>
      <c r="N29" s="14">
        <f>IF('Données projet'!$A$36&gt;35,N28+M29-V28,IF(A29&lt;'Données projet'!$A$36,$K$205^A29,IF(A29='Données projet'!$A$36,'Données projet'!$B$36,N28+M29-V28)))</f>
        <v>132.00000000000003</v>
      </c>
      <c r="O29" s="14">
        <f>N29*VLOOKUP('Données projet'!$B$9,Paramètres!$A$1:$I$89,3,0)*VLOOKUP('Données projet'!$B$9,Paramètres!$A$1:$I$89,5,0)</f>
        <v>115.31520000000003</v>
      </c>
      <c r="P29" s="14">
        <f t="shared" si="33"/>
        <v>30.579827148797317</v>
      </c>
      <c r="Q29" s="22">
        <f t="shared" si="2"/>
        <v>254.10050561748869</v>
      </c>
      <c r="R29" s="62">
        <f t="shared" si="0"/>
        <v>542.54495006193315</v>
      </c>
      <c r="S29" s="62">
        <f ca="1">AVERAGE(OFFSET($R$3,0,0,'Données projet'!$E$9+1,1))-AVERAGE(OFFSET($H$3,0,0,'Données projet'!$E$9+1,1))</f>
        <v>321.23599968992932</v>
      </c>
      <c r="T29" s="62">
        <f t="shared" si="34"/>
        <v>388.05195847800502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4.4255404898327058</v>
      </c>
      <c r="AB29" s="23">
        <f>EXP(-LN(2)/2)*AB28+(1-EXP(-LN(2)/2))/(LN(2)/2)*V29*Y29*VLOOKUP('Données projet'!$B$9,Paramètres!$A$1:$I$89,3,0)*0.475*44/12</f>
        <v>12.030214722902482</v>
      </c>
      <c r="AC29" s="24">
        <f t="shared" si="3"/>
        <v>16.455755212735188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</v>
      </c>
      <c r="N30" s="14">
        <f>IF('Données projet'!$A$36&gt;35,N29+M30-V29,IF(A30&lt;'Données projet'!$A$36,$K$205^A30,IF(A30='Données projet'!$A$36,'Données projet'!$B$36,N29+M30-V29)))</f>
        <v>145.00000000000003</v>
      </c>
      <c r="O30" s="14">
        <f>N30*VLOOKUP('Données projet'!$B$9,Paramètres!$A$1:$I$89,3,0)*VLOOKUP('Données projet'!$B$9,Paramètres!$A$1:$I$89,5,0)</f>
        <v>126.67200000000003</v>
      </c>
      <c r="P30" s="14">
        <f t="shared" si="33"/>
        <v>33.226199426361347</v>
      </c>
      <c r="Q30" s="22">
        <f t="shared" si="2"/>
        <v>278.48936400091276</v>
      </c>
      <c r="R30" s="62">
        <f t="shared" si="0"/>
        <v>568.15603066757944</v>
      </c>
      <c r="S30" s="62">
        <f ca="1">AVERAGE(OFFSET($R$3,0,0,'Données projet'!$E$9+1,1))-AVERAGE(OFFSET($H$3,0,0,'Données projet'!$E$9+1,1))</f>
        <v>321.23599968992932</v>
      </c>
      <c r="T30" s="62">
        <f t="shared" si="34"/>
        <v>388.05195847800502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4.3045238524091705</v>
      </c>
      <c r="AB30" s="23">
        <f>EXP(-LN(2)/2)*AB29+(1-EXP(-LN(2)/2))/(LN(2)/2)*V30*Y30*VLOOKUP('Données projet'!$B$9,Paramètres!$A$1:$I$89,3,0)*0.475*44/12</f>
        <v>8.5066464096945875</v>
      </c>
      <c r="AC30" s="24">
        <f t="shared" si="3"/>
        <v>12.811170262103758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</v>
      </c>
      <c r="N31" s="14">
        <f>IF('Données projet'!$A$36&gt;35,N30+M31-V30,IF(A31&lt;'Données projet'!$A$36,$K$205^A31,IF(A31='Données projet'!$A$36,'Données projet'!$B$36,N30+M31-V30)))</f>
        <v>158.00000000000003</v>
      </c>
      <c r="O31" s="14">
        <f>N31*VLOOKUP('Données projet'!$B$9,Paramètres!$A$1:$I$89,3,0)*VLOOKUP('Données projet'!$B$9,Paramètres!$A$1:$I$89,5,0)</f>
        <v>138.02880000000005</v>
      </c>
      <c r="P31" s="14">
        <f t="shared" si="33"/>
        <v>35.845059256813073</v>
      </c>
      <c r="Q31" s="22">
        <f t="shared" si="2"/>
        <v>302.83030487228285</v>
      </c>
      <c r="R31" s="62">
        <f t="shared" si="0"/>
        <v>593.71919376117171</v>
      </c>
      <c r="S31" s="62">
        <f ca="1">AVERAGE(OFFSET($R$3,0,0,'Données projet'!$E$9+1,1))-AVERAGE(OFFSET($H$3,0,0,'Données projet'!$E$9+1,1))</f>
        <v>321.23599968992932</v>
      </c>
      <c r="T31" s="62">
        <f t="shared" si="34"/>
        <v>388.05195847800502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4.1868164212999703</v>
      </c>
      <c r="AB31" s="23">
        <f>EXP(-LN(2)/2)*AB30+(1-EXP(-LN(2)/2))/(LN(2)/2)*V31*Y31*VLOOKUP('Données projet'!$B$9,Paramètres!$A$1:$I$89,3,0)*0.475*44/12</f>
        <v>6.0151073614512409</v>
      </c>
      <c r="AC31" s="24">
        <f t="shared" si="3"/>
        <v>10.201923782751212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</v>
      </c>
      <c r="N32" s="14">
        <f>IF('Données projet'!$A$36&gt;35,N31+M32-V31,IF(A32&lt;'Données projet'!$A$36,$K$205^A32,IF(A32='Données projet'!$A$36,'Données projet'!$B$36,N31+M32-V31)))</f>
        <v>171.00000000000003</v>
      </c>
      <c r="O32" s="14">
        <f>N32*VLOOKUP('Données projet'!$B$9,Paramètres!$A$1:$I$89,3,0)*VLOOKUP('Données projet'!$B$9,Paramètres!$A$1:$I$89,5,0)</f>
        <v>149.38560000000004</v>
      </c>
      <c r="P32" s="14">
        <f t="shared" si="33"/>
        <v>38.438927680599591</v>
      </c>
      <c r="Q32" s="22">
        <f t="shared" si="2"/>
        <v>327.12771904371101</v>
      </c>
      <c r="R32" s="62">
        <f t="shared" si="0"/>
        <v>619.23883015482215</v>
      </c>
      <c r="S32" s="62">
        <f ca="1">AVERAGE(OFFSET($R$3,0,0,'Données projet'!$E$9+1,1))-AVERAGE(OFFSET($H$3,0,0,'Données projet'!$E$9+1,1))</f>
        <v>321.23599968992932</v>
      </c>
      <c r="T32" s="62">
        <f t="shared" si="34"/>
        <v>388.05195847800502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4.0723277060844163</v>
      </c>
      <c r="AB32" s="23">
        <f>EXP(-LN(2)/2)*AB31+(1-EXP(-LN(2)/2))/(LN(2)/2)*V32*Y32*VLOOKUP('Données projet'!$B$9,Paramètres!$A$1:$I$89,3,0)*0.475*44/12</f>
        <v>4.2533232048472938</v>
      </c>
      <c r="AC32" s="24">
        <f t="shared" si="3"/>
        <v>8.3256509109317101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184</v>
      </c>
      <c r="L33" s="13">
        <f>VLOOKUP(A33,'Données projet'!$A$35:$I$55,9,0)</f>
        <v>13</v>
      </c>
      <c r="M33" s="13">
        <f t="array" ref="M33">INDEX(L:L,MIN(IF(ISNUMBER(L33:L229),ROW(L33:L229),"")))</f>
        <v>13</v>
      </c>
      <c r="N33" s="14">
        <f>IF('Données projet'!$A$36&gt;35,N32+M33-V32,IF(A33&lt;'Données projet'!$A$36,$K$205^A33,IF(A33='Données projet'!$A$36,'Données projet'!$B$36,N32+M33-V32)))</f>
        <v>184.00000000000003</v>
      </c>
      <c r="O33" s="14">
        <f>N33*VLOOKUP('Données projet'!$B$9,Paramètres!$A$1:$I$89,3,0)*VLOOKUP('Données projet'!$B$9,Paramètres!$A$1:$I$89,5,0)</f>
        <v>160.74240000000003</v>
      </c>
      <c r="P33" s="14">
        <f t="shared" si="33"/>
        <v>41.009920657227809</v>
      </c>
      <c r="Q33" s="22">
        <f t="shared" si="2"/>
        <v>351.38529181133845</v>
      </c>
      <c r="R33" s="62">
        <f t="shared" si="0"/>
        <v>644.71862514467171</v>
      </c>
      <c r="S33" s="62">
        <f ca="1">AVERAGE(OFFSET($R$3,0,0,'Données projet'!$E$9+1,1))-AVERAGE(OFFSET($H$3,0,0,'Données projet'!$E$9+1,1))</f>
        <v>321.23599968992932</v>
      </c>
      <c r="T33" s="62">
        <f t="shared" si="34"/>
        <v>388.05195847800502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44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0.17200000000000001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11.240904679644357</v>
      </c>
      <c r="AB33" s="23">
        <f>EXP(-LN(2)/2)*AB32+(1-EXP(-LN(2)/2))/(LN(2)/2)*V33*Y33*VLOOKUP('Données projet'!$B$9,Paramètres!$A$1:$I$89,3,0)*0.475*44/12</f>
        <v>17.514619662472722</v>
      </c>
      <c r="AC33" s="24">
        <f t="shared" si="3"/>
        <v>28.755524342117077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12.2</v>
      </c>
      <c r="N34" s="14">
        <f>IF('Données projet'!$A$36&gt;35,N33+M34-V33,IF(A34&lt;'Données projet'!$A$36,$K$205^A34,IF(A34='Données projet'!$A$36,'Données projet'!$B$36,N33+M34-V33)))</f>
        <v>152.20000000000002</v>
      </c>
      <c r="O34" s="14">
        <f>N34*VLOOKUP('Données projet'!$B$9,Paramètres!$A$1:$I$89,3,0)*VLOOKUP('Données projet'!$B$9,Paramètres!$A$1:$I$89,5,0)</f>
        <v>132.96192000000002</v>
      </c>
      <c r="P34" s="14">
        <f t="shared" si="33"/>
        <v>34.679872132599144</v>
      </c>
      <c r="Q34" s="22">
        <f t="shared" si="2"/>
        <v>291.97612129761018</v>
      </c>
      <c r="R34" s="62">
        <f t="shared" si="0"/>
        <v>585.30945463094349</v>
      </c>
      <c r="S34" s="62">
        <f ca="1">AVERAGE(OFFSET($R$3,0,0,'Données projet'!$E$9+1,1))-AVERAGE(OFFSET($H$3,0,0,'Données projet'!$E$9+1,1))</f>
        <v>321.23599968992932</v>
      </c>
      <c r="T34" s="62">
        <f t="shared" si="34"/>
        <v>388.05195847800502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10.933521550045997</v>
      </c>
      <c r="AB34" s="23">
        <f>EXP(-LN(2)/2)*AB33+(1-EXP(-LN(2)/2))/(LN(2)/2)*V34*Y34*VLOOKUP('Données projet'!$B$9,Paramètres!$A$1:$I$89,3,0)*0.475*44/12</f>
        <v>12.384706333237702</v>
      </c>
      <c r="AC34" s="24">
        <f t="shared" si="3"/>
        <v>23.318227883283697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12.2</v>
      </c>
      <c r="N35" s="14">
        <f>IF('Données projet'!$A$36&gt;35,N34+M35-V34,IF(A35&lt;'Données projet'!$A$36,$K$205^A35,IF(A35='Données projet'!$A$36,'Données projet'!$B$36,N34+M35-V34)))</f>
        <v>164.4</v>
      </c>
      <c r="O35" s="14">
        <f>N35*VLOOKUP('Données projet'!$B$9,Paramètres!$A$1:$I$89,3,0)*VLOOKUP('Données projet'!$B$9,Paramètres!$A$1:$I$89,5,0)</f>
        <v>143.61984000000001</v>
      </c>
      <c r="P35" s="14">
        <f t="shared" si="33"/>
        <v>37.125023974706046</v>
      </c>
      <c r="Q35" s="22">
        <f t="shared" ref="Q35:Q66" si="53">(O35+P35)*0.475*44/12</f>
        <v>314.79730475594641</v>
      </c>
      <c r="R35" s="62">
        <f t="shared" si="0"/>
        <v>608.13063808927973</v>
      </c>
      <c r="S35" s="62">
        <f ca="1">AVERAGE(OFFSET($R$3,0,0,'Données projet'!$E$9+1,1))-AVERAGE(OFFSET($H$3,0,0,'Données projet'!$E$9+1,1))</f>
        <v>321.23599968992932</v>
      </c>
      <c r="T35" s="62">
        <f t="shared" si="34"/>
        <v>388.05195847800502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10.634543828291079</v>
      </c>
      <c r="AB35" s="23">
        <f>EXP(-LN(2)/2)*AB34+(1-EXP(-LN(2)/2))/(LN(2)/2)*V35*Y35*VLOOKUP('Données projet'!$B$9,Paramètres!$A$1:$I$89,3,0)*0.475*44/12</f>
        <v>8.7573098312363609</v>
      </c>
      <c r="AC35" s="24">
        <f t="shared" si="3"/>
        <v>19.391853659527442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12.2</v>
      </c>
      <c r="N36" s="14">
        <f>IF('Données projet'!$A$36&gt;35,N35+M36-V35,IF(A36&lt;'Données projet'!$A$36,$K$205^A36,IF(A36='Données projet'!$A$36,'Données projet'!$B$36,N35+M36-V35)))</f>
        <v>176.6</v>
      </c>
      <c r="O36" s="14">
        <f>N36*VLOOKUP('Données projet'!$B$9,Paramètres!$A$1:$I$89,3,0)*VLOOKUP('Données projet'!$B$9,Paramètres!$A$1:$I$89,5,0)</f>
        <v>154.27776</v>
      </c>
      <c r="P36" s="14">
        <f t="shared" si="33"/>
        <v>39.549125277353333</v>
      </c>
      <c r="Q36" s="22">
        <f t="shared" si="53"/>
        <v>337.58182519139035</v>
      </c>
      <c r="R36" s="62">
        <f t="shared" si="0"/>
        <v>630.91515852472367</v>
      </c>
      <c r="S36" s="62">
        <f ca="1">AVERAGE(OFFSET($R$3,0,0,'Données projet'!$E$9+1,1))-AVERAGE(OFFSET($H$3,0,0,'Données projet'!$E$9+1,1))</f>
        <v>321.23599968992932</v>
      </c>
      <c r="T36" s="62">
        <f t="shared" si="34"/>
        <v>388.05195847800502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10.343741668060105</v>
      </c>
      <c r="AB36" s="23">
        <f>EXP(-LN(2)/2)*AB35+(1-EXP(-LN(2)/2))/(LN(2)/2)*V36*Y36*VLOOKUP('Données projet'!$B$9,Paramètres!$A$1:$I$89,3,0)*0.475*44/12</f>
        <v>6.1923531666188509</v>
      </c>
      <c r="AC36" s="24">
        <f t="shared" si="3"/>
        <v>16.536094834678956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12.2</v>
      </c>
      <c r="N37" s="14">
        <f>IF('Données projet'!$A$36&gt;35,N36+M37-V36,IF(A37&lt;'Données projet'!$A$36,$K$205^A37,IF(A37='Données projet'!$A$36,'Données projet'!$B$36,N36+M37-V36)))</f>
        <v>188.79999999999998</v>
      </c>
      <c r="O37" s="14">
        <f>N37*VLOOKUP('Données projet'!$B$9,Paramètres!$A$1:$I$89,3,0)*VLOOKUP('Données projet'!$B$9,Paramètres!$A$1:$I$89,5,0)</f>
        <v>164.93567999999999</v>
      </c>
      <c r="P37" s="14">
        <f t="shared" si="33"/>
        <v>41.953795695589498</v>
      </c>
      <c r="Q37" s="22">
        <f t="shared" si="53"/>
        <v>360.33250350315166</v>
      </c>
      <c r="R37" s="62">
        <f t="shared" si="0"/>
        <v>653.66583683648491</v>
      </c>
      <c r="S37" s="62">
        <f ca="1">AVERAGE(OFFSET($R$3,0,0,'Données projet'!$E$9+1,1))-AVERAGE(OFFSET($H$3,0,0,'Données projet'!$E$9+1,1))</f>
        <v>321.23599968992932</v>
      </c>
      <c r="T37" s="62">
        <f t="shared" si="34"/>
        <v>388.05195847800502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10.060891508193267</v>
      </c>
      <c r="AB37" s="23">
        <f>EXP(-LN(2)/2)*AB36+(1-EXP(-LN(2)/2))/(LN(2)/2)*V37*Y37*VLOOKUP('Données projet'!$B$9,Paramètres!$A$1:$I$89,3,0)*0.475*44/12</f>
        <v>4.3786549156181804</v>
      </c>
      <c r="AC37" s="24">
        <f t="shared" si="3"/>
        <v>14.439546423811446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201</v>
      </c>
      <c r="L38" s="13">
        <f>VLOOKUP(A38,'Données projet'!$A$35:$I$55,9,0)</f>
        <v>12.2</v>
      </c>
      <c r="M38" s="13">
        <f t="array" ref="M38">INDEX(L:L,MIN(IF(ISNUMBER(L38:L234),ROW(L38:L234),"")))</f>
        <v>12.2</v>
      </c>
      <c r="N38" s="14">
        <f>IF('Données projet'!$A$36&gt;35,N37+M38-V37,IF(A38&lt;'Données projet'!$A$36,$K$205^A38,IF(A38='Données projet'!$A$36,'Données projet'!$B$36,N37+M38-V37)))</f>
        <v>200.99999999999997</v>
      </c>
      <c r="O38" s="14">
        <f>N38*VLOOKUP('Données projet'!$B$9,Paramètres!$A$1:$I$89,3,0)*VLOOKUP('Données projet'!$B$9,Paramètres!$A$1:$I$89,5,0)</f>
        <v>175.59359999999998</v>
      </c>
      <c r="P38" s="14">
        <f t="shared" si="33"/>
        <v>44.340433728638573</v>
      </c>
      <c r="Q38" s="22">
        <f t="shared" si="53"/>
        <v>383.05177541071208</v>
      </c>
      <c r="R38" s="62">
        <f t="shared" si="0"/>
        <v>676.3851087440454</v>
      </c>
      <c r="S38" s="62">
        <f ca="1">AVERAGE(OFFSET($R$3,0,0,'Données projet'!$E$9+1,1))-AVERAGE(OFFSET($H$3,0,0,'Données projet'!$E$9+1,1))</f>
        <v>321.23599968992932</v>
      </c>
      <c r="T38" s="62">
        <f t="shared" si="34"/>
        <v>388.05195847800502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9.7857759008224328</v>
      </c>
      <c r="AB38" s="23">
        <f>EXP(-LN(2)/2)*AB37+(1-EXP(-LN(2)/2))/(LN(2)/2)*V38*Y38*VLOOKUP('Données projet'!$B$9,Paramètres!$A$1:$I$89,3,0)*0.475*44/12</f>
        <v>3.0961765833094255</v>
      </c>
      <c r="AC38" s="24">
        <f t="shared" si="3"/>
        <v>12.881952484131858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10.8</v>
      </c>
      <c r="N39" s="14">
        <f>IF('Données projet'!$A$36&gt;35,N38+M39-V38,IF(A39&lt;'Données projet'!$A$36,$K$205^A39,IF(A39='Données projet'!$A$36,'Données projet'!$B$36,N38+M39-V38)))</f>
        <v>169.79999999999998</v>
      </c>
      <c r="O39" s="14">
        <f>N39*VLOOKUP('Données projet'!$B$9,Paramètres!$A$1:$I$89,3,0)*VLOOKUP('Données projet'!$B$9,Paramètres!$A$1:$I$89,5,0)</f>
        <v>148.33727999999999</v>
      </c>
      <c r="P39" s="14">
        <f t="shared" si="33"/>
        <v>38.200481752654802</v>
      </c>
      <c r="Q39" s="22">
        <f t="shared" si="53"/>
        <v>324.88660171920714</v>
      </c>
      <c r="R39" s="62">
        <f t="shared" si="0"/>
        <v>618.21993505254045</v>
      </c>
      <c r="S39" s="62">
        <f ca="1">AVERAGE(OFFSET($R$3,0,0,'Données projet'!$E$9+1,1))-AVERAGE(OFFSET($H$3,0,0,'Données projet'!$E$9+1,1))</f>
        <v>321.23599968992932</v>
      </c>
      <c r="T39" s="62">
        <f t="shared" si="34"/>
        <v>388.05195847800502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9.5181833442028552</v>
      </c>
      <c r="AB39" s="23">
        <f>EXP(-LN(2)/2)*AB38+(1-EXP(-LN(2)/2))/(LN(2)/2)*V39*Y39*VLOOKUP('Données projet'!$B$9,Paramètres!$A$1:$I$89,3,0)*0.475*44/12</f>
        <v>2.1893274578090902</v>
      </c>
      <c r="AC39" s="24">
        <f t="shared" si="3"/>
        <v>11.707510802011946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10.8</v>
      </c>
      <c r="N40" s="14">
        <f>IF('Données projet'!$A$36&gt;35,N39+M40-V39,IF(A40&lt;'Données projet'!$A$36,$K$205^A40,IF(A40='Données projet'!$A$36,'Données projet'!$B$36,N39+M40-V39)))</f>
        <v>180.6</v>
      </c>
      <c r="O40" s="14">
        <f>N40*VLOOKUP('Données projet'!$B$9,Paramètres!$A$1:$I$89,3,0)*VLOOKUP('Données projet'!$B$9,Paramètres!$A$1:$I$89,5,0)</f>
        <v>157.77216000000001</v>
      </c>
      <c r="P40" s="14">
        <f t="shared" si="33"/>
        <v>40.339610539653599</v>
      </c>
      <c r="Q40" s="22">
        <f t="shared" si="53"/>
        <v>345.04466702323003</v>
      </c>
      <c r="R40" s="62">
        <f t="shared" si="0"/>
        <v>638.37800035656335</v>
      </c>
      <c r="S40" s="62">
        <f ca="1">AVERAGE(OFFSET($R$3,0,0,'Données projet'!$E$9+1,1))-AVERAGE(OFFSET($H$3,0,0,'Données projet'!$E$9+1,1))</f>
        <v>321.23599968992932</v>
      </c>
      <c r="T40" s="62">
        <f t="shared" si="34"/>
        <v>388.05195847800502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9.2579081201161202</v>
      </c>
      <c r="AB40" s="23">
        <f>EXP(-LN(2)/2)*AB39+(1-EXP(-LN(2)/2))/(LN(2)/2)*V40*Y40*VLOOKUP('Données projet'!$B$9,Paramètres!$A$1:$I$89,3,0)*0.475*44/12</f>
        <v>1.5480882916547127</v>
      </c>
      <c r="AC40" s="24">
        <f t="shared" si="3"/>
        <v>10.805996411770833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10.8</v>
      </c>
      <c r="N41" s="14">
        <f>IF('Données projet'!$A$36&gt;35,N40+M41-V40,IF(A41&lt;'Données projet'!$A$36,$K$205^A41,IF(A41='Données projet'!$A$36,'Données projet'!$B$36,N40+M41-V40)))</f>
        <v>191.4</v>
      </c>
      <c r="O41" s="14">
        <f>N41*VLOOKUP('Données projet'!$B$9,Paramètres!$A$1:$I$89,3,0)*VLOOKUP('Données projet'!$B$9,Paramètres!$A$1:$I$89,5,0)</f>
        <v>167.20704000000003</v>
      </c>
      <c r="P41" s="14">
        <f t="shared" si="33"/>
        <v>42.463891647822834</v>
      </c>
      <c r="Q41" s="22">
        <f t="shared" si="53"/>
        <v>365.17687261995815</v>
      </c>
      <c r="R41" s="62">
        <f t="shared" si="0"/>
        <v>658.51020595329146</v>
      </c>
      <c r="S41" s="62">
        <f ca="1">AVERAGE(OFFSET($R$3,0,0,'Données projet'!$E$9+1,1))-AVERAGE(OFFSET($H$3,0,0,'Données projet'!$E$9+1,1))</f>
        <v>321.23599968992932</v>
      </c>
      <c r="T41" s="62">
        <f t="shared" si="34"/>
        <v>388.05195847800502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9.0047501357193163</v>
      </c>
      <c r="AB41" s="23">
        <f>EXP(-LN(2)/2)*AB40+(1-EXP(-LN(2)/2))/(LN(2)/2)*V41*Y41*VLOOKUP('Données projet'!$B$9,Paramètres!$A$1:$I$89,3,0)*0.475*44/12</f>
        <v>1.0946637289045451</v>
      </c>
      <c r="AC41" s="24">
        <f t="shared" si="3"/>
        <v>10.099413864623861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10.8</v>
      </c>
      <c r="N42" s="14">
        <f>IF('Données projet'!$A$36&gt;35,N41+M42-V41,IF(A42&lt;'Données projet'!$A$36,$K$205^A42,IF(A42='Données projet'!$A$36,'Données projet'!$B$36,N41+M42-V41)))</f>
        <v>202.20000000000002</v>
      </c>
      <c r="O42" s="14">
        <f>N42*VLOOKUP('Données projet'!$B$9,Paramètres!$A$1:$I$89,3,0)*VLOOKUP('Données projet'!$B$9,Paramètres!$A$1:$I$89,5,0)</f>
        <v>176.64192000000003</v>
      </c>
      <c r="P42" s="14">
        <f t="shared" si="33"/>
        <v>44.574258350008236</v>
      </c>
      <c r="Q42" s="22">
        <f t="shared" si="53"/>
        <v>385.28484395959771</v>
      </c>
      <c r="R42" s="62">
        <f t="shared" si="0"/>
        <v>678.61817729293102</v>
      </c>
      <c r="S42" s="62">
        <f ca="1">AVERAGE(OFFSET($R$3,0,0,'Données projet'!$E$9+1,1))-AVERAGE(OFFSET($H$3,0,0,'Données projet'!$E$9+1,1))</f>
        <v>321.23599968992932</v>
      </c>
      <c r="T42" s="62">
        <f t="shared" si="34"/>
        <v>388.05195847800502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8.7585147697188432</v>
      </c>
      <c r="AB42" s="23">
        <f>EXP(-LN(2)/2)*AB41+(1-EXP(-LN(2)/2))/(LN(2)/2)*V42*Y42*VLOOKUP('Données projet'!$B$9,Paramètres!$A$1:$I$89,3,0)*0.475*44/12</f>
        <v>0.77404414582735637</v>
      </c>
      <c r="AC42" s="24">
        <f t="shared" si="3"/>
        <v>9.5325589155462005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213</v>
      </c>
      <c r="L43" s="13">
        <f>VLOOKUP(A43,'Données projet'!$A$35:$I$55,9,0)</f>
        <v>10.8</v>
      </c>
      <c r="M43" s="13">
        <f t="array" ref="M43">INDEX(L:L,MIN(IF(ISNUMBER(L43:L239),ROW(L43:L239),"")))</f>
        <v>10.8</v>
      </c>
      <c r="N43" s="14">
        <f>IF('Données projet'!$A$36&gt;35,N42+M43-V42,IF(A43&lt;'Données projet'!$A$36,$K$205^A43,IF(A43='Données projet'!$A$36,'Données projet'!$B$36,N42+M43-V42)))</f>
        <v>213.00000000000003</v>
      </c>
      <c r="O43" s="14">
        <f>N43*VLOOKUP('Données projet'!$B$9,Paramètres!$A$1:$I$89,3,0)*VLOOKUP('Données projet'!$B$9,Paramètres!$A$1:$I$89,5,0)</f>
        <v>186.07680000000005</v>
      </c>
      <c r="P43" s="14">
        <f t="shared" si="33"/>
        <v>46.671538591528673</v>
      </c>
      <c r="Q43" s="22">
        <f t="shared" si="53"/>
        <v>405.37002304691242</v>
      </c>
      <c r="R43" s="62">
        <f t="shared" si="0"/>
        <v>698.70335638024574</v>
      </c>
      <c r="S43" s="62">
        <f ca="1">AVERAGE(OFFSET($R$3,0,0,'Données projet'!$E$9+1,1))-AVERAGE(OFFSET($H$3,0,0,'Données projet'!$E$9+1,1))</f>
        <v>321.23599968992932</v>
      </c>
      <c r="T43" s="62">
        <f t="shared" si="34"/>
        <v>388.05195847800502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39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8.5190127227506078</v>
      </c>
      <c r="AB43" s="23">
        <f>EXP(-LN(2)/2)*AB42+(1-EXP(-LN(2)/2))/(LN(2)/2)*V43*Y43*VLOOKUP('Données projet'!$B$9,Paramètres!$A$1:$I$89,3,0)*0.475*44/12</f>
        <v>0.54733186445227255</v>
      </c>
      <c r="AC43" s="24">
        <f t="shared" si="3"/>
        <v>9.0663445872028809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9.8000000000000007</v>
      </c>
      <c r="N44" s="14">
        <f>IF('Données projet'!$A$36&gt;35,N43+M44-V43,IF(A44&lt;'Données projet'!$A$36,$K$205^A44,IF(A44='Données projet'!$A$36,'Données projet'!$B$36,N43+M44-V43)))</f>
        <v>183.80000000000004</v>
      </c>
      <c r="O44" s="14">
        <f>N44*VLOOKUP('Données projet'!$B$9,Paramètres!$A$1:$I$89,3,0)*VLOOKUP('Données projet'!$B$9,Paramètres!$A$1:$I$89,5,0)</f>
        <v>160.56768000000005</v>
      </c>
      <c r="P44" s="14">
        <f t="shared" si="33"/>
        <v>40.970530810309882</v>
      </c>
      <c r="Q44" s="22">
        <f t="shared" si="53"/>
        <v>351.0123838279564</v>
      </c>
      <c r="R44" s="62">
        <f t="shared" si="0"/>
        <v>644.34571716128971</v>
      </c>
      <c r="S44" s="62">
        <f ca="1">AVERAGE(OFFSET($R$3,0,0,'Données projet'!$E$9+1,1))-AVERAGE(OFFSET($H$3,0,0,'Données projet'!$E$9+1,1))</f>
        <v>321.23599968992932</v>
      </c>
      <c r="T44" s="62">
        <f t="shared" si="34"/>
        <v>388.05195847800502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8.2860598718515845</v>
      </c>
      <c r="AB44" s="23">
        <f>EXP(-LN(2)/2)*AB43+(1-EXP(-LN(2)/2))/(LN(2)/2)*V44*Y44*VLOOKUP('Données projet'!$B$9,Paramètres!$A$1:$I$89,3,0)*0.475*44/12</f>
        <v>0.38702207291367818</v>
      </c>
      <c r="AC44" s="24">
        <f t="shared" si="3"/>
        <v>8.6730819447652632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9.8000000000000007</v>
      </c>
      <c r="N45" s="14">
        <f>IF('Données projet'!$A$36&gt;35,N44+M45-V44,IF(A45&lt;'Données projet'!$A$36,$K$205^A45,IF(A45='Données projet'!$A$36,'Données projet'!$B$36,N44+M45-V44)))</f>
        <v>193.60000000000005</v>
      </c>
      <c r="O45" s="14">
        <f>N45*VLOOKUP('Données projet'!$B$9,Paramètres!$A$1:$I$89,3,0)*VLOOKUP('Données projet'!$B$9,Paramètres!$A$1:$I$89,5,0)</f>
        <v>169.12896000000006</v>
      </c>
      <c r="P45" s="14">
        <f t="shared" si="33"/>
        <v>42.894881315146776</v>
      </c>
      <c r="Q45" s="22">
        <f t="shared" si="53"/>
        <v>369.27485695721407</v>
      </c>
      <c r="R45" s="62">
        <f t="shared" si="0"/>
        <v>662.60819029054733</v>
      </c>
      <c r="S45" s="62">
        <f ca="1">AVERAGE(OFFSET($R$3,0,0,'Données projet'!$E$9+1,1))-AVERAGE(OFFSET($H$3,0,0,'Données projet'!$E$9+1,1))</f>
        <v>321.23599968992932</v>
      </c>
      <c r="T45" s="62">
        <f t="shared" si="34"/>
        <v>388.05195847800502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8.0594771289108529</v>
      </c>
      <c r="AB45" s="23">
        <f>EXP(-LN(2)/2)*AB44+(1-EXP(-LN(2)/2))/(LN(2)/2)*V45*Y45*VLOOKUP('Données projet'!$B$9,Paramètres!$A$1:$I$89,3,0)*0.475*44/12</f>
        <v>0.27366593222613628</v>
      </c>
      <c r="AC45" s="24">
        <f t="shared" si="3"/>
        <v>8.3331430611369885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9.8000000000000007</v>
      </c>
      <c r="N46" s="14">
        <f>IF('Données projet'!$A$36&gt;35,N45+M46-V45,IF(A46&lt;'Données projet'!$A$36,$K$205^A46,IF(A46='Données projet'!$A$36,'Données projet'!$B$36,N45+M46-V45)))</f>
        <v>203.40000000000006</v>
      </c>
      <c r="O46" s="14">
        <f>N46*VLOOKUP('Données projet'!$B$9,Paramètres!$A$1:$I$89,3,0)*VLOOKUP('Données projet'!$B$9,Paramètres!$A$1:$I$89,5,0)</f>
        <v>177.69024000000007</v>
      </c>
      <c r="P46" s="14">
        <f t="shared" si="33"/>
        <v>44.807921499827692</v>
      </c>
      <c r="Q46" s="22">
        <f t="shared" si="53"/>
        <v>387.5176312788667</v>
      </c>
      <c r="R46" s="62">
        <f t="shared" si="0"/>
        <v>680.85096461219996</v>
      </c>
      <c r="S46" s="62">
        <f ca="1">AVERAGE(OFFSET($R$3,0,0,'Données projet'!$E$9+1,1))-AVERAGE(OFFSET($H$3,0,0,'Données projet'!$E$9+1,1))</f>
        <v>321.23599968992932</v>
      </c>
      <c r="T46" s="62">
        <f t="shared" si="34"/>
        <v>388.05195847800502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7.8390903029913037</v>
      </c>
      <c r="AB46" s="23">
        <f>EXP(-LN(2)/2)*AB45+(1-EXP(-LN(2)/2))/(LN(2)/2)*V46*Y46*VLOOKUP('Données projet'!$B$9,Paramètres!$A$1:$I$89,3,0)*0.475*44/12</f>
        <v>0.19351103645683909</v>
      </c>
      <c r="AC46" s="24">
        <f t="shared" si="3"/>
        <v>8.0326013394481421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9.8000000000000007</v>
      </c>
      <c r="N47" s="14">
        <f>IF('Données projet'!$A$36&gt;35,N46+M47-V46,IF(A47&lt;'Données projet'!$A$36,$K$205^A47,IF(A47='Données projet'!$A$36,'Données projet'!$B$36,N46+M47-V46)))</f>
        <v>213.20000000000007</v>
      </c>
      <c r="O47" s="14">
        <f>N47*VLOOKUP('Données projet'!$B$9,Paramètres!$A$1:$I$89,3,0)*VLOOKUP('Données projet'!$B$9,Paramètres!$A$1:$I$89,5,0)</f>
        <v>186.25152000000008</v>
      </c>
      <c r="P47" s="14">
        <f t="shared" si="33"/>
        <v>46.71025851515671</v>
      </c>
      <c r="Q47" s="22">
        <f t="shared" si="53"/>
        <v>405.7417642472314</v>
      </c>
      <c r="R47" s="62">
        <f t="shared" si="0"/>
        <v>699.07509758056472</v>
      </c>
      <c r="S47" s="62">
        <f ca="1">AVERAGE(OFFSET($R$3,0,0,'Données projet'!$E$9+1,1))-AVERAGE(OFFSET($H$3,0,0,'Données projet'!$E$9+1,1))</f>
        <v>321.23599968992932</v>
      </c>
      <c r="T47" s="62">
        <f t="shared" si="34"/>
        <v>388.05195847800502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7.6247299664161643</v>
      </c>
      <c r="AB47" s="23">
        <f>EXP(-LN(2)/2)*AB46+(1-EXP(-LN(2)/2))/(LN(2)/2)*V47*Y47*VLOOKUP('Données projet'!$B$9,Paramètres!$A$1:$I$89,3,0)*0.475*44/12</f>
        <v>0.13683296611306814</v>
      </c>
      <c r="AC47" s="24">
        <f t="shared" si="3"/>
        <v>7.7615629325292321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223</v>
      </c>
      <c r="L48" s="13">
        <f>VLOOKUP(A48,'Données projet'!$A$35:$I$55,9,0)</f>
        <v>9.8000000000000007</v>
      </c>
      <c r="M48" s="13">
        <f t="array" ref="M48">INDEX(L:L,MIN(IF(ISNUMBER(L48:L244),ROW(L48:L244),"")))</f>
        <v>9.8000000000000007</v>
      </c>
      <c r="N48" s="14">
        <f>IF('Données projet'!$A$36&gt;35,N47+M48-V47,IF(A48&lt;'Données projet'!$A$36,$K$205^A48,IF(A48='Données projet'!$A$36,'Données projet'!$B$36,N47+M48-V47)))</f>
        <v>223.00000000000009</v>
      </c>
      <c r="O48" s="14">
        <f>N48*VLOOKUP('Données projet'!$B$9,Paramètres!$A$1:$I$89,3,0)*VLOOKUP('Données projet'!$B$9,Paramètres!$A$1:$I$89,5,0)</f>
        <v>194.81280000000012</v>
      </c>
      <c r="P48" s="14">
        <f t="shared" si="33"/>
        <v>48.602440540253902</v>
      </c>
      <c r="Q48" s="22">
        <f t="shared" si="53"/>
        <v>423.9482106076091</v>
      </c>
      <c r="R48" s="62">
        <f t="shared" si="0"/>
        <v>717.28154394094236</v>
      </c>
      <c r="S48" s="62">
        <f ca="1">AVERAGE(OFFSET($R$3,0,0,'Données projet'!$E$9+1,1))-AVERAGE(OFFSET($H$3,0,0,'Données projet'!$E$9+1,1))</f>
        <v>321.23599968992932</v>
      </c>
      <c r="T48" s="62">
        <f t="shared" si="34"/>
        <v>388.05195847800502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36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7.4162313245173923</v>
      </c>
      <c r="AB48" s="23">
        <f>EXP(-LN(2)/2)*AB47+(1-EXP(-LN(2)/2))/(LN(2)/2)*V48*Y48*VLOOKUP('Données projet'!$B$9,Paramètres!$A$1:$I$89,3,0)*0.475*44/12</f>
        <v>9.6755518228419546E-2</v>
      </c>
      <c r="AC48" s="24">
        <f t="shared" si="3"/>
        <v>7.5129868427458115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8.8000000000000007</v>
      </c>
      <c r="N49" s="14">
        <f>IF('Données projet'!$A$36&gt;35,N48+M49-V48,IF(A49&lt;'Données projet'!$A$36,$K$205^A49,IF(A49='Données projet'!$A$36,'Données projet'!$B$36,N48+M49-V48)))</f>
        <v>195.8000000000001</v>
      </c>
      <c r="O49" s="14">
        <f>N49*VLOOKUP('Données projet'!$B$9,Paramètres!$A$1:$I$89,3,0)*VLOOKUP('Données projet'!$B$9,Paramètres!$A$1:$I$89,5,0)</f>
        <v>171.05088000000012</v>
      </c>
      <c r="P49" s="14">
        <f t="shared" si="33"/>
        <v>43.325301264581704</v>
      </c>
      <c r="Q49" s="22">
        <f t="shared" si="53"/>
        <v>373.37184903581334</v>
      </c>
      <c r="R49" s="62">
        <f t="shared" si="0"/>
        <v>666.70518236914666</v>
      </c>
      <c r="S49" s="62">
        <f ca="1">AVERAGE(OFFSET($R$3,0,0,'Données projet'!$E$9+1,1))-AVERAGE(OFFSET($H$3,0,0,'Données projet'!$E$9+1,1))</f>
        <v>321.23599968992932</v>
      </c>
      <c r="T49" s="62">
        <f t="shared" si="34"/>
        <v>388.05195847800502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7.2134340889458093</v>
      </c>
      <c r="AB49" s="23">
        <f>EXP(-LN(2)/2)*AB48+(1-EXP(-LN(2)/2))/(LN(2)/2)*V49*Y49*VLOOKUP('Données projet'!$B$9,Paramètres!$A$1:$I$89,3,0)*0.475*44/12</f>
        <v>6.8416483056534069E-2</v>
      </c>
      <c r="AC49" s="24">
        <f t="shared" si="3"/>
        <v>7.2818505720023436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8.8000000000000007</v>
      </c>
      <c r="N50" s="14">
        <f>IF('Données projet'!$A$36&gt;35,N49+M50-V49,IF(A50&lt;'Données projet'!$A$36,$K$205^A50,IF(A50='Données projet'!$A$36,'Données projet'!$B$36,N49+M50-V49)))</f>
        <v>204.60000000000011</v>
      </c>
      <c r="O50" s="14">
        <f>N50*VLOOKUP('Données projet'!$B$9,Paramètres!$A$1:$I$89,3,0)*VLOOKUP('Données projet'!$B$9,Paramètres!$A$1:$I$89,5,0)</f>
        <v>178.73856000000012</v>
      </c>
      <c r="P50" s="14">
        <f t="shared" si="33"/>
        <v>45.041424241265368</v>
      </c>
      <c r="Q50" s="22">
        <f t="shared" si="53"/>
        <v>389.75013922020406</v>
      </c>
      <c r="R50" s="62">
        <f t="shared" si="0"/>
        <v>683.08347255353738</v>
      </c>
      <c r="S50" s="62">
        <f ca="1">AVERAGE(OFFSET($R$3,0,0,'Données projet'!$E$9+1,1))-AVERAGE(OFFSET($H$3,0,0,'Données projet'!$E$9+1,1))</f>
        <v>321.23599968992932</v>
      </c>
      <c r="T50" s="62">
        <f t="shared" si="34"/>
        <v>388.05195847800502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7.0161823544455739</v>
      </c>
      <c r="AB50" s="23">
        <f>EXP(-LN(2)/2)*AB49+(1-EXP(-LN(2)/2))/(LN(2)/2)*V50*Y50*VLOOKUP('Données projet'!$B$9,Paramètres!$A$1:$I$89,3,0)*0.475*44/12</f>
        <v>4.8377759114209773E-2</v>
      </c>
      <c r="AC50" s="24">
        <f t="shared" si="3"/>
        <v>7.064560113559784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8.8000000000000007</v>
      </c>
      <c r="N51" s="14">
        <f>IF('Données projet'!$A$36&gt;35,N50+M51-V50,IF(A51&lt;'Données projet'!$A$36,$K$205^A51,IF(A51='Données projet'!$A$36,'Données projet'!$B$36,N50+M51-V50)))</f>
        <v>213.40000000000012</v>
      </c>
      <c r="O51" s="14">
        <f>N51*VLOOKUP('Données projet'!$B$9,Paramètres!$A$1:$I$89,3,0)*VLOOKUP('Données projet'!$B$9,Paramètres!$A$1:$I$89,5,0)</f>
        <v>186.42624000000012</v>
      </c>
      <c r="P51" s="14">
        <f t="shared" si="33"/>
        <v>46.748974211060826</v>
      </c>
      <c r="Q51" s="22">
        <f t="shared" si="53"/>
        <v>406.11349808426445</v>
      </c>
      <c r="R51" s="62">
        <f t="shared" si="0"/>
        <v>699.44683141759776</v>
      </c>
      <c r="S51" s="62">
        <f ca="1">AVERAGE(OFFSET($R$3,0,0,'Données projet'!$E$9+1,1))-AVERAGE(OFFSET($H$3,0,0,'Données projet'!$E$9+1,1))</f>
        <v>321.23599968992932</v>
      </c>
      <c r="T51" s="62">
        <f t="shared" si="34"/>
        <v>388.05195847800502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6.8243244789982658</v>
      </c>
      <c r="AB51" s="23">
        <f>EXP(-LN(2)/2)*AB50+(1-EXP(-LN(2)/2))/(LN(2)/2)*V51*Y51*VLOOKUP('Données projet'!$B$9,Paramètres!$A$1:$I$89,3,0)*0.475*44/12</f>
        <v>3.4208241528267035E-2</v>
      </c>
      <c r="AC51" s="24">
        <f t="shared" si="3"/>
        <v>6.858532720526533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8.8000000000000007</v>
      </c>
      <c r="N52" s="14">
        <f>IF('Données projet'!$A$36&gt;35,N51+M52-V51,IF(A52&lt;'Données projet'!$A$36,$K$205^A52,IF(A52='Données projet'!$A$36,'Données projet'!$B$36,N51+M52-V51)))</f>
        <v>222.20000000000013</v>
      </c>
      <c r="O52" s="14">
        <f>N52*VLOOKUP('Données projet'!$B$9,Paramètres!$A$1:$I$89,3,0)*VLOOKUP('Données projet'!$B$9,Paramètres!$A$1:$I$89,5,0)</f>
        <v>194.11392000000015</v>
      </c>
      <c r="P52" s="14">
        <f t="shared" si="33"/>
        <v>48.448345132424009</v>
      </c>
      <c r="Q52" s="22">
        <f t="shared" si="53"/>
        <v>422.46261177230537</v>
      </c>
      <c r="R52" s="62">
        <f t="shared" si="0"/>
        <v>715.79594510563868</v>
      </c>
      <c r="S52" s="62">
        <f ca="1">AVERAGE(OFFSET($R$3,0,0,'Données projet'!$E$9+1,1))-AVERAGE(OFFSET($H$3,0,0,'Données projet'!$E$9+1,1))</f>
        <v>321.23599968992932</v>
      </c>
      <c r="T52" s="62">
        <f t="shared" si="34"/>
        <v>388.05195847800502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6.6377129672444308</v>
      </c>
      <c r="AB52" s="23">
        <f>EXP(-LN(2)/2)*AB51+(1-EXP(-LN(2)/2))/(LN(2)/2)*V52*Y52*VLOOKUP('Données projet'!$B$9,Paramètres!$A$1:$I$89,3,0)*0.475*44/12</f>
        <v>2.4188879557104886E-2</v>
      </c>
      <c r="AC52" s="24">
        <f t="shared" si="3"/>
        <v>6.6619018468015359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8.8000000000000007</v>
      </c>
      <c r="M53" s="13">
        <f t="array" ref="M53">INDEX(L:L,MIN(IF(ISNUMBER(L53:L249),ROW(L53:L249),"")))</f>
        <v>8.8000000000000007</v>
      </c>
      <c r="N53" s="14">
        <f>IF('Données projet'!$A$36&gt;35,N52+M53-V52,IF(A53&lt;'Données projet'!$A$36,$K$205^A53,IF(A53='Données projet'!$A$36,'Données projet'!$B$36,N52+M53-V52)))</f>
        <v>231.00000000000014</v>
      </c>
      <c r="O53" s="14">
        <f>N53*VLOOKUP('Données projet'!$B$9,Paramètres!$A$1:$I$89,3,0)*VLOOKUP('Données projet'!$B$9,Paramètres!$A$1:$I$89,5,0)</f>
        <v>201.80160000000015</v>
      </c>
      <c r="P53" s="14">
        <f t="shared" si="33"/>
        <v>50.139897992681711</v>
      </c>
      <c r="Q53" s="22">
        <f t="shared" si="53"/>
        <v>438.7981090039209</v>
      </c>
      <c r="R53" s="62">
        <f t="shared" si="0"/>
        <v>732.13144233725416</v>
      </c>
      <c r="S53" s="62">
        <f ca="1">AVERAGE(OFFSET($R$3,0,0,'Données projet'!$E$9+1,1))-AVERAGE(OFFSET($H$3,0,0,'Données projet'!$E$9+1,1))</f>
        <v>321.23599968992932</v>
      </c>
      <c r="T53" s="62">
        <f t="shared" si="34"/>
        <v>388.05195847800502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33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6.4562043570929779</v>
      </c>
      <c r="AB53" s="23">
        <f>EXP(-LN(2)/2)*AB52+(1-EXP(-LN(2)/2))/(LN(2)/2)*V53*Y53*VLOOKUP('Données projet'!$B$9,Paramètres!$A$1:$I$89,3,0)*0.475*44/12</f>
        <v>1.7104120764133517E-2</v>
      </c>
      <c r="AC53" s="24">
        <f t="shared" si="3"/>
        <v>6.4733084778571115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</v>
      </c>
      <c r="N54" s="14">
        <f>IF('Données projet'!$A$36&gt;35,N53+M54-V53,IF(A54&lt;'Données projet'!$A$36,$K$205^A54,IF(A54='Données projet'!$A$36,'Données projet'!$B$36,N53+M54-V53)))</f>
        <v>205.80000000000015</v>
      </c>
      <c r="O54" s="14">
        <f>N54*VLOOKUP('Données projet'!$B$9,Paramètres!$A$1:$I$89,3,0)*VLOOKUP('Données projet'!$B$9,Paramètres!$A$1:$I$89,5,0)</f>
        <v>179.78688000000014</v>
      </c>
      <c r="P54" s="14">
        <f t="shared" si="33"/>
        <v>45.274767624296977</v>
      </c>
      <c r="Q54" s="22">
        <f t="shared" si="53"/>
        <v>391.98236961231743</v>
      </c>
      <c r="R54" s="62">
        <f t="shared" si="0"/>
        <v>685.31570294565074</v>
      </c>
      <c r="S54" s="62">
        <f ca="1">AVERAGE(OFFSET($R$3,0,0,'Données projet'!$E$9+1,1))-AVERAGE(OFFSET($H$3,0,0,'Données projet'!$E$9+1,1))</f>
        <v>321.23599968992932</v>
      </c>
      <c r="T54" s="62">
        <f t="shared" si="34"/>
        <v>388.05195847800502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6.2796591094312388</v>
      </c>
      <c r="AB54" s="23">
        <f>EXP(-LN(2)/2)*AB53+(1-EXP(-LN(2)/2))/(LN(2)/2)*V54*Y54*VLOOKUP('Données projet'!$B$9,Paramètres!$A$1:$I$89,3,0)*0.475*44/12</f>
        <v>1.2094439778552443E-2</v>
      </c>
      <c r="AC54" s="24">
        <f t="shared" si="3"/>
        <v>6.2917535492097914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</v>
      </c>
      <c r="N55" s="14">
        <f>IF('Données projet'!$A$36&gt;35,N54+M55-V54,IF(A55&lt;'Données projet'!$A$36,$K$205^A55,IF(A55='Données projet'!$A$36,'Données projet'!$B$36,N54+M55-V54)))</f>
        <v>213.60000000000016</v>
      </c>
      <c r="O55" s="14">
        <f>N55*VLOOKUP('Données projet'!$B$9,Paramètres!$A$1:$I$89,3,0)*VLOOKUP('Données projet'!$B$9,Paramètres!$A$1:$I$89,5,0)</f>
        <v>186.60096000000016</v>
      </c>
      <c r="P55" s="14">
        <f t="shared" si="33"/>
        <v>46.787685683664144</v>
      </c>
      <c r="Q55" s="22">
        <f t="shared" si="53"/>
        <v>406.48522456571527</v>
      </c>
      <c r="R55" s="62">
        <f t="shared" si="0"/>
        <v>699.81855789904853</v>
      </c>
      <c r="S55" s="62">
        <f ca="1">AVERAGE(OFFSET($R$3,0,0,'Données projet'!$E$9+1,1))-AVERAGE(OFFSET($H$3,0,0,'Données projet'!$E$9+1,1))</f>
        <v>321.23599968992932</v>
      </c>
      <c r="T55" s="62">
        <f t="shared" si="34"/>
        <v>388.05195847800502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6.107941500850921</v>
      </c>
      <c r="AB55" s="23">
        <f>EXP(-LN(2)/2)*AB54+(1-EXP(-LN(2)/2))/(LN(2)/2)*V55*Y55*VLOOKUP('Données projet'!$B$9,Paramètres!$A$1:$I$89,3,0)*0.475*44/12</f>
        <v>8.5520603820667587E-3</v>
      </c>
      <c r="AC55" s="24">
        <f t="shared" si="3"/>
        <v>6.1164935612329874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</v>
      </c>
      <c r="N56" s="14">
        <f>IF('Données projet'!$A$36&gt;35,N55+M56-V55,IF(A56&lt;'Données projet'!$A$36,$K$205^A56,IF(A56='Données projet'!$A$36,'Données projet'!$B$36,N55+M56-V55)))</f>
        <v>221.40000000000018</v>
      </c>
      <c r="O56" s="14">
        <f>N56*VLOOKUP('Données projet'!$B$9,Paramètres!$A$1:$I$89,3,0)*VLOOKUP('Données projet'!$B$9,Paramètres!$A$1:$I$89,5,0)</f>
        <v>193.41504000000018</v>
      </c>
      <c r="P56" s="14">
        <f t="shared" si="33"/>
        <v>48.294185132315114</v>
      </c>
      <c r="Q56" s="22">
        <f t="shared" si="53"/>
        <v>420.97690043878242</v>
      </c>
      <c r="R56" s="62">
        <f t="shared" si="0"/>
        <v>714.31023377211568</v>
      </c>
      <c r="S56" s="62">
        <f ca="1">AVERAGE(OFFSET($R$3,0,0,'Données projet'!$E$9+1,1))-AVERAGE(OFFSET($H$3,0,0,'Données projet'!$E$9+1,1))</f>
        <v>321.23599968992932</v>
      </c>
      <c r="T56" s="62">
        <f t="shared" si="34"/>
        <v>388.05195847800502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5.9409195193074691</v>
      </c>
      <c r="AB56" s="23">
        <f>EXP(-LN(2)/2)*AB55+(1-EXP(-LN(2)/2))/(LN(2)/2)*V56*Y56*VLOOKUP('Données projet'!$B$9,Paramètres!$A$1:$I$89,3,0)*0.475*44/12</f>
        <v>6.0472198892762216E-3</v>
      </c>
      <c r="AC56" s="24">
        <f t="shared" si="3"/>
        <v>5.9469667391967453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7.8</v>
      </c>
      <c r="N57" s="14">
        <f>IF('Données projet'!$A$36&gt;35,N56+M57-V56,IF(A57&lt;'Données projet'!$A$36,$K$205^A57,IF(A57='Données projet'!$A$36,'Données projet'!$B$36,N56+M57-V56)))</f>
        <v>229.20000000000019</v>
      </c>
      <c r="O57" s="14">
        <f>N57*VLOOKUP('Données projet'!$B$9,Paramètres!$A$1:$I$89,3,0)*VLOOKUP('Données projet'!$B$9,Paramètres!$A$1:$I$89,5,0)</f>
        <v>200.22912000000019</v>
      </c>
      <c r="P57" s="14">
        <f t="shared" si="33"/>
        <v>49.794518010766396</v>
      </c>
      <c r="Q57" s="22">
        <f t="shared" si="53"/>
        <v>435.45783620208516</v>
      </c>
      <c r="R57" s="62">
        <f t="shared" si="0"/>
        <v>728.79116953541848</v>
      </c>
      <c r="S57" s="62">
        <f ca="1">AVERAGE(OFFSET($R$3,0,0,'Données projet'!$E$9+1,1))-AVERAGE(OFFSET($H$3,0,0,'Données projet'!$E$9+1,1))</f>
        <v>321.23599968992932</v>
      </c>
      <c r="T57" s="62">
        <f t="shared" si="34"/>
        <v>388.05195847800502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5.7784647626326269</v>
      </c>
      <c r="AB57" s="23">
        <f>EXP(-LN(2)/2)*AB56+(1-EXP(-LN(2)/2))/(LN(2)/2)*V57*Y57*VLOOKUP('Données projet'!$B$9,Paramètres!$A$1:$I$89,3,0)*0.475*44/12</f>
        <v>4.2760301910333793E-3</v>
      </c>
      <c r="AC57" s="24">
        <f t="shared" si="3"/>
        <v>5.7827407928236605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237</v>
      </c>
      <c r="L58" s="13">
        <f>VLOOKUP(A58,'Données projet'!$A$35:$I$55,9,0)</f>
        <v>7.8</v>
      </c>
      <c r="M58" s="13">
        <f t="array" ref="M58">INDEX(L:L,MIN(IF(ISNUMBER(L58:L254),ROW(L58:L254),"")))</f>
        <v>7.8</v>
      </c>
      <c r="N58" s="14">
        <f>IF('Données projet'!$A$36&gt;35,N57+M58-V57,IF(A58&lt;'Données projet'!$A$36,$K$205^A58,IF(A58='Données projet'!$A$36,'Données projet'!$B$36,N57+M58-V57)))</f>
        <v>237.0000000000002</v>
      </c>
      <c r="O58" s="14">
        <f>N58*VLOOKUP('Données projet'!$B$9,Paramètres!$A$1:$I$89,3,0)*VLOOKUP('Données projet'!$B$9,Paramètres!$A$1:$I$89,5,0)</f>
        <v>207.04320000000018</v>
      </c>
      <c r="P58" s="14">
        <f t="shared" si="33"/>
        <v>51.28891823180637</v>
      </c>
      <c r="Q58" s="22">
        <f t="shared" si="53"/>
        <v>449.92843925372966</v>
      </c>
      <c r="R58" s="62">
        <f t="shared" si="0"/>
        <v>743.26177258706298</v>
      </c>
      <c r="S58" s="62">
        <f ca="1">AVERAGE(OFFSET($R$3,0,0,'Données projet'!$E$9+1,1))-AVERAGE(OFFSET($H$3,0,0,'Données projet'!$E$9+1,1))</f>
        <v>321.23599968992932</v>
      </c>
      <c r="T58" s="62">
        <f t="shared" si="34"/>
        <v>388.05195847800502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29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5.6204523398221831</v>
      </c>
      <c r="AB58" s="23">
        <f>EXP(-LN(2)/2)*AB57+(1-EXP(-LN(2)/2))/(LN(2)/2)*V58*Y58*VLOOKUP('Données projet'!$B$9,Paramètres!$A$1:$I$89,3,0)*0.475*44/12</f>
        <v>3.0236099446381108E-3</v>
      </c>
      <c r="AC58" s="24">
        <f t="shared" si="3"/>
        <v>5.6234759497668207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6.8</v>
      </c>
      <c r="N59" s="14">
        <f>IF('Données projet'!$A$36&gt;35,N58+M59-V58,IF(A59&lt;'Données projet'!$A$36,$K$205^A59,IF(A59='Données projet'!$A$36,'Données projet'!$B$36,N58+M59-V58)))</f>
        <v>214.80000000000021</v>
      </c>
      <c r="O59" s="14">
        <f>N59*VLOOKUP('Données projet'!$B$9,Paramètres!$A$1:$I$89,3,0)*VLOOKUP('Données projet'!$B$9,Paramètres!$A$1:$I$89,5,0)</f>
        <v>187.6492800000002</v>
      </c>
      <c r="P59" s="14">
        <f t="shared" si="33"/>
        <v>47.019866076567546</v>
      </c>
      <c r="Q59" s="22">
        <f t="shared" si="53"/>
        <v>408.71542941668878</v>
      </c>
      <c r="R59" s="62">
        <f t="shared" si="0"/>
        <v>702.04876275002209</v>
      </c>
      <c r="S59" s="62">
        <f ca="1">AVERAGE(OFFSET($R$3,0,0,'Données projet'!$E$9+1,1))-AVERAGE(OFFSET($H$3,0,0,'Données projet'!$E$9+1,1))</f>
        <v>321.23599968992932</v>
      </c>
      <c r="T59" s="62">
        <f t="shared" si="34"/>
        <v>388.05195847800502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5.4667607750230029</v>
      </c>
      <c r="AB59" s="23">
        <f>EXP(-LN(2)/2)*AB58+(1-EXP(-LN(2)/2))/(LN(2)/2)*V59*Y59*VLOOKUP('Données projet'!$B$9,Paramètres!$A$1:$I$89,3,0)*0.475*44/12</f>
        <v>2.1380150955166897E-3</v>
      </c>
      <c r="AC59" s="24">
        <f t="shared" si="3"/>
        <v>5.4688987901185193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6.8</v>
      </c>
      <c r="N60" s="14">
        <f>IF('Données projet'!$A$36&gt;35,N59+M60-V59,IF(A60&lt;'Données projet'!$A$36,$K$205^A60,IF(A60='Données projet'!$A$36,'Données projet'!$B$36,N59+M60-V59)))</f>
        <v>221.60000000000022</v>
      </c>
      <c r="O60" s="14">
        <f>N60*VLOOKUP('Données projet'!$B$9,Paramètres!$A$1:$I$89,3,0)*VLOOKUP('Données projet'!$B$9,Paramètres!$A$1:$I$89,5,0)</f>
        <v>193.58976000000021</v>
      </c>
      <c r="P60" s="14">
        <f t="shared" si="33"/>
        <v>48.332731202087132</v>
      </c>
      <c r="Q60" s="22">
        <f t="shared" si="53"/>
        <v>421.34833884363542</v>
      </c>
      <c r="R60" s="62">
        <f t="shared" si="0"/>
        <v>714.68167217696873</v>
      </c>
      <c r="S60" s="62">
        <f ca="1">AVERAGE(OFFSET($R$3,0,0,'Données projet'!$E$9+1,1))-AVERAGE(OFFSET($H$3,0,0,'Données projet'!$E$9+1,1))</f>
        <v>321.23599968992932</v>
      </c>
      <c r="T60" s="62">
        <f t="shared" si="34"/>
        <v>388.05195847800502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5.317271914145544</v>
      </c>
      <c r="AB60" s="23">
        <f>EXP(-LN(2)/2)*AB59+(1-EXP(-LN(2)/2))/(LN(2)/2)*V60*Y60*VLOOKUP('Données projet'!$B$9,Paramètres!$A$1:$I$89,3,0)*0.475*44/12</f>
        <v>1.5118049723190554E-3</v>
      </c>
      <c r="AC60" s="24">
        <f t="shared" si="3"/>
        <v>5.3187837191178629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6.8</v>
      </c>
      <c r="N61" s="14">
        <f>IF('Données projet'!$A$36&gt;35,N60+M61-V60,IF(A61&lt;'Données projet'!$A$36,$K$205^A61,IF(A61='Données projet'!$A$36,'Données projet'!$B$36,N60+M61-V60)))</f>
        <v>228.40000000000023</v>
      </c>
      <c r="O61" s="14">
        <f>N61*VLOOKUP('Données projet'!$B$9,Paramètres!$A$1:$I$89,3,0)*VLOOKUP('Données projet'!$B$9,Paramètres!$A$1:$I$89,5,0)</f>
        <v>199.53024000000022</v>
      </c>
      <c r="P61" s="14">
        <f t="shared" si="33"/>
        <v>49.640914570461312</v>
      </c>
      <c r="Q61" s="22">
        <f t="shared" si="53"/>
        <v>433.97309421022049</v>
      </c>
      <c r="R61" s="62">
        <f t="shared" si="0"/>
        <v>727.30642754355381</v>
      </c>
      <c r="S61" s="62">
        <f ca="1">AVERAGE(OFFSET($R$3,0,0,'Données projet'!$E$9+1,1))-AVERAGE(OFFSET($H$3,0,0,'Données projet'!$E$9+1,1))</f>
        <v>321.23599968992932</v>
      </c>
      <c r="T61" s="62">
        <f t="shared" si="34"/>
        <v>388.05195847800502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5.1718708340300568</v>
      </c>
      <c r="AB61" s="23">
        <f>EXP(-LN(2)/2)*AB60+(1-EXP(-LN(2)/2))/(LN(2)/2)*V61*Y61*VLOOKUP('Données projet'!$B$9,Paramètres!$A$1:$I$89,3,0)*0.475*44/12</f>
        <v>1.0690075477583448E-3</v>
      </c>
      <c r="AC61" s="24">
        <f t="shared" si="3"/>
        <v>5.1729398415778149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6.8</v>
      </c>
      <c r="N62" s="14">
        <f>IF('Données projet'!$A$36&gt;35,N61+M62-V61,IF(A62&lt;'Données projet'!$A$36,$K$205^A62,IF(A62='Données projet'!$A$36,'Données projet'!$B$36,N61+M62-V61)))</f>
        <v>235.20000000000024</v>
      </c>
      <c r="O62" s="14">
        <f>N62*VLOOKUP('Données projet'!$B$9,Paramètres!$A$1:$I$89,3,0)*VLOOKUP('Données projet'!$B$9,Paramètres!$A$1:$I$89,5,0)</f>
        <v>205.47072000000026</v>
      </c>
      <c r="P62" s="14">
        <f t="shared" si="33"/>
        <v>50.944571570352757</v>
      </c>
      <c r="Q62" s="22">
        <f t="shared" si="53"/>
        <v>446.58996615169809</v>
      </c>
      <c r="R62" s="62">
        <f t="shared" si="0"/>
        <v>739.92329948503141</v>
      </c>
      <c r="S62" s="62">
        <f ca="1">AVERAGE(OFFSET($R$3,0,0,'Données projet'!$E$9+1,1))-AVERAGE(OFFSET($H$3,0,0,'Données projet'!$E$9+1,1))</f>
        <v>321.23599968992932</v>
      </c>
      <c r="T62" s="62">
        <f t="shared" si="34"/>
        <v>388.05195847800502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5.0304457540966379</v>
      </c>
      <c r="AB62" s="23">
        <f>EXP(-LN(2)/2)*AB61+(1-EXP(-LN(2)/2))/(LN(2)/2)*V62*Y62*VLOOKUP('Données projet'!$B$9,Paramètres!$A$1:$I$89,3,0)*0.475*44/12</f>
        <v>7.559024861595277E-4</v>
      </c>
      <c r="AC62" s="24">
        <f t="shared" si="3"/>
        <v>5.0312016565827973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242</v>
      </c>
      <c r="L63" s="13">
        <f>VLOOKUP(A63,'Données projet'!$A$35:$I$55,9,0)</f>
        <v>6.8</v>
      </c>
      <c r="M63" s="13">
        <f t="array" ref="M63">INDEX(L:L,MIN(IF(ISNUMBER(L63:L259),ROW(L63:L259),"")))</f>
        <v>6.8</v>
      </c>
      <c r="N63" s="14">
        <f>IF('Données projet'!$A$36&gt;35,N62+M63-V62,IF(A63&lt;'Données projet'!$A$36,$K$205^A63,IF(A63='Données projet'!$A$36,'Données projet'!$B$36,N62+M63-V62)))</f>
        <v>242.00000000000026</v>
      </c>
      <c r="O63" s="14">
        <f>N63*VLOOKUP('Données projet'!$B$9,Paramètres!$A$1:$I$89,3,0)*VLOOKUP('Données projet'!$B$9,Paramètres!$A$1:$I$89,5,0)</f>
        <v>211.41120000000024</v>
      </c>
      <c r="P63" s="14">
        <f t="shared" si="33"/>
        <v>52.243848094411206</v>
      </c>
      <c r="Q63" s="22">
        <f t="shared" si="53"/>
        <v>459.19920876443319</v>
      </c>
      <c r="R63" s="62">
        <f t="shared" si="0"/>
        <v>752.53254209776651</v>
      </c>
      <c r="S63" s="62">
        <f ca="1">AVERAGE(OFFSET($R$3,0,0,'Données projet'!$E$9+1,1))-AVERAGE(OFFSET($H$3,0,0,'Données projet'!$E$9+1,1))</f>
        <v>321.23599968992932</v>
      </c>
      <c r="T63" s="62">
        <f t="shared" si="34"/>
        <v>388.05195847800502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26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4.8928879504112199</v>
      </c>
      <c r="AB63" s="23">
        <f>EXP(-LN(2)/2)*AB62+(1-EXP(-LN(2)/2))/(LN(2)/2)*V63*Y63*VLOOKUP('Données projet'!$B$9,Paramètres!$A$1:$I$89,3,0)*0.475*44/12</f>
        <v>5.3450377387917242E-4</v>
      </c>
      <c r="AC63" s="24">
        <f t="shared" si="3"/>
        <v>4.8934224541850995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</v>
      </c>
      <c r="N64" s="14">
        <f>IF('Données projet'!$A$36&gt;35,N63+M64-V63,IF(A64&lt;'Données projet'!$A$36,$K$205^A64,IF(A64='Données projet'!$A$36,'Données projet'!$B$36,N63+M64-V63)))</f>
        <v>222.00000000000026</v>
      </c>
      <c r="O64" s="14">
        <f>N64*VLOOKUP('Données projet'!$B$9,Paramètres!$A$1:$I$89,3,0)*VLOOKUP('Données projet'!$B$9,Paramètres!$A$1:$I$89,5,0)</f>
        <v>193.93920000000023</v>
      </c>
      <c r="P64" s="14">
        <f t="shared" si="33"/>
        <v>48.409811198069427</v>
      </c>
      <c r="Q64" s="22">
        <f t="shared" si="53"/>
        <v>422.09119450330468</v>
      </c>
      <c r="R64" s="62">
        <f t="shared" si="0"/>
        <v>715.42452783663794</v>
      </c>
      <c r="S64" s="62">
        <f ca="1">AVERAGE(OFFSET($R$3,0,0,'Données projet'!$E$9+1,1))-AVERAGE(OFFSET($H$3,0,0,'Données projet'!$E$9+1,1))</f>
        <v>321.23599968992932</v>
      </c>
      <c r="T64" s="62">
        <f t="shared" si="34"/>
        <v>388.05195847800502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4.7590916721014302</v>
      </c>
      <c r="AB64" s="23">
        <f>EXP(-LN(2)/2)*AB63+(1-EXP(-LN(2)/2))/(LN(2)/2)*V64*Y64*VLOOKUP('Données projet'!$B$9,Paramètres!$A$1:$I$89,3,0)*0.475*44/12</f>
        <v>3.7795124307976385E-4</v>
      </c>
      <c r="AC64" s="24">
        <f t="shared" si="3"/>
        <v>4.7594696233445104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</v>
      </c>
      <c r="N65" s="14">
        <f>IF('Données projet'!$A$36&gt;35,N64+M65-V64,IF(A65&lt;'Données projet'!$A$36,$K$205^A65,IF(A65='Données projet'!$A$36,'Données projet'!$B$36,N64+M65-V64)))</f>
        <v>228.00000000000026</v>
      </c>
      <c r="O65" s="14">
        <f>N65*VLOOKUP('Données projet'!$B$9,Paramètres!$A$1:$I$89,3,0)*VLOOKUP('Données projet'!$B$9,Paramètres!$A$1:$I$89,5,0)</f>
        <v>199.18080000000023</v>
      </c>
      <c r="P65" s="14">
        <f t="shared" si="33"/>
        <v>49.564089376413726</v>
      </c>
      <c r="Q65" s="22">
        <f t="shared" si="53"/>
        <v>433.23068233058763</v>
      </c>
      <c r="R65" s="62">
        <f t="shared" si="0"/>
        <v>726.56401566392094</v>
      </c>
      <c r="S65" s="62">
        <f ca="1">AVERAGE(OFFSET($R$3,0,0,'Données projet'!$E$9+1,1))-AVERAGE(OFFSET($H$3,0,0,'Données projet'!$E$9+1,1))</f>
        <v>321.23599968992932</v>
      </c>
      <c r="T65" s="62">
        <f t="shared" si="34"/>
        <v>388.05195847800502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4.6289540600580628</v>
      </c>
      <c r="AB65" s="23">
        <f>EXP(-LN(2)/2)*AB64+(1-EXP(-LN(2)/2))/(LN(2)/2)*V65*Y65*VLOOKUP('Données projet'!$B$9,Paramètres!$A$1:$I$89,3,0)*0.475*44/12</f>
        <v>2.6725188693958621E-4</v>
      </c>
      <c r="AC65" s="24">
        <f t="shared" si="3"/>
        <v>4.6292213119450025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</v>
      </c>
      <c r="N66" s="14">
        <f>IF('Données projet'!$A$36&gt;35,N65+M66-V65,IF(A66&lt;'Données projet'!$A$36,$K$205^A66,IF(A66='Données projet'!$A$36,'Données projet'!$B$36,N65+M66-V65)))</f>
        <v>234.00000000000026</v>
      </c>
      <c r="O66" s="14">
        <f>N66*VLOOKUP('Données projet'!$B$9,Paramètres!$A$1:$I$89,3,0)*VLOOKUP('Données projet'!$B$9,Paramètres!$A$1:$I$89,5,0)</f>
        <v>204.42240000000027</v>
      </c>
      <c r="P66" s="14">
        <f t="shared" si="33"/>
        <v>50.714836797527354</v>
      </c>
      <c r="Q66" s="22">
        <f t="shared" si="53"/>
        <v>444.36402075569396</v>
      </c>
      <c r="R66" s="62">
        <f t="shared" si="0"/>
        <v>737.69735408902727</v>
      </c>
      <c r="S66" s="62">
        <f ca="1">AVERAGE(OFFSET($R$3,0,0,'Données projet'!$E$9+1,1))-AVERAGE(OFFSET($H$3,0,0,'Données projet'!$E$9+1,1))</f>
        <v>321.23599968992932</v>
      </c>
      <c r="T66" s="62">
        <f t="shared" si="34"/>
        <v>388.05195847800502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4.5023750678596608</v>
      </c>
      <c r="AB66" s="23">
        <f>EXP(-LN(2)/2)*AB65+(1-EXP(-LN(2)/2))/(LN(2)/2)*V66*Y66*VLOOKUP('Données projet'!$B$9,Paramètres!$A$1:$I$89,3,0)*0.475*44/12</f>
        <v>1.8897562153988193E-4</v>
      </c>
      <c r="AC66" s="24">
        <f t="shared" si="3"/>
        <v>4.5025640434812004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</v>
      </c>
      <c r="N67" s="14">
        <f>IF('Données projet'!$A$36&gt;35,N66+M67-V66,IF(A67&lt;'Données projet'!$A$36,$K$205^A67,IF(A67='Données projet'!$A$36,'Données projet'!$B$36,N66+M67-V66)))</f>
        <v>240.00000000000026</v>
      </c>
      <c r="O67" s="14">
        <f>N67*VLOOKUP('Données projet'!$B$9,Paramètres!$A$1:$I$89,3,0)*VLOOKUP('Données projet'!$B$9,Paramètres!$A$1:$I$89,5,0)</f>
        <v>209.66400000000024</v>
      </c>
      <c r="P67" s="14">
        <f t="shared" si="33"/>
        <v>51.862154403304579</v>
      </c>
      <c r="Q67" s="22">
        <f t="shared" ref="Q67:Q98" si="54">(O67+P67)*0.475*44/12</f>
        <v>455.49138558575584</v>
      </c>
      <c r="R67" s="62">
        <f t="shared" ref="R67:R130" si="55">Q67+(I67+J67)*44/12</f>
        <v>748.82471891908915</v>
      </c>
      <c r="S67" s="62">
        <f ca="1">AVERAGE(OFFSET($R$3,0,0,'Données projet'!$E$9+1,1))-AVERAGE(OFFSET($H$3,0,0,'Données projet'!$E$9+1,1))</f>
        <v>321.23599968992932</v>
      </c>
      <c r="T67" s="62">
        <f t="shared" si="34"/>
        <v>388.05195847800502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4.3792573848594243</v>
      </c>
      <c r="AB67" s="23">
        <f>EXP(-LN(2)/2)*AB66+(1-EXP(-LN(2)/2))/(LN(2)/2)*V67*Y67*VLOOKUP('Données projet'!$B$9,Paramètres!$A$1:$I$89,3,0)*0.475*44/12</f>
        <v>1.336259434697931E-4</v>
      </c>
      <c r="AC67" s="24">
        <f t="shared" si="3"/>
        <v>4.3793910108028937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246</v>
      </c>
      <c r="L68" s="13">
        <f>VLOOKUP(A68,'Données projet'!$A$35:$I$55,9,0)</f>
        <v>6</v>
      </c>
      <c r="M68" s="13">
        <f t="array" ref="M68">INDEX(L:L,MIN(IF(ISNUMBER(L68:L264),ROW(L68:L264),"")))</f>
        <v>6</v>
      </c>
      <c r="N68" s="14">
        <f>IF('Données projet'!$A$36&gt;35,N67+M68-V67,IF(A68&lt;'Données projet'!$A$36,$K$205^A68,IF(A68='Données projet'!$A$36,'Données projet'!$B$36,N67+M68-V67)))</f>
        <v>246.00000000000026</v>
      </c>
      <c r="O68" s="14">
        <f>N68*VLOOKUP('Données projet'!$B$9,Paramètres!$A$1:$I$89,3,0)*VLOOKUP('Données projet'!$B$9,Paramètres!$A$1:$I$89,5,0)</f>
        <v>214.90560000000025</v>
      </c>
      <c r="P68" s="14">
        <f t="shared" si="33"/>
        <v>53.006137800892375</v>
      </c>
      <c r="Q68" s="22">
        <f t="shared" si="54"/>
        <v>466.61294333655468</v>
      </c>
      <c r="R68" s="62">
        <f t="shared" si="55"/>
        <v>759.94627666988799</v>
      </c>
      <c r="S68" s="62">
        <f ca="1">AVERAGE(OFFSET($R$3,0,0,'Données projet'!$E$9+1,1))-AVERAGE(OFFSET($H$3,0,0,'Données projet'!$E$9+1,1))</f>
        <v>321.23599968992932</v>
      </c>
      <c r="T68" s="62">
        <f t="shared" si="34"/>
        <v>388.05195847800502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23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4.2595063613753066</v>
      </c>
      <c r="AB68" s="23">
        <f>EXP(-LN(2)/2)*AB67+(1-EXP(-LN(2)/2))/(LN(2)/2)*V68*Y68*VLOOKUP('Données projet'!$B$9,Paramètres!$A$1:$I$89,3,0)*0.475*44/12</f>
        <v>9.4487810769940963E-5</v>
      </c>
      <c r="AC68" s="24">
        <f t="shared" ref="AC68:AC131" si="57">SUM(Z68:AB68)</f>
        <v>4.2596008491860768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228.20000000000024</v>
      </c>
      <c r="O69" s="14">
        <f>N69*VLOOKUP('Données projet'!$B$9,Paramètres!$A$1:$I$89,3,0)*VLOOKUP('Données projet'!$B$9,Paramètres!$A$1:$I$89,5,0)</f>
        <v>199.35552000000024</v>
      </c>
      <c r="P69" s="14">
        <f t="shared" ref="P69:P132" si="87">EXP(-1.0587+0.8836*LN(O69)+0.284)</f>
        <v>49.602503932783272</v>
      </c>
      <c r="Q69" s="22">
        <f t="shared" si="54"/>
        <v>433.60189168293124</v>
      </c>
      <c r="R69" s="62">
        <f t="shared" si="55"/>
        <v>726.93522501626455</v>
      </c>
      <c r="S69" s="62">
        <f ca="1">AVERAGE(OFFSET($R$3,0,0,'Données projet'!$E$9+1,1))-AVERAGE(OFFSET($H$3,0,0,'Données projet'!$E$9+1,1))</f>
        <v>321.23599968992932</v>
      </c>
      <c r="T69" s="62">
        <f t="shared" ref="T69:T132" si="88">$T$3</f>
        <v>388.05195847800502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4.1430299359257949</v>
      </c>
      <c r="AB69" s="23">
        <f>EXP(-LN(2)/2)*AB68+(1-EXP(-LN(2)/2))/(LN(2)/2)*V69*Y69*VLOOKUP('Données projet'!$B$9,Paramètres!$A$1:$I$89,3,0)*0.475*44/12</f>
        <v>6.6812971734896552E-5</v>
      </c>
      <c r="AC69" s="24">
        <f t="shared" si="57"/>
        <v>4.1430967488975297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233.40000000000023</v>
      </c>
      <c r="O70" s="14">
        <f>N70*VLOOKUP('Données projet'!$B$9,Paramètres!$A$1:$I$89,3,0)*VLOOKUP('Données projet'!$B$9,Paramètres!$A$1:$I$89,5,0)</f>
        <v>203.89824000000024</v>
      </c>
      <c r="P70" s="14">
        <f t="shared" si="87"/>
        <v>50.599918019430255</v>
      </c>
      <c r="Q70" s="22">
        <f t="shared" si="54"/>
        <v>443.25095855050807</v>
      </c>
      <c r="R70" s="62">
        <f t="shared" si="55"/>
        <v>736.58429188384139</v>
      </c>
      <c r="S70" s="62">
        <f ca="1">AVERAGE(OFFSET($R$3,0,0,'Données projet'!$E$9+1,1))-AVERAGE(OFFSET($H$3,0,0,'Données projet'!$E$9+1,1))</f>
        <v>321.23599968992932</v>
      </c>
      <c r="T70" s="62">
        <f t="shared" si="88"/>
        <v>388.05195847800502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4.0297385644554291</v>
      </c>
      <c r="AB70" s="23">
        <f>EXP(-LN(2)/2)*AB69+(1-EXP(-LN(2)/2))/(LN(2)/2)*V70*Y70*VLOOKUP('Données projet'!$B$9,Paramètres!$A$1:$I$89,3,0)*0.475*44/12</f>
        <v>4.7243905384970481E-5</v>
      </c>
      <c r="AC70" s="24">
        <f t="shared" si="57"/>
        <v>4.0297858083608142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238.60000000000022</v>
      </c>
      <c r="O71" s="14">
        <f>N71*VLOOKUP('Données projet'!$B$9,Paramètres!$A$1:$I$89,3,0)*VLOOKUP('Données projet'!$B$9,Paramètres!$A$1:$I$89,5,0)</f>
        <v>208.44096000000022</v>
      </c>
      <c r="P71" s="14">
        <f t="shared" si="87"/>
        <v>51.594748621124261</v>
      </c>
      <c r="Q71" s="22">
        <f t="shared" si="54"/>
        <v>452.89552584845842</v>
      </c>
      <c r="R71" s="62">
        <f t="shared" si="55"/>
        <v>746.22885918179168</v>
      </c>
      <c r="S71" s="62">
        <f ca="1">AVERAGE(OFFSET($R$3,0,0,'Données projet'!$E$9+1,1))-AVERAGE(OFFSET($H$3,0,0,'Données projet'!$E$9+1,1))</f>
        <v>321.23599968992932</v>
      </c>
      <c r="T71" s="62">
        <f t="shared" si="88"/>
        <v>388.05195847800502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3.9195451514956545</v>
      </c>
      <c r="AB71" s="23">
        <f>EXP(-LN(2)/2)*AB70+(1-EXP(-LN(2)/2))/(LN(2)/2)*V71*Y71*VLOOKUP('Données projet'!$B$9,Paramètres!$A$1:$I$89,3,0)*0.475*44/12</f>
        <v>3.3406485867448276E-5</v>
      </c>
      <c r="AC71" s="24">
        <f t="shared" si="57"/>
        <v>3.9195785579815219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243.80000000000021</v>
      </c>
      <c r="O72" s="14">
        <f>N72*VLOOKUP('Données projet'!$B$9,Paramètres!$A$1:$I$89,3,0)*VLOOKUP('Données projet'!$B$9,Paramètres!$A$1:$I$89,5,0)</f>
        <v>212.98368000000022</v>
      </c>
      <c r="P72" s="14">
        <f t="shared" si="87"/>
        <v>52.587058525970413</v>
      </c>
      <c r="Q72" s="22">
        <f t="shared" si="54"/>
        <v>462.53570293273214</v>
      </c>
      <c r="R72" s="62">
        <f t="shared" si="55"/>
        <v>755.86903626606545</v>
      </c>
      <c r="S72" s="62">
        <f ca="1">AVERAGE(OFFSET($R$3,0,0,'Données projet'!$E$9+1,1))-AVERAGE(OFFSET($H$3,0,0,'Données projet'!$E$9+1,1))</f>
        <v>321.23599968992932</v>
      </c>
      <c r="T72" s="62">
        <f t="shared" si="88"/>
        <v>388.05195847800502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3.8123649832080844</v>
      </c>
      <c r="AB72" s="23">
        <f>EXP(-LN(2)/2)*AB71+(1-EXP(-LN(2)/2))/(LN(2)/2)*V72*Y72*VLOOKUP('Données projet'!$B$9,Paramètres!$A$1:$I$89,3,0)*0.475*44/12</f>
        <v>2.3621952692485241E-5</v>
      </c>
      <c r="AC72" s="24">
        <f t="shared" si="57"/>
        <v>3.8123886051607769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249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249.0000000000002</v>
      </c>
      <c r="O73" s="14">
        <f>N73*VLOOKUP('Données projet'!$B$9,Paramètres!$A$1:$I$89,3,0)*VLOOKUP('Données projet'!$B$9,Paramètres!$A$1:$I$89,5,0)</f>
        <v>217.52640000000019</v>
      </c>
      <c r="P73" s="14">
        <f t="shared" si="87"/>
        <v>53.576907690651304</v>
      </c>
      <c r="Q73" s="22">
        <f t="shared" si="54"/>
        <v>472.17159422788467</v>
      </c>
      <c r="R73" s="62">
        <f t="shared" si="55"/>
        <v>765.50492756121798</v>
      </c>
      <c r="S73" s="62">
        <f ca="1">AVERAGE(OFFSET($R$3,0,0,'Données projet'!$E$9+1,1))-AVERAGE(OFFSET($H$3,0,0,'Données projet'!$E$9+1,1))</f>
        <v>321.23599968992932</v>
      </c>
      <c r="T73" s="62">
        <f t="shared" si="88"/>
        <v>388.05195847800502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249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3.7081156622586979</v>
      </c>
      <c r="AB73" s="23">
        <f>EXP(-LN(2)/2)*AB72+(1-EXP(-LN(2)/2))/(LN(2)/2)*V73*Y73*VLOOKUP('Données projet'!$B$9,Paramètres!$A$1:$I$89,3,0)*0.475*44/12</f>
        <v>1.6703242933724138E-5</v>
      </c>
      <c r="AC73" s="24">
        <f t="shared" si="57"/>
        <v>3.7081323655016316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1.9895196601282805E-13</v>
      </c>
      <c r="O74" s="14">
        <f>N74*VLOOKUP('Données projet'!$B$9,Paramètres!$A$1:$I$89,3,0)*VLOOKUP('Données projet'!$B$9,Paramètres!$A$1:$I$89,5,0)</f>
        <v>1.738044375088066E-13</v>
      </c>
      <c r="P74" s="14">
        <f t="shared" si="87"/>
        <v>2.4483293633950478E-12</v>
      </c>
      <c r="Q74" s="22">
        <f t="shared" si="54"/>
        <v>4.566883036574213E-12</v>
      </c>
      <c r="R74" s="62">
        <f t="shared" si="55"/>
        <v>293.33333333333786</v>
      </c>
      <c r="S74" s="62">
        <f ca="1">AVERAGE(OFFSET($R$3,0,0,'Données projet'!$E$9+1,1))-AVERAGE(OFFSET($H$3,0,0,'Données projet'!$E$9+1,1))</f>
        <v>321.23599968992932</v>
      </c>
      <c r="T74" s="62">
        <f t="shared" si="88"/>
        <v>388.05195847800502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3.606717044472906</v>
      </c>
      <c r="AB74" s="23">
        <f>EXP(-LN(2)/2)*AB73+(1-EXP(-LN(2)/2))/(LN(2)/2)*V74*Y74*VLOOKUP('Données projet'!$B$9,Paramètres!$A$1:$I$89,3,0)*0.475*44/12</f>
        <v>1.181097634624262E-5</v>
      </c>
      <c r="AC74" s="24">
        <f t="shared" si="57"/>
        <v>3.6067288554492523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1.9895196601282805E-13</v>
      </c>
      <c r="O75" s="14">
        <f>N75*VLOOKUP('Données projet'!$B$9,Paramètres!$A$1:$I$89,3,0)*VLOOKUP('Données projet'!$B$9,Paramètres!$A$1:$I$89,5,0)</f>
        <v>1.738044375088066E-13</v>
      </c>
      <c r="P75" s="14">
        <f t="shared" si="87"/>
        <v>2.4483293633950478E-12</v>
      </c>
      <c r="Q75" s="22">
        <f t="shared" si="54"/>
        <v>4.566883036574213E-12</v>
      </c>
      <c r="R75" s="62">
        <f t="shared" si="55"/>
        <v>293.33333333333786</v>
      </c>
      <c r="S75" s="62">
        <f ca="1">AVERAGE(OFFSET($R$3,0,0,'Données projet'!$E$9+1,1))-AVERAGE(OFFSET($H$3,0,0,'Données projet'!$E$9+1,1))</f>
        <v>321.23599968992932</v>
      </c>
      <c r="T75" s="62">
        <f t="shared" si="88"/>
        <v>388.05195847800502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3.5080911772227883</v>
      </c>
      <c r="AB75" s="23">
        <f>EXP(-LN(2)/2)*AB74+(1-EXP(-LN(2)/2))/(LN(2)/2)*V75*Y75*VLOOKUP('Données projet'!$B$9,Paramètres!$A$1:$I$89,3,0)*0.475*44/12</f>
        <v>8.351621466862069E-6</v>
      </c>
      <c r="AC75" s="24">
        <f t="shared" si="57"/>
        <v>3.5080995288442551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1.9895196601282805E-13</v>
      </c>
      <c r="O76" s="14">
        <f>N76*VLOOKUP('Données projet'!$B$9,Paramètres!$A$1:$I$89,3,0)*VLOOKUP('Données projet'!$B$9,Paramètres!$A$1:$I$89,5,0)</f>
        <v>1.738044375088066E-13</v>
      </c>
      <c r="P76" s="14">
        <f t="shared" si="87"/>
        <v>2.4483293633950478E-12</v>
      </c>
      <c r="Q76" s="22">
        <f t="shared" si="54"/>
        <v>4.566883036574213E-12</v>
      </c>
      <c r="R76" s="62">
        <f t="shared" si="55"/>
        <v>293.33333333333786</v>
      </c>
      <c r="S76" s="62">
        <f ca="1">AVERAGE(OFFSET($R$3,0,0,'Données projet'!$E$9+1,1))-AVERAGE(OFFSET($H$3,0,0,'Données projet'!$E$9+1,1))</f>
        <v>321.23599968992932</v>
      </c>
      <c r="T76" s="62">
        <f t="shared" si="88"/>
        <v>388.05195847800502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3.4121622394991338</v>
      </c>
      <c r="AB76" s="23">
        <f>EXP(-LN(2)/2)*AB75+(1-EXP(-LN(2)/2))/(LN(2)/2)*V76*Y76*VLOOKUP('Données projet'!$B$9,Paramètres!$A$1:$I$89,3,0)*0.475*44/12</f>
        <v>5.9054881731213102E-6</v>
      </c>
      <c r="AC76" s="24">
        <f t="shared" si="57"/>
        <v>3.4121681449873069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1.9895196601282805E-13</v>
      </c>
      <c r="O77" s="14">
        <f>N77*VLOOKUP('Données projet'!$B$9,Paramètres!$A$1:$I$89,3,0)*VLOOKUP('Données projet'!$B$9,Paramètres!$A$1:$I$89,5,0)</f>
        <v>1.738044375088066E-13</v>
      </c>
      <c r="P77" s="14">
        <f t="shared" si="87"/>
        <v>2.4483293633950478E-12</v>
      </c>
      <c r="Q77" s="22">
        <f t="shared" si="54"/>
        <v>4.566883036574213E-12</v>
      </c>
      <c r="R77" s="62">
        <f t="shared" si="55"/>
        <v>293.33333333333786</v>
      </c>
      <c r="S77" s="62">
        <f ca="1">AVERAGE(OFFSET($R$3,0,0,'Données projet'!$E$9+1,1))-AVERAGE(OFFSET($H$3,0,0,'Données projet'!$E$9+1,1))</f>
        <v>321.23599968992932</v>
      </c>
      <c r="T77" s="62">
        <f t="shared" si="88"/>
        <v>388.05195847800502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3.3188564836222163</v>
      </c>
      <c r="AB77" s="23">
        <f>EXP(-LN(2)/2)*AB76+(1-EXP(-LN(2)/2))/(LN(2)/2)*V77*Y77*VLOOKUP('Données projet'!$B$9,Paramètres!$A$1:$I$89,3,0)*0.475*44/12</f>
        <v>4.1758107334310345E-6</v>
      </c>
      <c r="AC77" s="24">
        <f t="shared" si="57"/>
        <v>3.3188606594329499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1.9895196601282805E-13</v>
      </c>
      <c r="O78" s="14">
        <f>N78*VLOOKUP('Données projet'!$B$9,Paramètres!$A$1:$I$89,3,0)*VLOOKUP('Données projet'!$B$9,Paramètres!$A$1:$I$89,5,0)</f>
        <v>1.738044375088066E-13</v>
      </c>
      <c r="P78" s="14">
        <f t="shared" si="87"/>
        <v>2.4483293633950478E-12</v>
      </c>
      <c r="Q78" s="22">
        <f t="shared" si="54"/>
        <v>4.566883036574213E-12</v>
      </c>
      <c r="R78" s="62">
        <f t="shared" si="55"/>
        <v>293.33333333333786</v>
      </c>
      <c r="S78" s="62">
        <f ca="1">AVERAGE(OFFSET($R$3,0,0,'Données projet'!$E$9+1,1))-AVERAGE(OFFSET($H$3,0,0,'Données projet'!$E$9+1,1))</f>
        <v>321.23599968992932</v>
      </c>
      <c r="T78" s="62">
        <f t="shared" si="88"/>
        <v>388.05195847800502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3.2281021785464898</v>
      </c>
      <c r="AB78" s="23">
        <f>EXP(-LN(2)/2)*AB77+(1-EXP(-LN(2)/2))/(LN(2)/2)*V78*Y78*VLOOKUP('Données projet'!$B$9,Paramètres!$A$1:$I$89,3,0)*0.475*44/12</f>
        <v>2.9527440865606551E-6</v>
      </c>
      <c r="AC78" s="24">
        <f t="shared" si="57"/>
        <v>3.2281051312905764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1.9895196601282805E-13</v>
      </c>
      <c r="O79" s="14">
        <f>N79*VLOOKUP('Données projet'!$B$9,Paramètres!$A$1:$I$89,3,0)*VLOOKUP('Données projet'!$B$9,Paramètres!$A$1:$I$89,5,0)</f>
        <v>1.738044375088066E-13</v>
      </c>
      <c r="P79" s="14">
        <f t="shared" si="87"/>
        <v>2.4483293633950478E-12</v>
      </c>
      <c r="Q79" s="22">
        <f t="shared" si="54"/>
        <v>4.566883036574213E-12</v>
      </c>
      <c r="R79" s="62">
        <f t="shared" si="55"/>
        <v>293.33333333333786</v>
      </c>
      <c r="S79" s="62">
        <f ca="1">AVERAGE(OFFSET($R$3,0,0,'Données projet'!$E$9+1,1))-AVERAGE(OFFSET($H$3,0,0,'Données projet'!$E$9+1,1))</f>
        <v>321.23599968992932</v>
      </c>
      <c r="T79" s="62">
        <f t="shared" si="88"/>
        <v>388.05195847800502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3.1398295547156203</v>
      </c>
      <c r="AB79" s="23">
        <f>EXP(-LN(2)/2)*AB78+(1-EXP(-LN(2)/2))/(LN(2)/2)*V79*Y79*VLOOKUP('Données projet'!$B$9,Paramètres!$A$1:$I$89,3,0)*0.475*44/12</f>
        <v>2.0879053667155173E-6</v>
      </c>
      <c r="AC79" s="24">
        <f t="shared" si="57"/>
        <v>3.1398316426209871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1.9895196601282805E-13</v>
      </c>
      <c r="O80" s="14">
        <f>N80*VLOOKUP('Données projet'!$B$9,Paramètres!$A$1:$I$89,3,0)*VLOOKUP('Données projet'!$B$9,Paramètres!$A$1:$I$89,5,0)</f>
        <v>1.738044375088066E-13</v>
      </c>
      <c r="P80" s="14">
        <f t="shared" si="87"/>
        <v>2.4483293633950478E-12</v>
      </c>
      <c r="Q80" s="22">
        <f t="shared" si="54"/>
        <v>4.566883036574213E-12</v>
      </c>
      <c r="R80" s="62">
        <f t="shared" si="55"/>
        <v>293.33333333333786</v>
      </c>
      <c r="S80" s="62">
        <f ca="1">AVERAGE(OFFSET($R$3,0,0,'Données projet'!$E$9+1,1))-AVERAGE(OFFSET($H$3,0,0,'Données projet'!$E$9+1,1))</f>
        <v>321.23599968992932</v>
      </c>
      <c r="T80" s="62">
        <f t="shared" si="88"/>
        <v>388.05195847800502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3.0539707504254614</v>
      </c>
      <c r="AB80" s="23">
        <f>EXP(-LN(2)/2)*AB79+(1-EXP(-LN(2)/2))/(LN(2)/2)*V80*Y80*VLOOKUP('Données projet'!$B$9,Paramètres!$A$1:$I$89,3,0)*0.475*44/12</f>
        <v>1.4763720432803275E-6</v>
      </c>
      <c r="AC80" s="24">
        <f t="shared" si="57"/>
        <v>3.0539722267975047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1.9895196601282805E-13</v>
      </c>
      <c r="O81" s="14">
        <f>N81*VLOOKUP('Données projet'!$B$9,Paramètres!$A$1:$I$89,3,0)*VLOOKUP('Données projet'!$B$9,Paramètres!$A$1:$I$89,5,0)</f>
        <v>1.738044375088066E-13</v>
      </c>
      <c r="P81" s="14">
        <f t="shared" si="87"/>
        <v>2.4483293633950478E-12</v>
      </c>
      <c r="Q81" s="22">
        <f t="shared" si="54"/>
        <v>4.566883036574213E-12</v>
      </c>
      <c r="R81" s="62">
        <f t="shared" si="55"/>
        <v>293.33333333333786</v>
      </c>
      <c r="S81" s="62">
        <f ca="1">AVERAGE(OFFSET($R$3,0,0,'Données projet'!$E$9+1,1))-AVERAGE(OFFSET($H$3,0,0,'Données projet'!$E$9+1,1))</f>
        <v>321.23599968992932</v>
      </c>
      <c r="T81" s="62">
        <f t="shared" si="88"/>
        <v>388.05195847800502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2.9704597596537354</v>
      </c>
      <c r="AB81" s="23">
        <f>EXP(-LN(2)/2)*AB80+(1-EXP(-LN(2)/2))/(LN(2)/2)*V81*Y81*VLOOKUP('Données projet'!$B$9,Paramètres!$A$1:$I$89,3,0)*0.475*44/12</f>
        <v>1.0439526833577586E-6</v>
      </c>
      <c r="AC81" s="24">
        <f t="shared" si="57"/>
        <v>2.9704608036064188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1.9895196601282805E-13</v>
      </c>
      <c r="O82" s="14">
        <f>N82*VLOOKUP('Données projet'!$B$9,Paramètres!$A$1:$I$89,3,0)*VLOOKUP('Données projet'!$B$9,Paramètres!$A$1:$I$89,5,0)</f>
        <v>1.738044375088066E-13</v>
      </c>
      <c r="P82" s="14">
        <f t="shared" si="87"/>
        <v>2.4483293633950478E-12</v>
      </c>
      <c r="Q82" s="22">
        <f t="shared" si="54"/>
        <v>4.566883036574213E-12</v>
      </c>
      <c r="R82" s="62">
        <f t="shared" si="55"/>
        <v>293.33333333333786</v>
      </c>
      <c r="S82" s="62">
        <f ca="1">AVERAGE(OFFSET($R$3,0,0,'Données projet'!$E$9+1,1))-AVERAGE(OFFSET($H$3,0,0,'Données projet'!$E$9+1,1))</f>
        <v>321.23599968992932</v>
      </c>
      <c r="T82" s="62">
        <f t="shared" si="88"/>
        <v>388.05195847800502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2.8892323813163143</v>
      </c>
      <c r="AB82" s="23">
        <f>EXP(-LN(2)/2)*AB81+(1-EXP(-LN(2)/2))/(LN(2)/2)*V82*Y82*VLOOKUP('Données projet'!$B$9,Paramètres!$A$1:$I$89,3,0)*0.475*44/12</f>
        <v>7.3818602164016377E-7</v>
      </c>
      <c r="AC82" s="24">
        <f t="shared" si="57"/>
        <v>2.889233119502336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1.9895196601282805E-13</v>
      </c>
      <c r="O83" s="14">
        <f>N83*VLOOKUP('Données projet'!$B$9,Paramètres!$A$1:$I$89,3,0)*VLOOKUP('Données projet'!$B$9,Paramètres!$A$1:$I$89,5,0)</f>
        <v>1.738044375088066E-13</v>
      </c>
      <c r="P83" s="14">
        <f t="shared" si="87"/>
        <v>2.4483293633950478E-12</v>
      </c>
      <c r="Q83" s="22">
        <f t="shared" si="54"/>
        <v>4.566883036574213E-12</v>
      </c>
      <c r="R83" s="62">
        <f t="shared" si="55"/>
        <v>293.33333333333786</v>
      </c>
      <c r="S83" s="62">
        <f ca="1">AVERAGE(OFFSET($R$3,0,0,'Données projet'!$E$9+1,1))-AVERAGE(OFFSET($H$3,0,0,'Données projet'!$E$9+1,1))</f>
        <v>321.23599968992932</v>
      </c>
      <c r="T83" s="62">
        <f t="shared" si="88"/>
        <v>388.05195847800502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2.8102261699110924</v>
      </c>
      <c r="AB83" s="23">
        <f>EXP(-LN(2)/2)*AB82+(1-EXP(-LN(2)/2))/(LN(2)/2)*V83*Y83*VLOOKUP('Données projet'!$B$9,Paramètres!$A$1:$I$89,3,0)*0.475*44/12</f>
        <v>5.2197634167887931E-7</v>
      </c>
      <c r="AC83" s="24">
        <f t="shared" si="57"/>
        <v>2.8102266918874341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1.9895196601282805E-13</v>
      </c>
      <c r="O84" s="14">
        <f>N84*VLOOKUP('Données projet'!$B$9,Paramètres!$A$1:$I$89,3,0)*VLOOKUP('Données projet'!$B$9,Paramètres!$A$1:$I$89,5,0)</f>
        <v>1.738044375088066E-13</v>
      </c>
      <c r="P84" s="14">
        <f t="shared" si="87"/>
        <v>2.4483293633950478E-12</v>
      </c>
      <c r="Q84" s="22">
        <f t="shared" si="54"/>
        <v>4.566883036574213E-12</v>
      </c>
      <c r="R84" s="62">
        <f t="shared" si="55"/>
        <v>293.33333333333786</v>
      </c>
      <c r="S84" s="62">
        <f ca="1">AVERAGE(OFFSET($R$3,0,0,'Données projet'!$E$9+1,1))-AVERAGE(OFFSET($H$3,0,0,'Données projet'!$E$9+1,1))</f>
        <v>321.23599968992932</v>
      </c>
      <c r="T84" s="62">
        <f t="shared" si="88"/>
        <v>388.05195847800502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2.7333803875115024</v>
      </c>
      <c r="AB84" s="23">
        <f>EXP(-LN(2)/2)*AB83+(1-EXP(-LN(2)/2))/(LN(2)/2)*V84*Y84*VLOOKUP('Données projet'!$B$9,Paramètres!$A$1:$I$89,3,0)*0.475*44/12</f>
        <v>3.6909301082008189E-7</v>
      </c>
      <c r="AC84" s="24">
        <f t="shared" si="57"/>
        <v>2.7333807566045132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1.9895196601282805E-13</v>
      </c>
      <c r="O85" s="14">
        <f>N85*VLOOKUP('Données projet'!$B$9,Paramètres!$A$1:$I$89,3,0)*VLOOKUP('Données projet'!$B$9,Paramètres!$A$1:$I$89,5,0)</f>
        <v>1.738044375088066E-13</v>
      </c>
      <c r="P85" s="14">
        <f t="shared" si="87"/>
        <v>2.4483293633950478E-12</v>
      </c>
      <c r="Q85" s="22">
        <f t="shared" si="54"/>
        <v>4.566883036574213E-12</v>
      </c>
      <c r="R85" s="62">
        <f t="shared" si="55"/>
        <v>293.33333333333786</v>
      </c>
      <c r="S85" s="62">
        <f ca="1">AVERAGE(OFFSET($R$3,0,0,'Données projet'!$E$9+1,1))-AVERAGE(OFFSET($H$3,0,0,'Données projet'!$E$9+1,1))</f>
        <v>321.23599968992932</v>
      </c>
      <c r="T85" s="62">
        <f t="shared" si="88"/>
        <v>388.05195847800502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2.6586359570727729</v>
      </c>
      <c r="AB85" s="23">
        <f>EXP(-LN(2)/2)*AB84+(1-EXP(-LN(2)/2))/(LN(2)/2)*V85*Y85*VLOOKUP('Données projet'!$B$9,Paramètres!$A$1:$I$89,3,0)*0.475*44/12</f>
        <v>2.6098817083943966E-7</v>
      </c>
      <c r="AC85" s="24">
        <f t="shared" si="57"/>
        <v>2.6586362180609435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1.9895196601282805E-13</v>
      </c>
      <c r="O86" s="14">
        <f>N86*VLOOKUP('Données projet'!$B$9,Paramètres!$A$1:$I$89,3,0)*VLOOKUP('Données projet'!$B$9,Paramètres!$A$1:$I$89,5,0)</f>
        <v>1.738044375088066E-13</v>
      </c>
      <c r="P86" s="14">
        <f t="shared" si="87"/>
        <v>2.4483293633950478E-12</v>
      </c>
      <c r="Q86" s="22">
        <f t="shared" si="54"/>
        <v>4.566883036574213E-12</v>
      </c>
      <c r="R86" s="62">
        <f t="shared" si="55"/>
        <v>293.33333333333786</v>
      </c>
      <c r="S86" s="62">
        <f ca="1">AVERAGE(OFFSET($R$3,0,0,'Données projet'!$E$9+1,1))-AVERAGE(OFFSET($H$3,0,0,'Données projet'!$E$9+1,1))</f>
        <v>321.23599968992932</v>
      </c>
      <c r="T86" s="62">
        <f t="shared" si="88"/>
        <v>388.05195847800502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2.5859354170150293</v>
      </c>
      <c r="AB86" s="23">
        <f>EXP(-LN(2)/2)*AB85+(1-EXP(-LN(2)/2))/(LN(2)/2)*V86*Y86*VLOOKUP('Données projet'!$B$9,Paramètres!$A$1:$I$89,3,0)*0.475*44/12</f>
        <v>1.8454650541004094E-7</v>
      </c>
      <c r="AC86" s="24">
        <f t="shared" si="57"/>
        <v>2.5859356015615345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1.9895196601282805E-13</v>
      </c>
      <c r="O87" s="14">
        <f>N87*VLOOKUP('Données projet'!$B$9,Paramètres!$A$1:$I$89,3,0)*VLOOKUP('Données projet'!$B$9,Paramètres!$A$1:$I$89,5,0)</f>
        <v>1.738044375088066E-13</v>
      </c>
      <c r="P87" s="14">
        <f t="shared" si="87"/>
        <v>2.4483293633950478E-12</v>
      </c>
      <c r="Q87" s="22">
        <f t="shared" si="54"/>
        <v>4.566883036574213E-12</v>
      </c>
      <c r="R87" s="62">
        <f t="shared" si="55"/>
        <v>293.33333333333786</v>
      </c>
      <c r="S87" s="62">
        <f ca="1">AVERAGE(OFFSET($R$3,0,0,'Données projet'!$E$9+1,1))-AVERAGE(OFFSET($H$3,0,0,'Données projet'!$E$9+1,1))</f>
        <v>321.23599968992932</v>
      </c>
      <c r="T87" s="62">
        <f t="shared" si="88"/>
        <v>388.05195847800502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2.5152228770483198</v>
      </c>
      <c r="AB87" s="23">
        <f>EXP(-LN(2)/2)*AB86+(1-EXP(-LN(2)/2))/(LN(2)/2)*V87*Y87*VLOOKUP('Données projet'!$B$9,Paramètres!$A$1:$I$89,3,0)*0.475*44/12</f>
        <v>1.3049408541971983E-7</v>
      </c>
      <c r="AC87" s="24">
        <f t="shared" si="57"/>
        <v>2.5152230075424051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1.9895196601282805E-13</v>
      </c>
      <c r="O88" s="14">
        <f>N88*VLOOKUP('Données projet'!$B$9,Paramètres!$A$1:$I$89,3,0)*VLOOKUP('Données projet'!$B$9,Paramètres!$A$1:$I$89,5,0)</f>
        <v>1.738044375088066E-13</v>
      </c>
      <c r="P88" s="14">
        <f t="shared" si="87"/>
        <v>2.4483293633950478E-12</v>
      </c>
      <c r="Q88" s="22">
        <f t="shared" si="54"/>
        <v>4.566883036574213E-12</v>
      </c>
      <c r="R88" s="62">
        <f t="shared" si="55"/>
        <v>293.33333333333786</v>
      </c>
      <c r="S88" s="62">
        <f ca="1">AVERAGE(OFFSET($R$3,0,0,'Données projet'!$E$9+1,1))-AVERAGE(OFFSET($H$3,0,0,'Données projet'!$E$9+1,1))</f>
        <v>321.23599968992932</v>
      </c>
      <c r="T88" s="62">
        <f t="shared" si="88"/>
        <v>388.05195847800502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2.4464439752056109</v>
      </c>
      <c r="AB88" s="23">
        <f>EXP(-LN(2)/2)*AB87+(1-EXP(-LN(2)/2))/(LN(2)/2)*V88*Y88*VLOOKUP('Données projet'!$B$9,Paramètres!$A$1:$I$89,3,0)*0.475*44/12</f>
        <v>9.2273252705020471E-8</v>
      </c>
      <c r="AC88" s="24">
        <f t="shared" si="57"/>
        <v>2.4464440674788634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1.9895196601282805E-13</v>
      </c>
      <c r="O89" s="14">
        <f>N89*VLOOKUP('Données projet'!$B$9,Paramètres!$A$1:$I$89,3,0)*VLOOKUP('Données projet'!$B$9,Paramètres!$A$1:$I$89,5,0)</f>
        <v>1.738044375088066E-13</v>
      </c>
      <c r="P89" s="14">
        <f t="shared" si="87"/>
        <v>2.4483293633950478E-12</v>
      </c>
      <c r="Q89" s="22">
        <f t="shared" si="54"/>
        <v>4.566883036574213E-12</v>
      </c>
      <c r="R89" s="62">
        <f t="shared" si="55"/>
        <v>293.33333333333786</v>
      </c>
      <c r="S89" s="62">
        <f ca="1">AVERAGE(OFFSET($R$3,0,0,'Données projet'!$E$9+1,1))-AVERAGE(OFFSET($H$3,0,0,'Données projet'!$E$9+1,1))</f>
        <v>321.23599968992932</v>
      </c>
      <c r="T89" s="62">
        <f t="shared" si="88"/>
        <v>388.05195847800502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2.379545836050716</v>
      </c>
      <c r="AB89" s="23">
        <f>EXP(-LN(2)/2)*AB88+(1-EXP(-LN(2)/2))/(LN(2)/2)*V89*Y89*VLOOKUP('Données projet'!$B$9,Paramètres!$A$1:$I$89,3,0)*0.475*44/12</f>
        <v>6.5247042709859914E-8</v>
      </c>
      <c r="AC89" s="24">
        <f t="shared" si="57"/>
        <v>2.3795459012977589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1.9895196601282805E-13</v>
      </c>
      <c r="O90" s="14">
        <f>N90*VLOOKUP('Données projet'!$B$9,Paramètres!$A$1:$I$89,3,0)*VLOOKUP('Données projet'!$B$9,Paramètres!$A$1:$I$89,5,0)</f>
        <v>1.738044375088066E-13</v>
      </c>
      <c r="P90" s="14">
        <f t="shared" si="87"/>
        <v>2.4483293633950478E-12</v>
      </c>
      <c r="Q90" s="22">
        <f t="shared" si="54"/>
        <v>4.566883036574213E-12</v>
      </c>
      <c r="R90" s="62">
        <f t="shared" si="55"/>
        <v>293.33333333333786</v>
      </c>
      <c r="S90" s="62">
        <f ca="1">AVERAGE(OFFSET($R$3,0,0,'Données projet'!$E$9+1,1))-AVERAGE(OFFSET($H$3,0,0,'Données projet'!$E$9+1,1))</f>
        <v>321.23599968992932</v>
      </c>
      <c r="T90" s="62">
        <f t="shared" si="88"/>
        <v>388.05195847800502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2.3144770300290323</v>
      </c>
      <c r="AB90" s="23">
        <f>EXP(-LN(2)/2)*AB89+(1-EXP(-LN(2)/2))/(LN(2)/2)*V90*Y90*VLOOKUP('Données projet'!$B$9,Paramètres!$A$1:$I$89,3,0)*0.475*44/12</f>
        <v>4.6136626352510236E-8</v>
      </c>
      <c r="AC90" s="24">
        <f t="shared" si="57"/>
        <v>2.3144770761656588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1.9895196601282805E-13</v>
      </c>
      <c r="O91" s="14">
        <f>N91*VLOOKUP('Données projet'!$B$9,Paramètres!$A$1:$I$89,3,0)*VLOOKUP('Données projet'!$B$9,Paramètres!$A$1:$I$89,5,0)</f>
        <v>1.738044375088066E-13</v>
      </c>
      <c r="P91" s="14">
        <f t="shared" si="87"/>
        <v>2.4483293633950478E-12</v>
      </c>
      <c r="Q91" s="22">
        <f t="shared" si="54"/>
        <v>4.566883036574213E-12</v>
      </c>
      <c r="R91" s="62">
        <f t="shared" si="55"/>
        <v>293.33333333333786</v>
      </c>
      <c r="S91" s="62">
        <f ca="1">AVERAGE(OFFSET($R$3,0,0,'Données projet'!$E$9+1,1))-AVERAGE(OFFSET($H$3,0,0,'Données projet'!$E$9+1,1))</f>
        <v>321.23599968992932</v>
      </c>
      <c r="T91" s="62">
        <f t="shared" si="88"/>
        <v>388.05195847800502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2.2511875339298313</v>
      </c>
      <c r="AB91" s="23">
        <f>EXP(-LN(2)/2)*AB90+(1-EXP(-LN(2)/2))/(LN(2)/2)*V91*Y91*VLOOKUP('Données projet'!$B$9,Paramètres!$A$1:$I$89,3,0)*0.475*44/12</f>
        <v>3.2623521354929957E-8</v>
      </c>
      <c r="AC91" s="24">
        <f t="shared" si="57"/>
        <v>2.2511875665533525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1.9895196601282805E-13</v>
      </c>
      <c r="O92" s="14">
        <f>N92*VLOOKUP('Données projet'!$B$9,Paramètres!$A$1:$I$89,3,0)*VLOOKUP('Données projet'!$B$9,Paramètres!$A$1:$I$89,5,0)</f>
        <v>1.738044375088066E-13</v>
      </c>
      <c r="P92" s="14">
        <f t="shared" si="87"/>
        <v>2.4483293633950478E-12</v>
      </c>
      <c r="Q92" s="22">
        <f t="shared" si="54"/>
        <v>4.566883036574213E-12</v>
      </c>
      <c r="R92" s="62">
        <f t="shared" si="55"/>
        <v>293.33333333333786</v>
      </c>
      <c r="S92" s="62">
        <f ca="1">AVERAGE(OFFSET($R$3,0,0,'Données projet'!$E$9+1,1))-AVERAGE(OFFSET($H$3,0,0,'Données projet'!$E$9+1,1))</f>
        <v>321.23599968992932</v>
      </c>
      <c r="T92" s="62">
        <f t="shared" si="88"/>
        <v>388.05195847800502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2.1896286924297126</v>
      </c>
      <c r="AB92" s="23">
        <f>EXP(-LN(2)/2)*AB91+(1-EXP(-LN(2)/2))/(LN(2)/2)*V92*Y92*VLOOKUP('Données projet'!$B$9,Paramètres!$A$1:$I$89,3,0)*0.475*44/12</f>
        <v>2.3068313176255118E-8</v>
      </c>
      <c r="AC92" s="24">
        <f t="shared" si="57"/>
        <v>2.1896287154980256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1.9895196601282805E-13</v>
      </c>
      <c r="O93" s="14">
        <f>N93*VLOOKUP('Données projet'!$B$9,Paramètres!$A$1:$I$89,3,0)*VLOOKUP('Données projet'!$B$9,Paramètres!$A$1:$I$89,5,0)</f>
        <v>1.738044375088066E-13</v>
      </c>
      <c r="P93" s="14">
        <f t="shared" si="87"/>
        <v>2.4483293633950478E-12</v>
      </c>
      <c r="Q93" s="22">
        <f t="shared" si="54"/>
        <v>4.566883036574213E-12</v>
      </c>
      <c r="R93" s="62">
        <f t="shared" si="55"/>
        <v>293.33333333333786</v>
      </c>
      <c r="S93" s="62">
        <f ca="1">AVERAGE(OFFSET($R$3,0,0,'Données projet'!$E$9+1,1))-AVERAGE(OFFSET($H$3,0,0,'Données projet'!$E$9+1,1))</f>
        <v>321.23599968992932</v>
      </c>
      <c r="T93" s="62">
        <f t="shared" si="88"/>
        <v>388.05195847800502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2.1297531806876537</v>
      </c>
      <c r="AB93" s="23">
        <f>EXP(-LN(2)/2)*AB92+(1-EXP(-LN(2)/2))/(LN(2)/2)*V93*Y93*VLOOKUP('Données projet'!$B$9,Paramètres!$A$1:$I$89,3,0)*0.475*44/12</f>
        <v>1.6311760677464979E-8</v>
      </c>
      <c r="AC93" s="24">
        <f t="shared" si="57"/>
        <v>2.1297531969994146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1.9895196601282805E-13</v>
      </c>
      <c r="O94" s="14">
        <f>N94*VLOOKUP('Données projet'!$B$9,Paramètres!$A$1:$I$89,3,0)*VLOOKUP('Données projet'!$B$9,Paramètres!$A$1:$I$89,5,0)</f>
        <v>1.738044375088066E-13</v>
      </c>
      <c r="P94" s="14">
        <f t="shared" si="87"/>
        <v>2.4483293633950478E-12</v>
      </c>
      <c r="Q94" s="22">
        <f t="shared" si="54"/>
        <v>4.566883036574213E-12</v>
      </c>
      <c r="R94" s="62">
        <f t="shared" si="55"/>
        <v>293.33333333333786</v>
      </c>
      <c r="S94" s="62">
        <f ca="1">AVERAGE(OFFSET($R$3,0,0,'Données projet'!$E$9+1,1))-AVERAGE(OFFSET($H$3,0,0,'Données projet'!$E$9+1,1))</f>
        <v>321.23599968992932</v>
      </c>
      <c r="T94" s="62">
        <f t="shared" si="88"/>
        <v>388.05195847800502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2.0715149679628975</v>
      </c>
      <c r="AB94" s="23">
        <f>EXP(-LN(2)/2)*AB93+(1-EXP(-LN(2)/2))/(LN(2)/2)*V94*Y94*VLOOKUP('Données projet'!$B$9,Paramètres!$A$1:$I$89,3,0)*0.475*44/12</f>
        <v>1.1534156588127559E-8</v>
      </c>
      <c r="AC94" s="24">
        <f t="shared" si="57"/>
        <v>2.0715149794970542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1.9895196601282805E-13</v>
      </c>
      <c r="O95" s="14">
        <f>N95*VLOOKUP('Données projet'!$B$9,Paramètres!$A$1:$I$89,3,0)*VLOOKUP('Données projet'!$B$9,Paramètres!$A$1:$I$89,5,0)</f>
        <v>1.738044375088066E-13</v>
      </c>
      <c r="P95" s="14">
        <f t="shared" si="87"/>
        <v>2.4483293633950478E-12</v>
      </c>
      <c r="Q95" s="22">
        <f t="shared" si="54"/>
        <v>4.566883036574213E-12</v>
      </c>
      <c r="R95" s="62">
        <f t="shared" si="55"/>
        <v>293.33333333333786</v>
      </c>
      <c r="S95" s="62">
        <f ca="1">AVERAGE(OFFSET($R$3,0,0,'Données projet'!$E$9+1,1))-AVERAGE(OFFSET($H$3,0,0,'Données projet'!$E$9+1,1))</f>
        <v>321.23599968992932</v>
      </c>
      <c r="T95" s="62">
        <f t="shared" si="88"/>
        <v>388.05195847800502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2.0148692822277146</v>
      </c>
      <c r="AB95" s="23">
        <f>EXP(-LN(2)/2)*AB94+(1-EXP(-LN(2)/2))/(LN(2)/2)*V95*Y95*VLOOKUP('Données projet'!$B$9,Paramètres!$A$1:$I$89,3,0)*0.475*44/12</f>
        <v>8.1558803387324893E-9</v>
      </c>
      <c r="AC95" s="24">
        <f t="shared" si="57"/>
        <v>2.014869290383595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1.9895196601282805E-13</v>
      </c>
      <c r="O96" s="14">
        <f>N96*VLOOKUP('Données projet'!$B$9,Paramètres!$A$1:$I$89,3,0)*VLOOKUP('Données projet'!$B$9,Paramètres!$A$1:$I$89,5,0)</f>
        <v>1.738044375088066E-13</v>
      </c>
      <c r="P96" s="14">
        <f t="shared" si="87"/>
        <v>2.4483293633950478E-12</v>
      </c>
      <c r="Q96" s="22">
        <f t="shared" si="54"/>
        <v>4.566883036574213E-12</v>
      </c>
      <c r="R96" s="62">
        <f t="shared" si="55"/>
        <v>293.33333333333786</v>
      </c>
      <c r="S96" s="62">
        <f ca="1">AVERAGE(OFFSET($R$3,0,0,'Données projet'!$E$9+1,1))-AVERAGE(OFFSET($H$3,0,0,'Données projet'!$E$9+1,1))</f>
        <v>321.23599968992932</v>
      </c>
      <c r="T96" s="62">
        <f t="shared" si="88"/>
        <v>388.05195847800502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1.9597725757478273</v>
      </c>
      <c r="AB96" s="23">
        <f>EXP(-LN(2)/2)*AB95+(1-EXP(-LN(2)/2))/(LN(2)/2)*V96*Y96*VLOOKUP('Données projet'!$B$9,Paramètres!$A$1:$I$89,3,0)*0.475*44/12</f>
        <v>5.7670782940637795E-9</v>
      </c>
      <c r="AC96" s="24">
        <f t="shared" si="57"/>
        <v>1.9597725815149056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1.9895196601282805E-13</v>
      </c>
      <c r="O97" s="14">
        <f>N97*VLOOKUP('Données projet'!$B$9,Paramètres!$A$1:$I$89,3,0)*VLOOKUP('Données projet'!$B$9,Paramètres!$A$1:$I$89,5,0)</f>
        <v>1.738044375088066E-13</v>
      </c>
      <c r="P97" s="14">
        <f t="shared" si="87"/>
        <v>2.4483293633950478E-12</v>
      </c>
      <c r="Q97" s="22">
        <f t="shared" si="54"/>
        <v>4.566883036574213E-12</v>
      </c>
      <c r="R97" s="62">
        <f t="shared" si="55"/>
        <v>293.33333333333786</v>
      </c>
      <c r="S97" s="62">
        <f ca="1">AVERAGE(OFFSET($R$3,0,0,'Données projet'!$E$9+1,1))-AVERAGE(OFFSET($H$3,0,0,'Données projet'!$E$9+1,1))</f>
        <v>321.23599968992932</v>
      </c>
      <c r="T97" s="62">
        <f t="shared" si="88"/>
        <v>388.05195847800502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1.9061824916040422</v>
      </c>
      <c r="AB97" s="23">
        <f>EXP(-LN(2)/2)*AB96+(1-EXP(-LN(2)/2))/(LN(2)/2)*V97*Y97*VLOOKUP('Données projet'!$B$9,Paramètres!$A$1:$I$89,3,0)*0.475*44/12</f>
        <v>4.0779401693662446E-9</v>
      </c>
      <c r="AC97" s="24">
        <f t="shared" si="57"/>
        <v>1.9061824956819824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1.9895196601282805E-13</v>
      </c>
      <c r="O98" s="14">
        <f>N98*VLOOKUP('Données projet'!$B$9,Paramètres!$A$1:$I$89,3,0)*VLOOKUP('Données projet'!$B$9,Paramètres!$A$1:$I$89,5,0)</f>
        <v>1.738044375088066E-13</v>
      </c>
      <c r="P98" s="14">
        <f t="shared" si="87"/>
        <v>2.4483293633950478E-12</v>
      </c>
      <c r="Q98" s="22">
        <f t="shared" si="54"/>
        <v>4.566883036574213E-12</v>
      </c>
      <c r="R98" s="62">
        <f t="shared" si="55"/>
        <v>293.33333333333786</v>
      </c>
      <c r="S98" s="62">
        <f ca="1">AVERAGE(OFFSET($R$3,0,0,'Données projet'!$E$9+1,1))-AVERAGE(OFFSET($H$3,0,0,'Données projet'!$E$9+1,1))</f>
        <v>321.23599968992932</v>
      </c>
      <c r="T98" s="62">
        <f t="shared" si="88"/>
        <v>388.05195847800502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1.854057831129349</v>
      </c>
      <c r="AB98" s="23">
        <f>EXP(-LN(2)/2)*AB97+(1-EXP(-LN(2)/2))/(LN(2)/2)*V98*Y98*VLOOKUP('Données projet'!$B$9,Paramètres!$A$1:$I$89,3,0)*0.475*44/12</f>
        <v>2.8835391470318897E-9</v>
      </c>
      <c r="AC98" s="24">
        <f t="shared" si="57"/>
        <v>1.8540578340128882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1.9895196601282805E-13</v>
      </c>
      <c r="O99" s="14">
        <f>N99*VLOOKUP('Données projet'!$B$9,Paramètres!$A$1:$I$89,3,0)*VLOOKUP('Données projet'!$B$9,Paramètres!$A$1:$I$89,5,0)</f>
        <v>1.738044375088066E-13</v>
      </c>
      <c r="P99" s="14">
        <f t="shared" si="87"/>
        <v>2.4483293633950478E-12</v>
      </c>
      <c r="Q99" s="22">
        <f t="shared" ref="Q99:Q130" si="107">(O99+P99)*0.475*44/12</f>
        <v>4.566883036574213E-12</v>
      </c>
      <c r="R99" s="62">
        <f t="shared" si="55"/>
        <v>293.33333333333786</v>
      </c>
      <c r="S99" s="62">
        <f ca="1">AVERAGE(OFFSET($R$3,0,0,'Données projet'!$E$9+1,1))-AVERAGE(OFFSET($H$3,0,0,'Données projet'!$E$9+1,1))</f>
        <v>321.23599968992932</v>
      </c>
      <c r="T99" s="62">
        <f t="shared" si="88"/>
        <v>388.05195847800502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1.803358522236453</v>
      </c>
      <c r="AB99" s="23">
        <f>EXP(-LN(2)/2)*AB98+(1-EXP(-LN(2)/2))/(LN(2)/2)*V99*Y99*VLOOKUP('Données projet'!$B$9,Paramètres!$A$1:$I$89,3,0)*0.475*44/12</f>
        <v>2.0389700846831223E-9</v>
      </c>
      <c r="AC99" s="24">
        <f t="shared" si="57"/>
        <v>1.8033585242754231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1.9895196601282805E-13</v>
      </c>
      <c r="O100" s="14">
        <f>N100*VLOOKUP('Données projet'!$B$9,Paramètres!$A$1:$I$89,3,0)*VLOOKUP('Données projet'!$B$9,Paramètres!$A$1:$I$89,5,0)</f>
        <v>1.738044375088066E-13</v>
      </c>
      <c r="P100" s="14">
        <f t="shared" si="87"/>
        <v>2.4483293633950478E-12</v>
      </c>
      <c r="Q100" s="22">
        <f t="shared" si="107"/>
        <v>4.566883036574213E-12</v>
      </c>
      <c r="R100" s="62">
        <f t="shared" si="55"/>
        <v>293.33333333333786</v>
      </c>
      <c r="S100" s="62">
        <f ca="1">AVERAGE(OFFSET($R$3,0,0,'Données projet'!$E$9+1,1))-AVERAGE(OFFSET($H$3,0,0,'Données projet'!$E$9+1,1))</f>
        <v>321.23599968992932</v>
      </c>
      <c r="T100" s="62">
        <f t="shared" si="88"/>
        <v>388.05195847800502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1.7540455886113941</v>
      </c>
      <c r="AB100" s="23">
        <f>EXP(-LN(2)/2)*AB99+(1-EXP(-LN(2)/2))/(LN(2)/2)*V100*Y100*VLOOKUP('Données projet'!$B$9,Paramètres!$A$1:$I$89,3,0)*0.475*44/12</f>
        <v>1.4417695735159449E-9</v>
      </c>
      <c r="AC100" s="24">
        <f t="shared" si="57"/>
        <v>1.7540455900531637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1.9895196601282805E-13</v>
      </c>
      <c r="O101" s="14">
        <f>N101*VLOOKUP('Données projet'!$B$9,Paramètres!$A$1:$I$89,3,0)*VLOOKUP('Données projet'!$B$9,Paramètres!$A$1:$I$89,5,0)</f>
        <v>1.738044375088066E-13</v>
      </c>
      <c r="P101" s="14">
        <f t="shared" si="87"/>
        <v>2.4483293633950478E-12</v>
      </c>
      <c r="Q101" s="22">
        <f t="shared" si="107"/>
        <v>4.566883036574213E-12</v>
      </c>
      <c r="R101" s="62">
        <f t="shared" si="55"/>
        <v>293.33333333333786</v>
      </c>
      <c r="S101" s="62">
        <f ca="1">AVERAGE(OFFSET($R$3,0,0,'Données projet'!$E$9+1,1))-AVERAGE(OFFSET($H$3,0,0,'Données projet'!$E$9+1,1))</f>
        <v>321.23599968992932</v>
      </c>
      <c r="T101" s="62">
        <f t="shared" si="88"/>
        <v>388.05195847800502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1.7060811197495669</v>
      </c>
      <c r="AB101" s="23">
        <f>EXP(-LN(2)/2)*AB100+(1-EXP(-LN(2)/2))/(LN(2)/2)*V101*Y101*VLOOKUP('Données projet'!$B$9,Paramètres!$A$1:$I$89,3,0)*0.475*44/12</f>
        <v>1.0194850423415612E-9</v>
      </c>
      <c r="AC101" s="24">
        <f t="shared" si="57"/>
        <v>1.7060811207690518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1.9895196601282805E-13</v>
      </c>
      <c r="O102" s="14">
        <f>N102*VLOOKUP('Données projet'!$B$9,Paramètres!$A$1:$I$89,3,0)*VLOOKUP('Données projet'!$B$9,Paramètres!$A$1:$I$89,5,0)</f>
        <v>1.738044375088066E-13</v>
      </c>
      <c r="P102" s="14">
        <f t="shared" si="87"/>
        <v>2.4483293633950478E-12</v>
      </c>
      <c r="Q102" s="22">
        <f t="shared" si="107"/>
        <v>4.566883036574213E-12</v>
      </c>
      <c r="R102" s="62">
        <f t="shared" si="55"/>
        <v>293.33333333333786</v>
      </c>
      <c r="S102" s="62">
        <f ca="1">AVERAGE(OFFSET($R$3,0,0,'Données projet'!$E$9+1,1))-AVERAGE(OFFSET($H$3,0,0,'Données projet'!$E$9+1,1))</f>
        <v>321.23599968992932</v>
      </c>
      <c r="T102" s="62">
        <f t="shared" si="88"/>
        <v>388.05195847800502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1.6594282418111082</v>
      </c>
      <c r="AB102" s="23">
        <f>EXP(-LN(2)/2)*AB101+(1-EXP(-LN(2)/2))/(LN(2)/2)*V102*Y102*VLOOKUP('Données projet'!$B$9,Paramètres!$A$1:$I$89,3,0)*0.475*44/12</f>
        <v>7.2088478675797243E-10</v>
      </c>
      <c r="AC102" s="24">
        <f t="shared" si="57"/>
        <v>1.6594282425319928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1.9895196601282805E-13</v>
      </c>
      <c r="O103" s="14">
        <f>N103*VLOOKUP('Données projet'!$B$9,Paramètres!$A$1:$I$89,3,0)*VLOOKUP('Données projet'!$B$9,Paramètres!$A$1:$I$89,5,0)</f>
        <v>1.738044375088066E-13</v>
      </c>
      <c r="P103" s="14">
        <f t="shared" si="87"/>
        <v>2.4483293633950478E-12</v>
      </c>
      <c r="Q103" s="22">
        <f t="shared" si="107"/>
        <v>4.566883036574213E-12</v>
      </c>
      <c r="R103" s="62">
        <f t="shared" si="55"/>
        <v>293.33333333333786</v>
      </c>
      <c r="S103" s="62">
        <f ca="1">AVERAGE(OFFSET($R$3,0,0,'Données projet'!$E$9+1,1))-AVERAGE(OFFSET($H$3,0,0,'Données projet'!$E$9+1,1))</f>
        <v>321.23599968992932</v>
      </c>
      <c r="T103" s="62">
        <f t="shared" si="88"/>
        <v>388.05195847800502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1.6140510892732449</v>
      </c>
      <c r="AB103" s="23">
        <f>EXP(-LN(2)/2)*AB102+(1-EXP(-LN(2)/2))/(LN(2)/2)*V103*Y103*VLOOKUP('Données projet'!$B$9,Paramètres!$A$1:$I$89,3,0)*0.475*44/12</f>
        <v>5.0974252117078058E-10</v>
      </c>
      <c r="AC103" s="24">
        <f t="shared" si="57"/>
        <v>1.6140510897829874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1.9895196601282805E-13</v>
      </c>
      <c r="O104" s="14">
        <f>N104*VLOOKUP('Données projet'!$B$9,Paramètres!$A$1:$I$89,3,0)*VLOOKUP('Données projet'!$B$9,Paramètres!$A$1:$I$89,5,0)</f>
        <v>1.738044375088066E-13</v>
      </c>
      <c r="P104" s="14">
        <f t="shared" si="87"/>
        <v>2.4483293633950478E-12</v>
      </c>
      <c r="Q104" s="22">
        <f t="shared" si="107"/>
        <v>4.566883036574213E-12</v>
      </c>
      <c r="R104" s="62">
        <f t="shared" si="55"/>
        <v>293.33333333333786</v>
      </c>
      <c r="S104" s="62">
        <f ca="1">AVERAGE(OFFSET($R$3,0,0,'Données projet'!$E$9+1,1))-AVERAGE(OFFSET($H$3,0,0,'Données projet'!$E$9+1,1))</f>
        <v>321.23599968992932</v>
      </c>
      <c r="T104" s="62">
        <f t="shared" si="88"/>
        <v>388.05195847800502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1.5699147773578102</v>
      </c>
      <c r="AB104" s="23">
        <f>EXP(-LN(2)/2)*AB103+(1-EXP(-LN(2)/2))/(LN(2)/2)*V104*Y104*VLOOKUP('Données projet'!$B$9,Paramètres!$A$1:$I$89,3,0)*0.475*44/12</f>
        <v>3.6044239337898622E-10</v>
      </c>
      <c r="AC104" s="24">
        <f t="shared" si="57"/>
        <v>1.5699147777182525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1.9895196601282805E-13</v>
      </c>
      <c r="O105" s="14">
        <f>N105*VLOOKUP('Données projet'!$B$9,Paramètres!$A$1:$I$89,3,0)*VLOOKUP('Données projet'!$B$9,Paramètres!$A$1:$I$89,5,0)</f>
        <v>1.738044375088066E-13</v>
      </c>
      <c r="P105" s="14">
        <f t="shared" si="87"/>
        <v>2.4483293633950478E-12</v>
      </c>
      <c r="Q105" s="22">
        <f t="shared" si="107"/>
        <v>4.566883036574213E-12</v>
      </c>
      <c r="R105" s="62">
        <f t="shared" si="55"/>
        <v>293.33333333333786</v>
      </c>
      <c r="S105" s="62">
        <f ca="1">AVERAGE(OFFSET($R$3,0,0,'Données projet'!$E$9+1,1))-AVERAGE(OFFSET($H$3,0,0,'Données projet'!$E$9+1,1))</f>
        <v>321.23599968992932</v>
      </c>
      <c r="T105" s="62">
        <f t="shared" si="88"/>
        <v>388.05195847800502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1.5269853752127307</v>
      </c>
      <c r="AB105" s="23">
        <f>EXP(-LN(2)/2)*AB104+(1-EXP(-LN(2)/2))/(LN(2)/2)*V105*Y105*VLOOKUP('Données projet'!$B$9,Paramètres!$A$1:$I$89,3,0)*0.475*44/12</f>
        <v>2.5487126058539029E-10</v>
      </c>
      <c r="AC105" s="24">
        <f t="shared" si="57"/>
        <v>1.5269853754676019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1.9895196601282805E-13</v>
      </c>
      <c r="O106" s="14">
        <f>N106*VLOOKUP('Données projet'!$B$9,Paramètres!$A$1:$I$89,3,0)*VLOOKUP('Données projet'!$B$9,Paramètres!$A$1:$I$89,5,0)</f>
        <v>1.738044375088066E-13</v>
      </c>
      <c r="P106" s="14">
        <f t="shared" si="87"/>
        <v>2.4483293633950478E-12</v>
      </c>
      <c r="Q106" s="22">
        <f t="shared" si="107"/>
        <v>4.566883036574213E-12</v>
      </c>
      <c r="R106" s="62">
        <f t="shared" si="55"/>
        <v>293.33333333333786</v>
      </c>
      <c r="S106" s="62">
        <f ca="1">AVERAGE(OFFSET($R$3,0,0,'Données projet'!$E$9+1,1))-AVERAGE(OFFSET($H$3,0,0,'Données projet'!$E$9+1,1))</f>
        <v>321.23599968992932</v>
      </c>
      <c r="T106" s="62">
        <f t="shared" si="88"/>
        <v>388.05195847800502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1.4852298798268677</v>
      </c>
      <c r="AB106" s="23">
        <f>EXP(-LN(2)/2)*AB105+(1-EXP(-LN(2)/2))/(LN(2)/2)*V106*Y106*VLOOKUP('Données projet'!$B$9,Paramètres!$A$1:$I$89,3,0)*0.475*44/12</f>
        <v>1.8022119668949311E-10</v>
      </c>
      <c r="AC106" s="24">
        <f t="shared" si="57"/>
        <v>1.4852298800070889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1.9895196601282805E-13</v>
      </c>
      <c r="O107" s="14">
        <f>N107*VLOOKUP('Données projet'!$B$9,Paramètres!$A$1:$I$89,3,0)*VLOOKUP('Données projet'!$B$9,Paramètres!$A$1:$I$89,5,0)</f>
        <v>1.738044375088066E-13</v>
      </c>
      <c r="P107" s="14">
        <f t="shared" si="87"/>
        <v>2.4483293633950478E-12</v>
      </c>
      <c r="Q107" s="22">
        <f t="shared" si="107"/>
        <v>4.566883036574213E-12</v>
      </c>
      <c r="R107" s="62">
        <f t="shared" si="55"/>
        <v>293.33333333333786</v>
      </c>
      <c r="S107" s="62">
        <f ca="1">AVERAGE(OFFSET($R$3,0,0,'Données projet'!$E$9+1,1))-AVERAGE(OFFSET($H$3,0,0,'Données projet'!$E$9+1,1))</f>
        <v>321.23599968992932</v>
      </c>
      <c r="T107" s="62">
        <f t="shared" si="88"/>
        <v>388.05195847800502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1.4446161906581572</v>
      </c>
      <c r="AB107" s="23">
        <f>EXP(-LN(2)/2)*AB106+(1-EXP(-LN(2)/2))/(LN(2)/2)*V107*Y107*VLOOKUP('Données projet'!$B$9,Paramètres!$A$1:$I$89,3,0)*0.475*44/12</f>
        <v>1.2743563029269514E-10</v>
      </c>
      <c r="AC107" s="24">
        <f t="shared" si="57"/>
        <v>1.4446161907855928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1.9895196601282805E-13</v>
      </c>
      <c r="O108" s="14">
        <f>N108*VLOOKUP('Données projet'!$B$9,Paramètres!$A$1:$I$89,3,0)*VLOOKUP('Données projet'!$B$9,Paramètres!$A$1:$I$89,5,0)</f>
        <v>1.738044375088066E-13</v>
      </c>
      <c r="P108" s="14">
        <f t="shared" si="87"/>
        <v>2.4483293633950478E-12</v>
      </c>
      <c r="Q108" s="22">
        <f t="shared" si="107"/>
        <v>4.566883036574213E-12</v>
      </c>
      <c r="R108" s="62">
        <f t="shared" si="55"/>
        <v>293.33333333333786</v>
      </c>
      <c r="S108" s="62">
        <f ca="1">AVERAGE(OFFSET($R$3,0,0,'Données projet'!$E$9+1,1))-AVERAGE(OFFSET($H$3,0,0,'Données projet'!$E$9+1,1))</f>
        <v>321.23599968992932</v>
      </c>
      <c r="T108" s="62">
        <f t="shared" si="88"/>
        <v>388.05195847800502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1.4051130849555462</v>
      </c>
      <c r="AB108" s="23">
        <f>EXP(-LN(2)/2)*AB107+(1-EXP(-LN(2)/2))/(LN(2)/2)*V108*Y108*VLOOKUP('Données projet'!$B$9,Paramètres!$A$1:$I$89,3,0)*0.475*44/12</f>
        <v>9.0110598344746554E-11</v>
      </c>
      <c r="AC108" s="24">
        <f t="shared" si="57"/>
        <v>1.4051130850456568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1.9895196601282805E-13</v>
      </c>
      <c r="O109" s="14">
        <f>N109*VLOOKUP('Données projet'!$B$9,Paramètres!$A$1:$I$89,3,0)*VLOOKUP('Données projet'!$B$9,Paramètres!$A$1:$I$89,5,0)</f>
        <v>1.738044375088066E-13</v>
      </c>
      <c r="P109" s="14">
        <f t="shared" si="87"/>
        <v>2.4483293633950478E-12</v>
      </c>
      <c r="Q109" s="22">
        <f t="shared" si="107"/>
        <v>4.566883036574213E-12</v>
      </c>
      <c r="R109" s="62">
        <f t="shared" si="55"/>
        <v>293.33333333333786</v>
      </c>
      <c r="S109" s="62">
        <f ca="1">AVERAGE(OFFSET($R$3,0,0,'Données projet'!$E$9+1,1))-AVERAGE(OFFSET($H$3,0,0,'Données projet'!$E$9+1,1))</f>
        <v>321.23599968992932</v>
      </c>
      <c r="T109" s="62">
        <f t="shared" si="88"/>
        <v>388.05195847800502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1.3666901937557512</v>
      </c>
      <c r="AB109" s="23">
        <f>EXP(-LN(2)/2)*AB108+(1-EXP(-LN(2)/2))/(LN(2)/2)*V109*Y109*VLOOKUP('Données projet'!$B$9,Paramètres!$A$1:$I$89,3,0)*0.475*44/12</f>
        <v>6.3717815146347572E-11</v>
      </c>
      <c r="AC109" s="24">
        <f t="shared" si="57"/>
        <v>1.3666901938194691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1.9895196601282805E-13</v>
      </c>
      <c r="O110" s="14">
        <f>N110*VLOOKUP('Données projet'!$B$9,Paramètres!$A$1:$I$89,3,0)*VLOOKUP('Données projet'!$B$9,Paramètres!$A$1:$I$89,5,0)</f>
        <v>1.738044375088066E-13</v>
      </c>
      <c r="P110" s="14">
        <f t="shared" si="87"/>
        <v>2.4483293633950478E-12</v>
      </c>
      <c r="Q110" s="22">
        <f t="shared" si="107"/>
        <v>4.566883036574213E-12</v>
      </c>
      <c r="R110" s="62">
        <f t="shared" si="55"/>
        <v>293.33333333333786</v>
      </c>
      <c r="S110" s="62">
        <f ca="1">AVERAGE(OFFSET($R$3,0,0,'Données projet'!$E$9+1,1))-AVERAGE(OFFSET($H$3,0,0,'Données projet'!$E$9+1,1))</f>
        <v>321.23599968992932</v>
      </c>
      <c r="T110" s="62">
        <f t="shared" si="88"/>
        <v>388.05195847800502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1.3293179785363864</v>
      </c>
      <c r="AB110" s="23">
        <f>EXP(-LN(2)/2)*AB109+(1-EXP(-LN(2)/2))/(LN(2)/2)*V110*Y110*VLOOKUP('Données projet'!$B$9,Paramètres!$A$1:$I$89,3,0)*0.475*44/12</f>
        <v>4.5055299172373277E-11</v>
      </c>
      <c r="AC110" s="24">
        <f t="shared" si="57"/>
        <v>1.3293179785814417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1.9895196601282805E-13</v>
      </c>
      <c r="O111" s="14">
        <f>N111*VLOOKUP('Données projet'!$B$9,Paramètres!$A$1:$I$89,3,0)*VLOOKUP('Données projet'!$B$9,Paramètres!$A$1:$I$89,5,0)</f>
        <v>1.738044375088066E-13</v>
      </c>
      <c r="P111" s="14">
        <f t="shared" si="87"/>
        <v>2.4483293633950478E-12</v>
      </c>
      <c r="Q111" s="22">
        <f t="shared" si="107"/>
        <v>4.566883036574213E-12</v>
      </c>
      <c r="R111" s="62">
        <f t="shared" si="55"/>
        <v>293.33333333333786</v>
      </c>
      <c r="S111" s="62">
        <f ca="1">AVERAGE(OFFSET($R$3,0,0,'Données projet'!$E$9+1,1))-AVERAGE(OFFSET($H$3,0,0,'Données projet'!$E$9+1,1))</f>
        <v>321.23599968992932</v>
      </c>
      <c r="T111" s="62">
        <f t="shared" si="88"/>
        <v>388.05195847800502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1.2929677085075146</v>
      </c>
      <c r="AB111" s="23">
        <f>EXP(-LN(2)/2)*AB110+(1-EXP(-LN(2)/2))/(LN(2)/2)*V111*Y111*VLOOKUP('Données projet'!$B$9,Paramètres!$A$1:$I$89,3,0)*0.475*44/12</f>
        <v>3.1858907573173786E-11</v>
      </c>
      <c r="AC111" s="24">
        <f t="shared" si="57"/>
        <v>1.2929677085393736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1.9895196601282805E-13</v>
      </c>
      <c r="O112" s="14">
        <f>N112*VLOOKUP('Données projet'!$B$9,Paramètres!$A$1:$I$89,3,0)*VLOOKUP('Données projet'!$B$9,Paramètres!$A$1:$I$89,5,0)</f>
        <v>1.738044375088066E-13</v>
      </c>
      <c r="P112" s="14">
        <f t="shared" si="87"/>
        <v>2.4483293633950478E-12</v>
      </c>
      <c r="Q112" s="22">
        <f t="shared" si="107"/>
        <v>4.566883036574213E-12</v>
      </c>
      <c r="R112" s="62">
        <f t="shared" si="55"/>
        <v>293.33333333333786</v>
      </c>
      <c r="S112" s="62">
        <f ca="1">AVERAGE(OFFSET($R$3,0,0,'Données projet'!$E$9+1,1))-AVERAGE(OFFSET($H$3,0,0,'Données projet'!$E$9+1,1))</f>
        <v>321.23599968992932</v>
      </c>
      <c r="T112" s="62">
        <f t="shared" si="88"/>
        <v>388.05195847800502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1.2576114385241599</v>
      </c>
      <c r="AB112" s="23">
        <f>EXP(-LN(2)/2)*AB111+(1-EXP(-LN(2)/2))/(LN(2)/2)*V112*Y112*VLOOKUP('Données projet'!$B$9,Paramètres!$A$1:$I$89,3,0)*0.475*44/12</f>
        <v>2.2527649586186639E-11</v>
      </c>
      <c r="AC112" s="24">
        <f t="shared" si="57"/>
        <v>1.2576114385466877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1.9895196601282805E-13</v>
      </c>
      <c r="O113" s="14">
        <f>N113*VLOOKUP('Données projet'!$B$9,Paramètres!$A$1:$I$89,3,0)*VLOOKUP('Données projet'!$B$9,Paramètres!$A$1:$I$89,5,0)</f>
        <v>1.738044375088066E-13</v>
      </c>
      <c r="P113" s="14">
        <f t="shared" si="87"/>
        <v>2.4483293633950478E-12</v>
      </c>
      <c r="Q113" s="22">
        <f t="shared" si="107"/>
        <v>4.566883036574213E-12</v>
      </c>
      <c r="R113" s="62">
        <f t="shared" si="55"/>
        <v>293.33333333333786</v>
      </c>
      <c r="S113" s="62">
        <f ca="1">AVERAGE(OFFSET($R$3,0,0,'Données projet'!$E$9+1,1))-AVERAGE(OFFSET($H$3,0,0,'Données projet'!$E$9+1,1))</f>
        <v>321.23599968992932</v>
      </c>
      <c r="T113" s="62">
        <f t="shared" si="88"/>
        <v>388.05195847800502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1.2232219876028054</v>
      </c>
      <c r="AB113" s="23">
        <f>EXP(-LN(2)/2)*AB112+(1-EXP(-LN(2)/2))/(LN(2)/2)*V113*Y113*VLOOKUP('Données projet'!$B$9,Paramètres!$A$1:$I$89,3,0)*0.475*44/12</f>
        <v>1.5929453786586893E-11</v>
      </c>
      <c r="AC113" s="24">
        <f t="shared" si="57"/>
        <v>1.2232219876187349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1.9895196601282805E-13</v>
      </c>
      <c r="O114" s="14">
        <f>N114*VLOOKUP('Données projet'!$B$9,Paramètres!$A$1:$I$89,3,0)*VLOOKUP('Données projet'!$B$9,Paramètres!$A$1:$I$89,5,0)</f>
        <v>1.738044375088066E-13</v>
      </c>
      <c r="P114" s="14">
        <f t="shared" si="87"/>
        <v>2.4483293633950478E-12</v>
      </c>
      <c r="Q114" s="22">
        <f t="shared" si="107"/>
        <v>4.566883036574213E-12</v>
      </c>
      <c r="R114" s="62">
        <f t="shared" si="55"/>
        <v>293.33333333333786</v>
      </c>
      <c r="S114" s="62">
        <f ca="1">AVERAGE(OFFSET($R$3,0,0,'Données projet'!$E$9+1,1))-AVERAGE(OFFSET($H$3,0,0,'Données projet'!$E$9+1,1))</f>
        <v>321.23599968992932</v>
      </c>
      <c r="T114" s="62">
        <f t="shared" si="88"/>
        <v>388.05195847800502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1.189772918025358</v>
      </c>
      <c r="AB114" s="23">
        <f>EXP(-LN(2)/2)*AB113+(1-EXP(-LN(2)/2))/(LN(2)/2)*V114*Y114*VLOOKUP('Données projet'!$B$9,Paramètres!$A$1:$I$89,3,0)*0.475*44/12</f>
        <v>1.1263824793093319E-11</v>
      </c>
      <c r="AC114" s="24">
        <f t="shared" si="57"/>
        <v>1.1897729180366219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1.9895196601282805E-13</v>
      </c>
      <c r="O115" s="14">
        <f>N115*VLOOKUP('Données projet'!$B$9,Paramètres!$A$1:$I$89,3,0)*VLOOKUP('Données projet'!$B$9,Paramètres!$A$1:$I$89,5,0)</f>
        <v>1.738044375088066E-13</v>
      </c>
      <c r="P115" s="14">
        <f t="shared" si="87"/>
        <v>2.4483293633950478E-12</v>
      </c>
      <c r="Q115" s="22">
        <f t="shared" si="107"/>
        <v>4.566883036574213E-12</v>
      </c>
      <c r="R115" s="62">
        <f t="shared" si="55"/>
        <v>293.33333333333786</v>
      </c>
      <c r="S115" s="62">
        <f ca="1">AVERAGE(OFFSET($R$3,0,0,'Données projet'!$E$9+1,1))-AVERAGE(OFFSET($H$3,0,0,'Données projet'!$E$9+1,1))</f>
        <v>321.23599968992932</v>
      </c>
      <c r="T115" s="62">
        <f t="shared" si="88"/>
        <v>388.05195847800502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1.1572385150145161</v>
      </c>
      <c r="AB115" s="23">
        <f>EXP(-LN(2)/2)*AB114+(1-EXP(-LN(2)/2))/(LN(2)/2)*V115*Y115*VLOOKUP('Données projet'!$B$9,Paramètres!$A$1:$I$89,3,0)*0.475*44/12</f>
        <v>7.9647268932934465E-12</v>
      </c>
      <c r="AC115" s="24">
        <f t="shared" si="57"/>
        <v>1.1572385150224809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1.9895196601282805E-13</v>
      </c>
      <c r="O116" s="14">
        <f>N116*VLOOKUP('Données projet'!$B$9,Paramètres!$A$1:$I$89,3,0)*VLOOKUP('Données projet'!$B$9,Paramètres!$A$1:$I$89,5,0)</f>
        <v>1.738044375088066E-13</v>
      </c>
      <c r="P116" s="14">
        <f t="shared" si="87"/>
        <v>2.4483293633950478E-12</v>
      </c>
      <c r="Q116" s="22">
        <f t="shared" si="107"/>
        <v>4.566883036574213E-12</v>
      </c>
      <c r="R116" s="62">
        <f t="shared" si="55"/>
        <v>293.33333333333786</v>
      </c>
      <c r="S116" s="62">
        <f ca="1">AVERAGE(OFFSET($R$3,0,0,'Données projet'!$E$9+1,1))-AVERAGE(OFFSET($H$3,0,0,'Données projet'!$E$9+1,1))</f>
        <v>321.23599968992932</v>
      </c>
      <c r="T116" s="62">
        <f t="shared" si="88"/>
        <v>388.05195847800502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1.1255937669649156</v>
      </c>
      <c r="AB116" s="23">
        <f>EXP(-LN(2)/2)*AB115+(1-EXP(-LN(2)/2))/(LN(2)/2)*V116*Y116*VLOOKUP('Données projet'!$B$9,Paramètres!$A$1:$I$89,3,0)*0.475*44/12</f>
        <v>5.6319123965466596E-12</v>
      </c>
      <c r="AC116" s="24">
        <f t="shared" si="57"/>
        <v>1.1255937669705476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1.9895196601282805E-13</v>
      </c>
      <c r="O117" s="14">
        <f>N117*VLOOKUP('Données projet'!$B$9,Paramètres!$A$1:$I$89,3,0)*VLOOKUP('Données projet'!$B$9,Paramètres!$A$1:$I$89,5,0)</f>
        <v>1.738044375088066E-13</v>
      </c>
      <c r="P117" s="14">
        <f t="shared" si="87"/>
        <v>2.4483293633950478E-12</v>
      </c>
      <c r="Q117" s="22">
        <f t="shared" si="107"/>
        <v>4.566883036574213E-12</v>
      </c>
      <c r="R117" s="62">
        <f t="shared" si="55"/>
        <v>293.33333333333786</v>
      </c>
      <c r="S117" s="62">
        <f ca="1">AVERAGE(OFFSET($R$3,0,0,'Données projet'!$E$9+1,1))-AVERAGE(OFFSET($H$3,0,0,'Données projet'!$E$9+1,1))</f>
        <v>321.23599968992932</v>
      </c>
      <c r="T117" s="62">
        <f t="shared" si="88"/>
        <v>388.05195847800502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1.0948143462148563</v>
      </c>
      <c r="AB117" s="23">
        <f>EXP(-LN(2)/2)*AB116+(1-EXP(-LN(2)/2))/(LN(2)/2)*V117*Y117*VLOOKUP('Données projet'!$B$9,Paramètres!$A$1:$I$89,3,0)*0.475*44/12</f>
        <v>3.9823634466467233E-12</v>
      </c>
      <c r="AC117" s="24">
        <f t="shared" si="57"/>
        <v>1.0948143462188387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1.9895196601282805E-13</v>
      </c>
      <c r="O118" s="14">
        <f>N118*VLOOKUP('Données projet'!$B$9,Paramètres!$A$1:$I$89,3,0)*VLOOKUP('Données projet'!$B$9,Paramètres!$A$1:$I$89,5,0)</f>
        <v>1.738044375088066E-13</v>
      </c>
      <c r="P118" s="14">
        <f t="shared" si="87"/>
        <v>2.4483293633950478E-12</v>
      </c>
      <c r="Q118" s="22">
        <f t="shared" si="107"/>
        <v>4.566883036574213E-12</v>
      </c>
      <c r="R118" s="62">
        <f t="shared" si="55"/>
        <v>293.33333333333786</v>
      </c>
      <c r="S118" s="62">
        <f ca="1">AVERAGE(OFFSET($R$3,0,0,'Données projet'!$E$9+1,1))-AVERAGE(OFFSET($H$3,0,0,'Données projet'!$E$9+1,1))</f>
        <v>321.23599968992932</v>
      </c>
      <c r="T118" s="62">
        <f t="shared" si="88"/>
        <v>388.05195847800502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1.0648765903438269</v>
      </c>
      <c r="AB118" s="23">
        <f>EXP(-LN(2)/2)*AB117+(1-EXP(-LN(2)/2))/(LN(2)/2)*V118*Y118*VLOOKUP('Données projet'!$B$9,Paramètres!$A$1:$I$89,3,0)*0.475*44/12</f>
        <v>2.8159561982733298E-12</v>
      </c>
      <c r="AC118" s="24">
        <f t="shared" si="57"/>
        <v>1.0648765903466428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1.9895196601282805E-13</v>
      </c>
      <c r="O119" s="14">
        <f>N119*VLOOKUP('Données projet'!$B$9,Paramètres!$A$1:$I$89,3,0)*VLOOKUP('Données projet'!$B$9,Paramètres!$A$1:$I$89,5,0)</f>
        <v>1.738044375088066E-13</v>
      </c>
      <c r="P119" s="14">
        <f t="shared" si="87"/>
        <v>2.4483293633950478E-12</v>
      </c>
      <c r="Q119" s="22">
        <f t="shared" si="107"/>
        <v>4.566883036574213E-12</v>
      </c>
      <c r="R119" s="62">
        <f t="shared" si="55"/>
        <v>293.33333333333786</v>
      </c>
      <c r="S119" s="62">
        <f ca="1">AVERAGE(OFFSET($R$3,0,0,'Données projet'!$E$9+1,1))-AVERAGE(OFFSET($H$3,0,0,'Données projet'!$E$9+1,1))</f>
        <v>321.23599968992932</v>
      </c>
      <c r="T119" s="62">
        <f t="shared" si="88"/>
        <v>388.05195847800502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1.0357574839814487</v>
      </c>
      <c r="AB119" s="23">
        <f>EXP(-LN(2)/2)*AB118+(1-EXP(-LN(2)/2))/(LN(2)/2)*V119*Y119*VLOOKUP('Données projet'!$B$9,Paramètres!$A$1:$I$89,3,0)*0.475*44/12</f>
        <v>1.9911817233233616E-12</v>
      </c>
      <c r="AC119" s="24">
        <f t="shared" si="57"/>
        <v>1.0357574839834398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1.9895196601282805E-13</v>
      </c>
      <c r="O120" s="14">
        <f>N120*VLOOKUP('Données projet'!$B$9,Paramètres!$A$1:$I$89,3,0)*VLOOKUP('Données projet'!$B$9,Paramètres!$A$1:$I$89,5,0)</f>
        <v>1.738044375088066E-13</v>
      </c>
      <c r="P120" s="14">
        <f t="shared" si="87"/>
        <v>2.4483293633950478E-12</v>
      </c>
      <c r="Q120" s="22">
        <f t="shared" si="107"/>
        <v>4.566883036574213E-12</v>
      </c>
      <c r="R120" s="62">
        <f t="shared" si="55"/>
        <v>293.33333333333786</v>
      </c>
      <c r="S120" s="62">
        <f ca="1">AVERAGE(OFFSET($R$3,0,0,'Données projet'!$E$9+1,1))-AVERAGE(OFFSET($H$3,0,0,'Données projet'!$E$9+1,1))</f>
        <v>321.23599968992932</v>
      </c>
      <c r="T120" s="62">
        <f t="shared" si="88"/>
        <v>388.05195847800502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1.0074346411138573</v>
      </c>
      <c r="AB120" s="23">
        <f>EXP(-LN(2)/2)*AB119+(1-EXP(-LN(2)/2))/(LN(2)/2)*V120*Y120*VLOOKUP('Données projet'!$B$9,Paramètres!$A$1:$I$89,3,0)*0.475*44/12</f>
        <v>1.4079780991366649E-12</v>
      </c>
      <c r="AC120" s="24">
        <f t="shared" si="57"/>
        <v>1.0074346411152653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1.9895196601282805E-13</v>
      </c>
      <c r="O121" s="14">
        <f>N121*VLOOKUP('Données projet'!$B$9,Paramètres!$A$1:$I$89,3,0)*VLOOKUP('Données projet'!$B$9,Paramètres!$A$1:$I$89,5,0)</f>
        <v>1.738044375088066E-13</v>
      </c>
      <c r="P121" s="14">
        <f t="shared" si="87"/>
        <v>2.4483293633950478E-12</v>
      </c>
      <c r="Q121" s="22">
        <f t="shared" si="107"/>
        <v>4.566883036574213E-12</v>
      </c>
      <c r="R121" s="62">
        <f t="shared" si="55"/>
        <v>293.33333333333786</v>
      </c>
      <c r="S121" s="62">
        <f ca="1">AVERAGE(OFFSET($R$3,0,0,'Données projet'!$E$9+1,1))-AVERAGE(OFFSET($H$3,0,0,'Données projet'!$E$9+1,1))</f>
        <v>321.23599968992932</v>
      </c>
      <c r="T121" s="62">
        <f t="shared" si="88"/>
        <v>388.05195847800502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0.97988628787391363</v>
      </c>
      <c r="AB121" s="23">
        <f>EXP(-LN(2)/2)*AB120+(1-EXP(-LN(2)/2))/(LN(2)/2)*V121*Y121*VLOOKUP('Données projet'!$B$9,Paramètres!$A$1:$I$89,3,0)*0.475*44/12</f>
        <v>9.9559086166168082E-13</v>
      </c>
      <c r="AC121" s="24">
        <f t="shared" si="57"/>
        <v>0.97988628787490917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1.9895196601282805E-13</v>
      </c>
      <c r="O122" s="14">
        <f>N122*VLOOKUP('Données projet'!$B$9,Paramètres!$A$1:$I$89,3,0)*VLOOKUP('Données projet'!$B$9,Paramètres!$A$1:$I$89,5,0)</f>
        <v>1.738044375088066E-13</v>
      </c>
      <c r="P122" s="14">
        <f t="shared" si="87"/>
        <v>2.4483293633950478E-12</v>
      </c>
      <c r="Q122" s="22">
        <f t="shared" si="107"/>
        <v>4.566883036574213E-12</v>
      </c>
      <c r="R122" s="62">
        <f t="shared" si="55"/>
        <v>293.33333333333786</v>
      </c>
      <c r="S122" s="62">
        <f ca="1">AVERAGE(OFFSET($R$3,0,0,'Données projet'!$E$9+1,1))-AVERAGE(OFFSET($H$3,0,0,'Données projet'!$E$9+1,1))</f>
        <v>321.23599968992932</v>
      </c>
      <c r="T122" s="62">
        <f t="shared" si="88"/>
        <v>388.05195847800502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0.95309124580202109</v>
      </c>
      <c r="AB122" s="23">
        <f>EXP(-LN(2)/2)*AB121+(1-EXP(-LN(2)/2))/(LN(2)/2)*V122*Y122*VLOOKUP('Données projet'!$B$9,Paramètres!$A$1:$I$89,3,0)*0.475*44/12</f>
        <v>7.0398904956833245E-13</v>
      </c>
      <c r="AC122" s="24">
        <f t="shared" si="57"/>
        <v>0.95309124580272508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1.9895196601282805E-13</v>
      </c>
      <c r="O123" s="14">
        <f>N123*VLOOKUP('Données projet'!$B$9,Paramètres!$A$1:$I$89,3,0)*VLOOKUP('Données projet'!$B$9,Paramètres!$A$1:$I$89,5,0)</f>
        <v>1.738044375088066E-13</v>
      </c>
      <c r="P123" s="14">
        <f t="shared" si="87"/>
        <v>2.4483293633950478E-12</v>
      </c>
      <c r="Q123" s="22">
        <f t="shared" si="107"/>
        <v>4.566883036574213E-12</v>
      </c>
      <c r="R123" s="62">
        <f t="shared" si="55"/>
        <v>293.33333333333786</v>
      </c>
      <c r="S123" s="62">
        <f ca="1">AVERAGE(OFFSET($R$3,0,0,'Données projet'!$E$9+1,1))-AVERAGE(OFFSET($H$3,0,0,'Données projet'!$E$9+1,1))</f>
        <v>321.23599968992932</v>
      </c>
      <c r="T123" s="62">
        <f t="shared" si="88"/>
        <v>388.05195847800502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0.92702891556467448</v>
      </c>
      <c r="AB123" s="23">
        <f>EXP(-LN(2)/2)*AB122+(1-EXP(-LN(2)/2))/(LN(2)/2)*V123*Y123*VLOOKUP('Données projet'!$B$9,Paramètres!$A$1:$I$89,3,0)*0.475*44/12</f>
        <v>4.9779543083084041E-13</v>
      </c>
      <c r="AC123" s="24">
        <f t="shared" si="57"/>
        <v>0.92702891556517231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1.9895196601282805E-13</v>
      </c>
      <c r="O124" s="14">
        <f>N124*VLOOKUP('Données projet'!$B$9,Paramètres!$A$1:$I$89,3,0)*VLOOKUP('Données projet'!$B$9,Paramètres!$A$1:$I$89,5,0)</f>
        <v>1.738044375088066E-13</v>
      </c>
      <c r="P124" s="14">
        <f t="shared" si="87"/>
        <v>2.4483293633950478E-12</v>
      </c>
      <c r="Q124" s="22">
        <f t="shared" si="107"/>
        <v>4.566883036574213E-12</v>
      </c>
      <c r="R124" s="62">
        <f t="shared" si="55"/>
        <v>293.33333333333786</v>
      </c>
      <c r="S124" s="62">
        <f ca="1">AVERAGE(OFFSET($R$3,0,0,'Données projet'!$E$9+1,1))-AVERAGE(OFFSET($H$3,0,0,'Données projet'!$E$9+1,1))</f>
        <v>321.23599968992932</v>
      </c>
      <c r="T124" s="62">
        <f t="shared" si="88"/>
        <v>388.05195847800502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0.90167926111822649</v>
      </c>
      <c r="AB124" s="23">
        <f>EXP(-LN(2)/2)*AB123+(1-EXP(-LN(2)/2))/(LN(2)/2)*V124*Y124*VLOOKUP('Données projet'!$B$9,Paramètres!$A$1:$I$89,3,0)*0.475*44/12</f>
        <v>3.5199452478416623E-13</v>
      </c>
      <c r="AC124" s="24">
        <f t="shared" si="57"/>
        <v>0.90167926111857843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1.9895196601282805E-13</v>
      </c>
      <c r="O125" s="14">
        <f>N125*VLOOKUP('Données projet'!$B$9,Paramètres!$A$1:$I$89,3,0)*VLOOKUP('Données projet'!$B$9,Paramètres!$A$1:$I$89,5,0)</f>
        <v>1.738044375088066E-13</v>
      </c>
      <c r="P125" s="14">
        <f t="shared" si="87"/>
        <v>2.4483293633950478E-12</v>
      </c>
      <c r="Q125" s="22">
        <f t="shared" si="107"/>
        <v>4.566883036574213E-12</v>
      </c>
      <c r="R125" s="62">
        <f t="shared" si="55"/>
        <v>293.33333333333786</v>
      </c>
      <c r="S125" s="62">
        <f ca="1">AVERAGE(OFFSET($R$3,0,0,'Données projet'!$E$9+1,1))-AVERAGE(OFFSET($H$3,0,0,'Données projet'!$E$9+1,1))</f>
        <v>321.23599968992932</v>
      </c>
      <c r="T125" s="62">
        <f t="shared" si="88"/>
        <v>388.05195847800502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0.87702279430569707</v>
      </c>
      <c r="AB125" s="23">
        <f>EXP(-LN(2)/2)*AB124+(1-EXP(-LN(2)/2))/(LN(2)/2)*V125*Y125*VLOOKUP('Données projet'!$B$9,Paramètres!$A$1:$I$89,3,0)*0.475*44/12</f>
        <v>2.488977154154202E-13</v>
      </c>
      <c r="AC125" s="24">
        <f t="shared" si="57"/>
        <v>0.87702279430594599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1.9895196601282805E-13</v>
      </c>
      <c r="O126" s="14">
        <f>N126*VLOOKUP('Données projet'!$B$9,Paramètres!$A$1:$I$89,3,0)*VLOOKUP('Données projet'!$B$9,Paramètres!$A$1:$I$89,5,0)</f>
        <v>1.738044375088066E-13</v>
      </c>
      <c r="P126" s="14">
        <f t="shared" si="87"/>
        <v>2.4483293633950478E-12</v>
      </c>
      <c r="Q126" s="22">
        <f t="shared" si="107"/>
        <v>4.566883036574213E-12</v>
      </c>
      <c r="R126" s="62">
        <f t="shared" si="55"/>
        <v>293.33333333333786</v>
      </c>
      <c r="S126" s="62">
        <f ca="1">AVERAGE(OFFSET($R$3,0,0,'Données projet'!$E$9+1,1))-AVERAGE(OFFSET($H$3,0,0,'Données projet'!$E$9+1,1))</f>
        <v>321.23599968992932</v>
      </c>
      <c r="T126" s="62">
        <f t="shared" si="88"/>
        <v>388.05195847800502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0.85304055987478344</v>
      </c>
      <c r="AB126" s="23">
        <f>EXP(-LN(2)/2)*AB125+(1-EXP(-LN(2)/2))/(LN(2)/2)*V126*Y126*VLOOKUP('Données projet'!$B$9,Paramètres!$A$1:$I$89,3,0)*0.475*44/12</f>
        <v>1.7599726239208311E-13</v>
      </c>
      <c r="AC126" s="24">
        <f t="shared" si="57"/>
        <v>0.85304055987495941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1.9895196601282805E-13</v>
      </c>
      <c r="O127" s="14">
        <f>N127*VLOOKUP('Données projet'!$B$9,Paramètres!$A$1:$I$89,3,0)*VLOOKUP('Données projet'!$B$9,Paramètres!$A$1:$I$89,5,0)</f>
        <v>1.738044375088066E-13</v>
      </c>
      <c r="P127" s="14">
        <f t="shared" si="87"/>
        <v>2.4483293633950478E-12</v>
      </c>
      <c r="Q127" s="22">
        <f t="shared" si="107"/>
        <v>4.566883036574213E-12</v>
      </c>
      <c r="R127" s="62">
        <f t="shared" si="55"/>
        <v>293.33333333333786</v>
      </c>
      <c r="S127" s="62">
        <f ca="1">AVERAGE(OFFSET($R$3,0,0,'Données projet'!$E$9+1,1))-AVERAGE(OFFSET($H$3,0,0,'Données projet'!$E$9+1,1))</f>
        <v>321.23599968992932</v>
      </c>
      <c r="T127" s="62">
        <f t="shared" si="88"/>
        <v>388.05195847800502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0.82971412090555408</v>
      </c>
      <c r="AB127" s="23">
        <f>EXP(-LN(2)/2)*AB126+(1-EXP(-LN(2)/2))/(LN(2)/2)*V127*Y127*VLOOKUP('Données projet'!$B$9,Paramètres!$A$1:$I$89,3,0)*0.475*44/12</f>
        <v>1.244488577077101E-13</v>
      </c>
      <c r="AC127" s="24">
        <f t="shared" si="57"/>
        <v>0.82971412090567853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1.9895196601282805E-13</v>
      </c>
      <c r="O128" s="14">
        <f>N128*VLOOKUP('Données projet'!$B$9,Paramètres!$A$1:$I$89,3,0)*VLOOKUP('Données projet'!$B$9,Paramètres!$A$1:$I$89,5,0)</f>
        <v>1.738044375088066E-13</v>
      </c>
      <c r="P128" s="14">
        <f t="shared" si="87"/>
        <v>2.4483293633950478E-12</v>
      </c>
      <c r="Q128" s="22">
        <f t="shared" si="107"/>
        <v>4.566883036574213E-12</v>
      </c>
      <c r="R128" s="62">
        <f t="shared" si="55"/>
        <v>293.33333333333786</v>
      </c>
      <c r="S128" s="62">
        <f ca="1">AVERAGE(OFFSET($R$3,0,0,'Données projet'!$E$9+1,1))-AVERAGE(OFFSET($H$3,0,0,'Données projet'!$E$9+1,1))</f>
        <v>321.23599968992932</v>
      </c>
      <c r="T128" s="62">
        <f t="shared" si="88"/>
        <v>388.05195847800502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0.80702554463662246</v>
      </c>
      <c r="AB128" s="23">
        <f>EXP(-LN(2)/2)*AB127+(1-EXP(-LN(2)/2))/(LN(2)/2)*V128*Y128*VLOOKUP('Données projet'!$B$9,Paramètres!$A$1:$I$89,3,0)*0.475*44/12</f>
        <v>8.7998631196041557E-14</v>
      </c>
      <c r="AC128" s="24">
        <f t="shared" si="57"/>
        <v>0.8070255446367105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1.9895196601282805E-13</v>
      </c>
      <c r="O129" s="14">
        <f>N129*VLOOKUP('Données projet'!$B$9,Paramètres!$A$1:$I$89,3,0)*VLOOKUP('Données projet'!$B$9,Paramètres!$A$1:$I$89,5,0)</f>
        <v>1.738044375088066E-13</v>
      </c>
      <c r="P129" s="14">
        <f t="shared" si="87"/>
        <v>2.4483293633950478E-12</v>
      </c>
      <c r="Q129" s="22">
        <f t="shared" si="107"/>
        <v>4.566883036574213E-12</v>
      </c>
      <c r="R129" s="62">
        <f t="shared" si="55"/>
        <v>293.33333333333786</v>
      </c>
      <c r="S129" s="62">
        <f ca="1">AVERAGE(OFFSET($R$3,0,0,'Données projet'!$E$9+1,1))-AVERAGE(OFFSET($H$3,0,0,'Données projet'!$E$9+1,1))</f>
        <v>321.23599968992932</v>
      </c>
      <c r="T129" s="62">
        <f t="shared" si="88"/>
        <v>388.05195847800502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0.78495738867890508</v>
      </c>
      <c r="AB129" s="23">
        <f>EXP(-LN(2)/2)*AB128+(1-EXP(-LN(2)/2))/(LN(2)/2)*V129*Y129*VLOOKUP('Données projet'!$B$9,Paramètres!$A$1:$I$89,3,0)*0.475*44/12</f>
        <v>6.2224428853855051E-14</v>
      </c>
      <c r="AC129" s="24">
        <f t="shared" si="57"/>
        <v>0.78495738867896725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1.9895196601282805E-13</v>
      </c>
      <c r="O130" s="14">
        <f>N130*VLOOKUP('Données projet'!$B$9,Paramètres!$A$1:$I$89,3,0)*VLOOKUP('Données projet'!$B$9,Paramètres!$A$1:$I$89,5,0)</f>
        <v>1.738044375088066E-13</v>
      </c>
      <c r="P130" s="14">
        <f t="shared" si="87"/>
        <v>2.4483293633950478E-12</v>
      </c>
      <c r="Q130" s="22">
        <f t="shared" si="107"/>
        <v>4.566883036574213E-12</v>
      </c>
      <c r="R130" s="62">
        <f t="shared" si="55"/>
        <v>293.33333333333786</v>
      </c>
      <c r="S130" s="62">
        <f ca="1">AVERAGE(OFFSET($R$3,0,0,'Données projet'!$E$9+1,1))-AVERAGE(OFFSET($H$3,0,0,'Données projet'!$E$9+1,1))</f>
        <v>321.23599968992932</v>
      </c>
      <c r="T130" s="62">
        <f t="shared" si="88"/>
        <v>388.05195847800502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0.76349268760636535</v>
      </c>
      <c r="AB130" s="23">
        <f>EXP(-LN(2)/2)*AB129+(1-EXP(-LN(2)/2))/(LN(2)/2)*V130*Y130*VLOOKUP('Données projet'!$B$9,Paramètres!$A$1:$I$89,3,0)*0.475*44/12</f>
        <v>4.3999315598020778E-14</v>
      </c>
      <c r="AC130" s="24">
        <f t="shared" si="57"/>
        <v>0.76349268760640931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1.9895196601282805E-13</v>
      </c>
      <c r="O131" s="14">
        <f>N131*VLOOKUP('Données projet'!$B$9,Paramètres!$A$1:$I$89,3,0)*VLOOKUP('Données projet'!$B$9,Paramètres!$A$1:$I$89,5,0)</f>
        <v>1.738044375088066E-13</v>
      </c>
      <c r="P131" s="14">
        <f t="shared" si="87"/>
        <v>2.4483293633950478E-12</v>
      </c>
      <c r="Q131" s="22">
        <f t="shared" ref="Q131:Q153" si="108">(O131+P131)*0.475*44/12</f>
        <v>4.566883036574213E-12</v>
      </c>
      <c r="R131" s="62">
        <f t="shared" ref="R131:R194" si="109">Q131+(I131+J131)*44/12</f>
        <v>293.33333333333786</v>
      </c>
      <c r="S131" s="62">
        <f ca="1">AVERAGE(OFFSET($R$3,0,0,'Données projet'!$E$9+1,1))-AVERAGE(OFFSET($H$3,0,0,'Données projet'!$E$9+1,1))</f>
        <v>321.23599968992932</v>
      </c>
      <c r="T131" s="62">
        <f t="shared" si="88"/>
        <v>388.05195847800502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0.74261493991343386</v>
      </c>
      <c r="AB131" s="23">
        <f>EXP(-LN(2)/2)*AB130+(1-EXP(-LN(2)/2))/(LN(2)/2)*V131*Y131*VLOOKUP('Données projet'!$B$9,Paramètres!$A$1:$I$89,3,0)*0.475*44/12</f>
        <v>3.1112214426927526E-14</v>
      </c>
      <c r="AC131" s="24">
        <f t="shared" si="57"/>
        <v>0.74261493991346494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1.9895196601282805E-13</v>
      </c>
      <c r="O132" s="14">
        <f>N132*VLOOKUP('Données projet'!$B$9,Paramètres!$A$1:$I$89,3,0)*VLOOKUP('Données projet'!$B$9,Paramètres!$A$1:$I$89,5,0)</f>
        <v>1.738044375088066E-13</v>
      </c>
      <c r="P132" s="14">
        <f t="shared" si="87"/>
        <v>2.4483293633950478E-12</v>
      </c>
      <c r="Q132" s="22">
        <f t="shared" si="108"/>
        <v>4.566883036574213E-12</v>
      </c>
      <c r="R132" s="62">
        <f t="shared" si="109"/>
        <v>293.33333333333786</v>
      </c>
      <c r="S132" s="62">
        <f ca="1">AVERAGE(OFFSET($R$3,0,0,'Données projet'!$E$9+1,1))-AVERAGE(OFFSET($H$3,0,0,'Données projet'!$E$9+1,1))</f>
        <v>321.23599968992932</v>
      </c>
      <c r="T132" s="62">
        <f t="shared" si="88"/>
        <v>388.05195847800502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0.72230809532907858</v>
      </c>
      <c r="AB132" s="23">
        <f>EXP(-LN(2)/2)*AB131+(1-EXP(-LN(2)/2))/(LN(2)/2)*V132*Y132*VLOOKUP('Données projet'!$B$9,Paramètres!$A$1:$I$89,3,0)*0.475*44/12</f>
        <v>2.1999657799010389E-14</v>
      </c>
      <c r="AC132" s="24">
        <f t="shared" ref="AC132:AC153" si="111">SUM(Z132:AB132)</f>
        <v>0.72230809532910056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1.9895196601282805E-13</v>
      </c>
      <c r="O133" s="14">
        <f>N133*VLOOKUP('Données projet'!$B$9,Paramètres!$A$1:$I$89,3,0)*VLOOKUP('Données projet'!$B$9,Paramètres!$A$1:$I$89,5,0)</f>
        <v>1.738044375088066E-13</v>
      </c>
      <c r="P133" s="14">
        <f t="shared" ref="P133:P196" si="141">EXP(-1.0587+0.8836*LN(O133)+0.284)</f>
        <v>2.4483293633950478E-12</v>
      </c>
      <c r="Q133" s="22">
        <f t="shared" si="108"/>
        <v>4.566883036574213E-12</v>
      </c>
      <c r="R133" s="62">
        <f t="shared" si="109"/>
        <v>293.33333333333786</v>
      </c>
      <c r="S133" s="62">
        <f ca="1">AVERAGE(OFFSET($R$3,0,0,'Données projet'!$E$9+1,1))-AVERAGE(OFFSET($H$3,0,0,'Données projet'!$E$9+1,1))</f>
        <v>321.23599968992932</v>
      </c>
      <c r="T133" s="62">
        <f t="shared" ref="T133:T196" si="142">$T$3</f>
        <v>388.05195847800502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0.7025565424777731</v>
      </c>
      <c r="AB133" s="23">
        <f>EXP(-LN(2)/2)*AB132+(1-EXP(-LN(2)/2))/(LN(2)/2)*V133*Y133*VLOOKUP('Données projet'!$B$9,Paramètres!$A$1:$I$89,3,0)*0.475*44/12</f>
        <v>1.5556107213463763E-14</v>
      </c>
      <c r="AC133" s="24">
        <f t="shared" si="111"/>
        <v>0.70255654247778865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1.9895196601282805E-13</v>
      </c>
      <c r="O134" s="14">
        <f>N134*VLOOKUP('Données projet'!$B$9,Paramètres!$A$1:$I$89,3,0)*VLOOKUP('Données projet'!$B$9,Paramètres!$A$1:$I$89,5,0)</f>
        <v>1.738044375088066E-13</v>
      </c>
      <c r="P134" s="14">
        <f t="shared" si="141"/>
        <v>2.4483293633950478E-12</v>
      </c>
      <c r="Q134" s="22">
        <f t="shared" si="108"/>
        <v>4.566883036574213E-12</v>
      </c>
      <c r="R134" s="62">
        <f t="shared" si="109"/>
        <v>293.33333333333786</v>
      </c>
      <c r="S134" s="62">
        <f ca="1">AVERAGE(OFFSET($R$3,0,0,'Données projet'!$E$9+1,1))-AVERAGE(OFFSET($H$3,0,0,'Données projet'!$E$9+1,1))</f>
        <v>321.23599968992932</v>
      </c>
      <c r="T134" s="62">
        <f t="shared" si="142"/>
        <v>388.05195847800502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0.68334509687787559</v>
      </c>
      <c r="AB134" s="23">
        <f>EXP(-LN(2)/2)*AB133+(1-EXP(-LN(2)/2))/(LN(2)/2)*V134*Y134*VLOOKUP('Données projet'!$B$9,Paramètres!$A$1:$I$89,3,0)*0.475*44/12</f>
        <v>1.0999828899505195E-14</v>
      </c>
      <c r="AC134" s="24">
        <f t="shared" si="111"/>
        <v>0.68334509687788658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1.9895196601282805E-13</v>
      </c>
      <c r="O135" s="14">
        <f>N135*VLOOKUP('Données projet'!$B$9,Paramètres!$A$1:$I$89,3,0)*VLOOKUP('Données projet'!$B$9,Paramètres!$A$1:$I$89,5,0)</f>
        <v>1.738044375088066E-13</v>
      </c>
      <c r="P135" s="14">
        <f t="shared" si="141"/>
        <v>2.4483293633950478E-12</v>
      </c>
      <c r="Q135" s="22">
        <f t="shared" si="108"/>
        <v>4.566883036574213E-12</v>
      </c>
      <c r="R135" s="62">
        <f t="shared" si="109"/>
        <v>293.33333333333786</v>
      </c>
      <c r="S135" s="62">
        <f ca="1">AVERAGE(OFFSET($R$3,0,0,'Données projet'!$E$9+1,1))-AVERAGE(OFFSET($H$3,0,0,'Données projet'!$E$9+1,1))</f>
        <v>321.23599968992932</v>
      </c>
      <c r="T135" s="62">
        <f t="shared" si="142"/>
        <v>388.05195847800502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0.66465898926819322</v>
      </c>
      <c r="AB135" s="23">
        <f>EXP(-LN(2)/2)*AB134+(1-EXP(-LN(2)/2))/(LN(2)/2)*V135*Y135*VLOOKUP('Données projet'!$B$9,Paramètres!$A$1:$I$89,3,0)*0.475*44/12</f>
        <v>7.7780536067318814E-15</v>
      </c>
      <c r="AC135" s="24">
        <f t="shared" si="111"/>
        <v>0.66465898926820099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1.9895196601282805E-13</v>
      </c>
      <c r="O136" s="14">
        <f>N136*VLOOKUP('Données projet'!$B$9,Paramètres!$A$1:$I$89,3,0)*VLOOKUP('Données projet'!$B$9,Paramètres!$A$1:$I$89,5,0)</f>
        <v>1.738044375088066E-13</v>
      </c>
      <c r="P136" s="14">
        <f t="shared" si="141"/>
        <v>2.4483293633950478E-12</v>
      </c>
      <c r="Q136" s="22">
        <f t="shared" si="108"/>
        <v>4.566883036574213E-12</v>
      </c>
      <c r="R136" s="62">
        <f t="shared" si="109"/>
        <v>293.33333333333786</v>
      </c>
      <c r="S136" s="62">
        <f ca="1">AVERAGE(OFFSET($R$3,0,0,'Données projet'!$E$9+1,1))-AVERAGE(OFFSET($H$3,0,0,'Données projet'!$E$9+1,1))</f>
        <v>321.23599968992932</v>
      </c>
      <c r="T136" s="62">
        <f t="shared" si="142"/>
        <v>388.05195847800502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0.64648385425375732</v>
      </c>
      <c r="AB136" s="23">
        <f>EXP(-LN(2)/2)*AB135+(1-EXP(-LN(2)/2))/(LN(2)/2)*V136*Y136*VLOOKUP('Données projet'!$B$9,Paramètres!$A$1:$I$89,3,0)*0.475*44/12</f>
        <v>5.4999144497525973E-15</v>
      </c>
      <c r="AC136" s="24">
        <f t="shared" si="111"/>
        <v>0.64648385425376287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1.9895196601282805E-13</v>
      </c>
      <c r="O137" s="14">
        <f>N137*VLOOKUP('Données projet'!$B$9,Paramètres!$A$1:$I$89,3,0)*VLOOKUP('Données projet'!$B$9,Paramètres!$A$1:$I$89,5,0)</f>
        <v>1.738044375088066E-13</v>
      </c>
      <c r="P137" s="14">
        <f t="shared" si="141"/>
        <v>2.4483293633950478E-12</v>
      </c>
      <c r="Q137" s="22">
        <f t="shared" si="108"/>
        <v>4.566883036574213E-12</v>
      </c>
      <c r="R137" s="62">
        <f t="shared" si="109"/>
        <v>293.33333333333786</v>
      </c>
      <c r="S137" s="62">
        <f ca="1">AVERAGE(OFFSET($R$3,0,0,'Données projet'!$E$9+1,1))-AVERAGE(OFFSET($H$3,0,0,'Données projet'!$E$9+1,1))</f>
        <v>321.23599968992932</v>
      </c>
      <c r="T137" s="62">
        <f t="shared" si="142"/>
        <v>388.05195847800502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0.62880571926207995</v>
      </c>
      <c r="AB137" s="23">
        <f>EXP(-LN(2)/2)*AB136+(1-EXP(-LN(2)/2))/(LN(2)/2)*V137*Y137*VLOOKUP('Données projet'!$B$9,Paramètres!$A$1:$I$89,3,0)*0.475*44/12</f>
        <v>3.8890268033659407E-15</v>
      </c>
      <c r="AC137" s="24">
        <f t="shared" si="111"/>
        <v>0.62880571926208384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1.9895196601282805E-13</v>
      </c>
      <c r="O138" s="14">
        <f>N138*VLOOKUP('Données projet'!$B$9,Paramètres!$A$1:$I$89,3,0)*VLOOKUP('Données projet'!$B$9,Paramètres!$A$1:$I$89,5,0)</f>
        <v>1.738044375088066E-13</v>
      </c>
      <c r="P138" s="14">
        <f t="shared" si="141"/>
        <v>2.4483293633950478E-12</v>
      </c>
      <c r="Q138" s="22">
        <f t="shared" si="108"/>
        <v>4.566883036574213E-12</v>
      </c>
      <c r="R138" s="62">
        <f t="shared" si="109"/>
        <v>293.33333333333786</v>
      </c>
      <c r="S138" s="62">
        <f ca="1">AVERAGE(OFFSET($R$3,0,0,'Données projet'!$E$9+1,1))-AVERAGE(OFFSET($H$3,0,0,'Données projet'!$E$9+1,1))</f>
        <v>321.23599968992932</v>
      </c>
      <c r="T138" s="62">
        <f t="shared" si="142"/>
        <v>388.05195847800502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0.61161099380140271</v>
      </c>
      <c r="AB138" s="23">
        <f>EXP(-LN(2)/2)*AB137+(1-EXP(-LN(2)/2))/(LN(2)/2)*V138*Y138*VLOOKUP('Données projet'!$B$9,Paramètres!$A$1:$I$89,3,0)*0.475*44/12</f>
        <v>2.7499572248762986E-15</v>
      </c>
      <c r="AC138" s="24">
        <f t="shared" si="111"/>
        <v>0.61161099380140549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1.9895196601282805E-13</v>
      </c>
      <c r="O139" s="14">
        <f>N139*VLOOKUP('Données projet'!$B$9,Paramètres!$A$1:$I$89,3,0)*VLOOKUP('Données projet'!$B$9,Paramètres!$A$1:$I$89,5,0)</f>
        <v>1.738044375088066E-13</v>
      </c>
      <c r="P139" s="14">
        <f t="shared" si="141"/>
        <v>2.4483293633950478E-12</v>
      </c>
      <c r="Q139" s="22">
        <f t="shared" si="108"/>
        <v>4.566883036574213E-12</v>
      </c>
      <c r="R139" s="62">
        <f t="shared" si="109"/>
        <v>293.33333333333786</v>
      </c>
      <c r="S139" s="62">
        <f ca="1">AVERAGE(OFFSET($R$3,0,0,'Données projet'!$E$9+1,1))-AVERAGE(OFFSET($H$3,0,0,'Données projet'!$E$9+1,1))</f>
        <v>321.23599968992932</v>
      </c>
      <c r="T139" s="62">
        <f t="shared" si="142"/>
        <v>388.05195847800502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0.594886459012679</v>
      </c>
      <c r="AB139" s="23">
        <f>EXP(-LN(2)/2)*AB138+(1-EXP(-LN(2)/2))/(LN(2)/2)*V139*Y139*VLOOKUP('Données projet'!$B$9,Paramètres!$A$1:$I$89,3,0)*0.475*44/12</f>
        <v>1.9445134016829703E-15</v>
      </c>
      <c r="AC139" s="24">
        <f t="shared" si="111"/>
        <v>0.594886459012681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1.9895196601282805E-13</v>
      </c>
      <c r="O140" s="14">
        <f>N140*VLOOKUP('Données projet'!$B$9,Paramètres!$A$1:$I$89,3,0)*VLOOKUP('Données projet'!$B$9,Paramètres!$A$1:$I$89,5,0)</f>
        <v>1.738044375088066E-13</v>
      </c>
      <c r="P140" s="14">
        <f t="shared" si="141"/>
        <v>2.4483293633950478E-12</v>
      </c>
      <c r="Q140" s="22">
        <f t="shared" si="108"/>
        <v>4.566883036574213E-12</v>
      </c>
      <c r="R140" s="62">
        <f t="shared" si="109"/>
        <v>293.33333333333786</v>
      </c>
      <c r="S140" s="62">
        <f ca="1">AVERAGE(OFFSET($R$3,0,0,'Données projet'!$E$9+1,1))-AVERAGE(OFFSET($H$3,0,0,'Données projet'!$E$9+1,1))</f>
        <v>321.23599968992932</v>
      </c>
      <c r="T140" s="62">
        <f t="shared" si="142"/>
        <v>388.05195847800502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0.57861925750725807</v>
      </c>
      <c r="AB140" s="23">
        <f>EXP(-LN(2)/2)*AB139+(1-EXP(-LN(2)/2))/(LN(2)/2)*V140*Y140*VLOOKUP('Données projet'!$B$9,Paramètres!$A$1:$I$89,3,0)*0.475*44/12</f>
        <v>1.3749786124381493E-15</v>
      </c>
      <c r="AC140" s="24">
        <f t="shared" si="111"/>
        <v>0.5786192575072594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1.9895196601282805E-13</v>
      </c>
      <c r="O141" s="14">
        <f>N141*VLOOKUP('Données projet'!$B$9,Paramètres!$A$1:$I$89,3,0)*VLOOKUP('Données projet'!$B$9,Paramètres!$A$1:$I$89,5,0)</f>
        <v>1.738044375088066E-13</v>
      </c>
      <c r="P141" s="14">
        <f t="shared" si="141"/>
        <v>2.4483293633950478E-12</v>
      </c>
      <c r="Q141" s="22">
        <f t="shared" si="108"/>
        <v>4.566883036574213E-12</v>
      </c>
      <c r="R141" s="62">
        <f t="shared" si="109"/>
        <v>293.33333333333786</v>
      </c>
      <c r="S141" s="62">
        <f ca="1">AVERAGE(OFFSET($R$3,0,0,'Données projet'!$E$9+1,1))-AVERAGE(OFFSET($H$3,0,0,'Données projet'!$E$9+1,1))</f>
        <v>321.23599968992932</v>
      </c>
      <c r="T141" s="62">
        <f t="shared" si="142"/>
        <v>388.05195847800502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0.56279688348245782</v>
      </c>
      <c r="AB141" s="23">
        <f>EXP(-LN(2)/2)*AB140+(1-EXP(-LN(2)/2))/(LN(2)/2)*V141*Y141*VLOOKUP('Données projet'!$B$9,Paramètres!$A$1:$I$89,3,0)*0.475*44/12</f>
        <v>9.7225670084148517E-16</v>
      </c>
      <c r="AC141" s="24">
        <f t="shared" si="111"/>
        <v>0.56279688348245882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1.9895196601282805E-13</v>
      </c>
      <c r="O142" s="14">
        <f>N142*VLOOKUP('Données projet'!$B$9,Paramètres!$A$1:$I$89,3,0)*VLOOKUP('Données projet'!$B$9,Paramètres!$A$1:$I$89,5,0)</f>
        <v>1.738044375088066E-13</v>
      </c>
      <c r="P142" s="14">
        <f t="shared" si="141"/>
        <v>2.4483293633950478E-12</v>
      </c>
      <c r="Q142" s="22">
        <f t="shared" si="108"/>
        <v>4.566883036574213E-12</v>
      </c>
      <c r="R142" s="62">
        <f t="shared" si="109"/>
        <v>293.33333333333786</v>
      </c>
      <c r="S142" s="62">
        <f ca="1">AVERAGE(OFFSET($R$3,0,0,'Données projet'!$E$9+1,1))-AVERAGE(OFFSET($H$3,0,0,'Données projet'!$E$9+1,1))</f>
        <v>321.23599968992932</v>
      </c>
      <c r="T142" s="62">
        <f t="shared" si="142"/>
        <v>388.05195847800502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0.54740717310742815</v>
      </c>
      <c r="AB142" s="23">
        <f>EXP(-LN(2)/2)*AB141+(1-EXP(-LN(2)/2))/(LN(2)/2)*V142*Y142*VLOOKUP('Données projet'!$B$9,Paramètres!$A$1:$I$89,3,0)*0.475*44/12</f>
        <v>6.8748930621907466E-16</v>
      </c>
      <c r="AC142" s="24">
        <f t="shared" si="111"/>
        <v>0.54740717310742881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1.9895196601282805E-13</v>
      </c>
      <c r="O143" s="14">
        <f>N143*VLOOKUP('Données projet'!$B$9,Paramètres!$A$1:$I$89,3,0)*VLOOKUP('Données projet'!$B$9,Paramètres!$A$1:$I$89,5,0)</f>
        <v>1.738044375088066E-13</v>
      </c>
      <c r="P143" s="14">
        <f t="shared" si="141"/>
        <v>2.4483293633950478E-12</v>
      </c>
      <c r="Q143" s="22">
        <f t="shared" si="108"/>
        <v>4.566883036574213E-12</v>
      </c>
      <c r="R143" s="62">
        <f t="shared" si="109"/>
        <v>293.33333333333786</v>
      </c>
      <c r="S143" s="62">
        <f ca="1">AVERAGE(OFFSET($R$3,0,0,'Données projet'!$E$9+1,1))-AVERAGE(OFFSET($H$3,0,0,'Données projet'!$E$9+1,1))</f>
        <v>321.23599968992932</v>
      </c>
      <c r="T143" s="62">
        <f t="shared" si="142"/>
        <v>388.05195847800502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0.53243829517191343</v>
      </c>
      <c r="AB143" s="23">
        <f>EXP(-LN(2)/2)*AB142+(1-EXP(-LN(2)/2))/(LN(2)/2)*V143*Y143*VLOOKUP('Données projet'!$B$9,Paramètres!$A$1:$I$89,3,0)*0.475*44/12</f>
        <v>4.8612835042074259E-16</v>
      </c>
      <c r="AC143" s="24">
        <f t="shared" si="111"/>
        <v>0.53243829517191388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1.9895196601282805E-13</v>
      </c>
      <c r="O144" s="14">
        <f>N144*VLOOKUP('Données projet'!$B$9,Paramètres!$A$1:$I$89,3,0)*VLOOKUP('Données projet'!$B$9,Paramètres!$A$1:$I$89,5,0)</f>
        <v>1.738044375088066E-13</v>
      </c>
      <c r="P144" s="14">
        <f t="shared" si="141"/>
        <v>2.4483293633950478E-12</v>
      </c>
      <c r="Q144" s="22">
        <f t="shared" si="108"/>
        <v>4.566883036574213E-12</v>
      </c>
      <c r="R144" s="62">
        <f t="shared" si="109"/>
        <v>293.33333333333786</v>
      </c>
      <c r="S144" s="62">
        <f ca="1">AVERAGE(OFFSET($R$3,0,0,'Données projet'!$E$9+1,1))-AVERAGE(OFFSET($H$3,0,0,'Données projet'!$E$9+1,1))</f>
        <v>321.23599968992932</v>
      </c>
      <c r="T144" s="62">
        <f t="shared" si="142"/>
        <v>388.05195847800502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0.51787874199072437</v>
      </c>
      <c r="AB144" s="23">
        <f>EXP(-LN(2)/2)*AB143+(1-EXP(-LN(2)/2))/(LN(2)/2)*V144*Y144*VLOOKUP('Données projet'!$B$9,Paramètres!$A$1:$I$89,3,0)*0.475*44/12</f>
        <v>3.4374465310953733E-16</v>
      </c>
      <c r="AC144" s="24">
        <f t="shared" si="111"/>
        <v>0.5178787419907247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1.9895196601282805E-13</v>
      </c>
      <c r="O145" s="14">
        <f>N145*VLOOKUP('Données projet'!$B$9,Paramètres!$A$1:$I$89,3,0)*VLOOKUP('Données projet'!$B$9,Paramètres!$A$1:$I$89,5,0)</f>
        <v>1.738044375088066E-13</v>
      </c>
      <c r="P145" s="14">
        <f t="shared" si="141"/>
        <v>2.4483293633950478E-12</v>
      </c>
      <c r="Q145" s="22">
        <f t="shared" si="108"/>
        <v>4.566883036574213E-12</v>
      </c>
      <c r="R145" s="62">
        <f t="shared" si="109"/>
        <v>293.33333333333786</v>
      </c>
      <c r="S145" s="62">
        <f ca="1">AVERAGE(OFFSET($R$3,0,0,'Données projet'!$E$9+1,1))-AVERAGE(OFFSET($H$3,0,0,'Données projet'!$E$9+1,1))</f>
        <v>321.23599968992932</v>
      </c>
      <c r="T145" s="62">
        <f t="shared" si="142"/>
        <v>388.05195847800502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0.50371732055692864</v>
      </c>
      <c r="AB145" s="23">
        <f>EXP(-LN(2)/2)*AB144+(1-EXP(-LN(2)/2))/(LN(2)/2)*V145*Y145*VLOOKUP('Données projet'!$B$9,Paramètres!$A$1:$I$89,3,0)*0.475*44/12</f>
        <v>2.4306417521037129E-16</v>
      </c>
      <c r="AC145" s="24">
        <f t="shared" si="111"/>
        <v>0.50371732055692886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1.9895196601282805E-13</v>
      </c>
      <c r="O146" s="14">
        <f>N146*VLOOKUP('Données projet'!$B$9,Paramètres!$A$1:$I$89,3,0)*VLOOKUP('Données projet'!$B$9,Paramètres!$A$1:$I$89,5,0)</f>
        <v>1.738044375088066E-13</v>
      </c>
      <c r="P146" s="14">
        <f t="shared" si="141"/>
        <v>2.4483293633950478E-12</v>
      </c>
      <c r="Q146" s="22">
        <f t="shared" si="108"/>
        <v>4.566883036574213E-12</v>
      </c>
      <c r="R146" s="62">
        <f t="shared" si="109"/>
        <v>293.33333333333786</v>
      </c>
      <c r="S146" s="62">
        <f ca="1">AVERAGE(OFFSET($R$3,0,0,'Données projet'!$E$9+1,1))-AVERAGE(OFFSET($H$3,0,0,'Données projet'!$E$9+1,1))</f>
        <v>321.23599968992932</v>
      </c>
      <c r="T146" s="62">
        <f t="shared" si="142"/>
        <v>388.05195847800502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0.48994314393695682</v>
      </c>
      <c r="AB146" s="23">
        <f>EXP(-LN(2)/2)*AB145+(1-EXP(-LN(2)/2))/(LN(2)/2)*V146*Y146*VLOOKUP('Données projet'!$B$9,Paramètres!$A$1:$I$89,3,0)*0.475*44/12</f>
        <v>1.7187232655476867E-16</v>
      </c>
      <c r="AC146" s="24">
        <f t="shared" si="111"/>
        <v>0.48994314393695698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1.9895196601282805E-13</v>
      </c>
      <c r="O147" s="14">
        <f>N147*VLOOKUP('Données projet'!$B$9,Paramètres!$A$1:$I$89,3,0)*VLOOKUP('Données projet'!$B$9,Paramètres!$A$1:$I$89,5,0)</f>
        <v>1.738044375088066E-13</v>
      </c>
      <c r="P147" s="14">
        <f t="shared" si="141"/>
        <v>2.4483293633950478E-12</v>
      </c>
      <c r="Q147" s="22">
        <f t="shared" si="108"/>
        <v>4.566883036574213E-12</v>
      </c>
      <c r="R147" s="62">
        <f t="shared" si="109"/>
        <v>293.33333333333786</v>
      </c>
      <c r="S147" s="62">
        <f ca="1">AVERAGE(OFFSET($R$3,0,0,'Données projet'!$E$9+1,1))-AVERAGE(OFFSET($H$3,0,0,'Données projet'!$E$9+1,1))</f>
        <v>321.23599968992932</v>
      </c>
      <c r="T147" s="62">
        <f t="shared" si="142"/>
        <v>388.05195847800502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0.47654562290101055</v>
      </c>
      <c r="AB147" s="23">
        <f>EXP(-LN(2)/2)*AB146+(1-EXP(-LN(2)/2))/(LN(2)/2)*V147*Y147*VLOOKUP('Données projet'!$B$9,Paramètres!$A$1:$I$89,3,0)*0.475*44/12</f>
        <v>1.2153208760518565E-16</v>
      </c>
      <c r="AC147" s="24">
        <f t="shared" si="111"/>
        <v>0.47654562290101066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1.9895196601282805E-13</v>
      </c>
      <c r="O148" s="14">
        <f>N148*VLOOKUP('Données projet'!$B$9,Paramètres!$A$1:$I$89,3,0)*VLOOKUP('Données projet'!$B$9,Paramètres!$A$1:$I$89,5,0)</f>
        <v>1.738044375088066E-13</v>
      </c>
      <c r="P148" s="14">
        <f t="shared" si="141"/>
        <v>2.4483293633950478E-12</v>
      </c>
      <c r="Q148" s="22">
        <f t="shared" si="108"/>
        <v>4.566883036574213E-12</v>
      </c>
      <c r="R148" s="62">
        <f t="shared" si="109"/>
        <v>293.33333333333786</v>
      </c>
      <c r="S148" s="62">
        <f ca="1">AVERAGE(OFFSET($R$3,0,0,'Données projet'!$E$9+1,1))-AVERAGE(OFFSET($H$3,0,0,'Données projet'!$E$9+1,1))</f>
        <v>321.23599968992932</v>
      </c>
      <c r="T148" s="62">
        <f t="shared" si="142"/>
        <v>388.05195847800502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0.46351445778233724</v>
      </c>
      <c r="AB148" s="23">
        <f>EXP(-LN(2)/2)*AB147+(1-EXP(-LN(2)/2))/(LN(2)/2)*V148*Y148*VLOOKUP('Données projet'!$B$9,Paramètres!$A$1:$I$89,3,0)*0.475*44/12</f>
        <v>8.5936163277384333E-17</v>
      </c>
      <c r="AC148" s="24">
        <f t="shared" si="111"/>
        <v>0.46351445778233735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1.9895196601282805E-13</v>
      </c>
      <c r="O149" s="14">
        <f>N149*VLOOKUP('Données projet'!$B$9,Paramètres!$A$1:$I$89,3,0)*VLOOKUP('Données projet'!$B$9,Paramètres!$A$1:$I$89,5,0)</f>
        <v>1.738044375088066E-13</v>
      </c>
      <c r="P149" s="14">
        <f t="shared" si="141"/>
        <v>2.4483293633950478E-12</v>
      </c>
      <c r="Q149" s="22">
        <f t="shared" si="108"/>
        <v>4.566883036574213E-12</v>
      </c>
      <c r="R149" s="62">
        <f t="shared" si="109"/>
        <v>293.33333333333786</v>
      </c>
      <c r="S149" s="62">
        <f ca="1">AVERAGE(OFFSET($R$3,0,0,'Données projet'!$E$9+1,1))-AVERAGE(OFFSET($H$3,0,0,'Données projet'!$E$9+1,1))</f>
        <v>321.23599968992932</v>
      </c>
      <c r="T149" s="62">
        <f t="shared" si="142"/>
        <v>388.05195847800502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0.45083963055911325</v>
      </c>
      <c r="AB149" s="23">
        <f>EXP(-LN(2)/2)*AB148+(1-EXP(-LN(2)/2))/(LN(2)/2)*V149*Y149*VLOOKUP('Données projet'!$B$9,Paramètres!$A$1:$I$89,3,0)*0.475*44/12</f>
        <v>6.0766043802592823E-17</v>
      </c>
      <c r="AC149" s="24">
        <f t="shared" si="111"/>
        <v>0.4508396305591133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1.9895196601282805E-13</v>
      </c>
      <c r="O150" s="14">
        <f>N150*VLOOKUP('Données projet'!$B$9,Paramètres!$A$1:$I$89,3,0)*VLOOKUP('Données projet'!$B$9,Paramètres!$A$1:$I$89,5,0)</f>
        <v>1.738044375088066E-13</v>
      </c>
      <c r="P150" s="14">
        <f t="shared" si="141"/>
        <v>2.4483293633950478E-12</v>
      </c>
      <c r="Q150" s="22">
        <f t="shared" si="108"/>
        <v>4.566883036574213E-12</v>
      </c>
      <c r="R150" s="62">
        <f t="shared" si="109"/>
        <v>293.33333333333786</v>
      </c>
      <c r="S150" s="62">
        <f ca="1">AVERAGE(OFFSET($R$3,0,0,'Données projet'!$E$9+1,1))-AVERAGE(OFFSET($H$3,0,0,'Données projet'!$E$9+1,1))</f>
        <v>321.23599968992932</v>
      </c>
      <c r="T150" s="62">
        <f t="shared" si="142"/>
        <v>388.05195847800502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0.43851139715284854</v>
      </c>
      <c r="AB150" s="23">
        <f>EXP(-LN(2)/2)*AB149+(1-EXP(-LN(2)/2))/(LN(2)/2)*V150*Y150*VLOOKUP('Données projet'!$B$9,Paramètres!$A$1:$I$89,3,0)*0.475*44/12</f>
        <v>4.2968081638692166E-17</v>
      </c>
      <c r="AC150" s="24">
        <f t="shared" si="111"/>
        <v>0.43851139715284859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1.9895196601282805E-13</v>
      </c>
      <c r="O151" s="14">
        <f>N151*VLOOKUP('Données projet'!$B$9,Paramètres!$A$1:$I$89,3,0)*VLOOKUP('Données projet'!$B$9,Paramètres!$A$1:$I$89,5,0)</f>
        <v>1.738044375088066E-13</v>
      </c>
      <c r="P151" s="14">
        <f t="shared" si="141"/>
        <v>2.4483293633950478E-12</v>
      </c>
      <c r="Q151" s="22">
        <f t="shared" si="108"/>
        <v>4.566883036574213E-12</v>
      </c>
      <c r="R151" s="62">
        <f t="shared" si="109"/>
        <v>293.33333333333786</v>
      </c>
      <c r="S151" s="62">
        <f ca="1">AVERAGE(OFFSET($R$3,0,0,'Données projet'!$E$9+1,1))-AVERAGE(OFFSET($H$3,0,0,'Données projet'!$E$9+1,1))</f>
        <v>321.23599968992932</v>
      </c>
      <c r="T151" s="62">
        <f t="shared" si="142"/>
        <v>388.05195847800502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0.42652027993739172</v>
      </c>
      <c r="AB151" s="23">
        <f>EXP(-LN(2)/2)*AB150+(1-EXP(-LN(2)/2))/(LN(2)/2)*V151*Y151*VLOOKUP('Données projet'!$B$9,Paramètres!$A$1:$I$89,3,0)*0.475*44/12</f>
        <v>3.0383021901296412E-17</v>
      </c>
      <c r="AC151" s="24">
        <f t="shared" si="111"/>
        <v>0.42652027993739178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1.9895196601282805E-13</v>
      </c>
      <c r="O152" s="14">
        <f>N152*VLOOKUP('Données projet'!$B$9,Paramètres!$A$1:$I$89,3,0)*VLOOKUP('Données projet'!$B$9,Paramètres!$A$1:$I$89,5,0)</f>
        <v>1.738044375088066E-13</v>
      </c>
      <c r="P152" s="14">
        <f t="shared" si="141"/>
        <v>2.4483293633950478E-12</v>
      </c>
      <c r="Q152" s="22">
        <f t="shared" si="108"/>
        <v>4.566883036574213E-12</v>
      </c>
      <c r="R152" s="62">
        <f t="shared" si="109"/>
        <v>293.33333333333786</v>
      </c>
      <c r="S152" s="62">
        <f ca="1">AVERAGE(OFFSET($R$3,0,0,'Données projet'!$E$9+1,1))-AVERAGE(OFFSET($H$3,0,0,'Données projet'!$E$9+1,1))</f>
        <v>321.23599968992932</v>
      </c>
      <c r="T152" s="62">
        <f t="shared" si="142"/>
        <v>388.05195847800502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0.41485706045277704</v>
      </c>
      <c r="AB152" s="23">
        <f>EXP(-LN(2)/2)*AB151+(1-EXP(-LN(2)/2))/(LN(2)/2)*V152*Y152*VLOOKUP('Données projet'!$B$9,Paramètres!$A$1:$I$89,3,0)*0.475*44/12</f>
        <v>2.1484040819346083E-17</v>
      </c>
      <c r="AC152" s="24">
        <f t="shared" si="111"/>
        <v>0.41485706045277704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1.9895196601282805E-13</v>
      </c>
      <c r="O153" s="14">
        <f>N153*VLOOKUP('Données projet'!$B$9,Paramètres!$A$1:$I$89,3,0)*VLOOKUP('Données projet'!$B$9,Paramètres!$A$1:$I$89,5,0)</f>
        <v>1.738044375088066E-13</v>
      </c>
      <c r="P153" s="14">
        <f t="shared" si="141"/>
        <v>2.4483293633950478E-12</v>
      </c>
      <c r="Q153" s="22">
        <f t="shared" si="108"/>
        <v>4.566883036574213E-12</v>
      </c>
      <c r="R153" s="62">
        <f t="shared" si="109"/>
        <v>293.33333333333786</v>
      </c>
      <c r="S153" s="62">
        <f ca="1">AVERAGE(OFFSET($R$3,0,0,'Données projet'!$E$9+1,1))-AVERAGE(OFFSET($H$3,0,0,'Données projet'!$E$9+1,1))</f>
        <v>321.23599968992932</v>
      </c>
      <c r="T153" s="62">
        <f t="shared" si="142"/>
        <v>388.05195847800502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0.40351277231831123</v>
      </c>
      <c r="AB153" s="23">
        <f>EXP(-LN(2)/2)*AB152+(1-EXP(-LN(2)/2))/(LN(2)/2)*V153*Y153*VLOOKUP('Données projet'!$B$9,Paramètres!$A$1:$I$89,3,0)*0.475*44/12</f>
        <v>1.5191510950648206E-17</v>
      </c>
      <c r="AC153" s="24">
        <f t="shared" si="111"/>
        <v>0.40351277231831123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1.9895196601282805E-13</v>
      </c>
      <c r="O154" s="14">
        <f>N154*VLOOKUP('Données projet'!$B$9,Paramètres!$A$1:$I$89,3,0)*VLOOKUP('Données projet'!$B$9,Paramètres!$A$1:$I$89,5,0)</f>
        <v>1.738044375088066E-13</v>
      </c>
      <c r="P154" s="14">
        <f t="shared" si="141"/>
        <v>2.4483293633950478E-12</v>
      </c>
      <c r="Q154" s="22">
        <f t="shared" ref="Q154:Q203" si="162">(O154+P154)*0.475*44/12</f>
        <v>4.566883036574213E-12</v>
      </c>
      <c r="R154" s="62">
        <f t="shared" si="109"/>
        <v>293.33333333333786</v>
      </c>
      <c r="S154" s="62">
        <f ca="1">AVERAGE(OFFSET($R$3,0,0,'Données projet'!$E$9+1,1))-AVERAGE(OFFSET($H$3,0,0,'Données projet'!$E$9+1,1))</f>
        <v>321.23599968992932</v>
      </c>
      <c r="T154" s="62">
        <f t="shared" si="142"/>
        <v>388.05195847800502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0.39247869433945254</v>
      </c>
      <c r="AB154" s="23">
        <f>EXP(-LN(2)/2)*AB153+(1-EXP(-LN(2)/2))/(LN(2)/2)*V154*Y154*VLOOKUP('Données projet'!$B$9,Paramètres!$A$1:$I$89,3,0)*0.475*44/12</f>
        <v>1.0742020409673042E-17</v>
      </c>
      <c r="AC154" s="24">
        <f t="shared" ref="AC154:AC203" si="163">SUM(Z154:AB154)</f>
        <v>0.39247869433945254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1.9895196601282805E-13</v>
      </c>
      <c r="O155" s="14">
        <f>N155*VLOOKUP('Données projet'!$B$9,Paramètres!$A$1:$I$89,3,0)*VLOOKUP('Données projet'!$B$9,Paramètres!$A$1:$I$89,5,0)</f>
        <v>1.738044375088066E-13</v>
      </c>
      <c r="P155" s="14">
        <f t="shared" si="141"/>
        <v>2.4483293633950478E-12</v>
      </c>
      <c r="Q155" s="22">
        <f t="shared" si="162"/>
        <v>4.566883036574213E-12</v>
      </c>
      <c r="R155" s="62">
        <f t="shared" si="109"/>
        <v>293.33333333333786</v>
      </c>
      <c r="S155" s="62">
        <f ca="1">AVERAGE(OFFSET($R$3,0,0,'Données projet'!$E$9+1,1))-AVERAGE(OFFSET($H$3,0,0,'Données projet'!$E$9+1,1))</f>
        <v>321.23599968992932</v>
      </c>
      <c r="T155" s="62">
        <f t="shared" si="142"/>
        <v>388.05195847800502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0.38174634380318268</v>
      </c>
      <c r="AB155" s="23">
        <f>EXP(-LN(2)/2)*AB154+(1-EXP(-LN(2)/2))/(LN(2)/2)*V155*Y155*VLOOKUP('Données projet'!$B$9,Paramètres!$A$1:$I$89,3,0)*0.475*44/12</f>
        <v>7.5957554753241029E-18</v>
      </c>
      <c r="AC155" s="24">
        <f t="shared" si="163"/>
        <v>0.38174634380318268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1.9895196601282805E-13</v>
      </c>
      <c r="O156" s="14">
        <f>N156*VLOOKUP('Données projet'!$B$9,Paramètres!$A$1:$I$89,3,0)*VLOOKUP('Données projet'!$B$9,Paramètres!$A$1:$I$89,5,0)</f>
        <v>1.738044375088066E-13</v>
      </c>
      <c r="P156" s="14">
        <f t="shared" si="141"/>
        <v>2.4483293633950478E-12</v>
      </c>
      <c r="Q156" s="22">
        <f t="shared" si="162"/>
        <v>4.566883036574213E-12</v>
      </c>
      <c r="R156" s="62">
        <f t="shared" si="109"/>
        <v>293.33333333333786</v>
      </c>
      <c r="S156" s="62">
        <f ca="1">AVERAGE(OFFSET($R$3,0,0,'Données projet'!$E$9+1,1))-AVERAGE(OFFSET($H$3,0,0,'Données projet'!$E$9+1,1))</f>
        <v>321.23599968992932</v>
      </c>
      <c r="T156" s="62">
        <f t="shared" si="142"/>
        <v>388.05195847800502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0.37130746995671693</v>
      </c>
      <c r="AB156" s="23">
        <f>EXP(-LN(2)/2)*AB155+(1-EXP(-LN(2)/2))/(LN(2)/2)*V156*Y156*VLOOKUP('Données projet'!$B$9,Paramètres!$A$1:$I$89,3,0)*0.475*44/12</f>
        <v>5.3710102048365208E-18</v>
      </c>
      <c r="AC156" s="24">
        <f t="shared" si="163"/>
        <v>0.37130746995671693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1.9895196601282805E-13</v>
      </c>
      <c r="O157" s="14">
        <f>N157*VLOOKUP('Données projet'!$B$9,Paramètres!$A$1:$I$89,3,0)*VLOOKUP('Données projet'!$B$9,Paramètres!$A$1:$I$89,5,0)</f>
        <v>1.738044375088066E-13</v>
      </c>
      <c r="P157" s="14">
        <f t="shared" si="141"/>
        <v>2.4483293633950478E-12</v>
      </c>
      <c r="Q157" s="22">
        <f t="shared" si="162"/>
        <v>4.566883036574213E-12</v>
      </c>
      <c r="R157" s="62">
        <f t="shared" si="109"/>
        <v>293.33333333333786</v>
      </c>
      <c r="S157" s="62">
        <f ca="1">AVERAGE(OFFSET($R$3,0,0,'Données projet'!$E$9+1,1))-AVERAGE(OFFSET($H$3,0,0,'Données projet'!$E$9+1,1))</f>
        <v>321.23599968992932</v>
      </c>
      <c r="T157" s="62">
        <f t="shared" si="142"/>
        <v>388.05195847800502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0.36115404766453929</v>
      </c>
      <c r="AB157" s="23">
        <f>EXP(-LN(2)/2)*AB156+(1-EXP(-LN(2)/2))/(LN(2)/2)*V157*Y157*VLOOKUP('Données projet'!$B$9,Paramètres!$A$1:$I$89,3,0)*0.475*44/12</f>
        <v>3.7978777376620515E-18</v>
      </c>
      <c r="AC157" s="24">
        <f t="shared" si="163"/>
        <v>0.36115404766453929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1.9895196601282805E-13</v>
      </c>
      <c r="O158" s="14">
        <f>N158*VLOOKUP('Données projet'!$B$9,Paramètres!$A$1:$I$89,3,0)*VLOOKUP('Données projet'!$B$9,Paramètres!$A$1:$I$89,5,0)</f>
        <v>1.738044375088066E-13</v>
      </c>
      <c r="P158" s="14">
        <f t="shared" si="141"/>
        <v>2.4483293633950478E-12</v>
      </c>
      <c r="Q158" s="22">
        <f t="shared" si="162"/>
        <v>4.566883036574213E-12</v>
      </c>
      <c r="R158" s="62">
        <f t="shared" si="109"/>
        <v>293.33333333333786</v>
      </c>
      <c r="S158" s="62">
        <f ca="1">AVERAGE(OFFSET($R$3,0,0,'Données projet'!$E$9+1,1))-AVERAGE(OFFSET($H$3,0,0,'Données projet'!$E$9+1,1))</f>
        <v>321.23599968992932</v>
      </c>
      <c r="T158" s="62">
        <f t="shared" si="142"/>
        <v>388.05195847800502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0.35127827123888655</v>
      </c>
      <c r="AB158" s="23">
        <f>EXP(-LN(2)/2)*AB157+(1-EXP(-LN(2)/2))/(LN(2)/2)*V158*Y158*VLOOKUP('Données projet'!$B$9,Paramètres!$A$1:$I$89,3,0)*0.475*44/12</f>
        <v>2.6855051024182604E-18</v>
      </c>
      <c r="AC158" s="24">
        <f t="shared" si="163"/>
        <v>0.35127827123888655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1.9895196601282805E-13</v>
      </c>
      <c r="O159" s="14">
        <f>N159*VLOOKUP('Données projet'!$B$9,Paramètres!$A$1:$I$89,3,0)*VLOOKUP('Données projet'!$B$9,Paramètres!$A$1:$I$89,5,0)</f>
        <v>1.738044375088066E-13</v>
      </c>
      <c r="P159" s="14">
        <f t="shared" si="141"/>
        <v>2.4483293633950478E-12</v>
      </c>
      <c r="Q159" s="22">
        <f t="shared" si="162"/>
        <v>4.566883036574213E-12</v>
      </c>
      <c r="R159" s="62">
        <f t="shared" si="109"/>
        <v>293.33333333333786</v>
      </c>
      <c r="S159" s="62">
        <f ca="1">AVERAGE(OFFSET($R$3,0,0,'Données projet'!$E$9+1,1))-AVERAGE(OFFSET($H$3,0,0,'Données projet'!$E$9+1,1))</f>
        <v>321.23599968992932</v>
      </c>
      <c r="T159" s="62">
        <f t="shared" si="142"/>
        <v>388.05195847800502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0.3416725484389378</v>
      </c>
      <c r="AB159" s="23">
        <f>EXP(-LN(2)/2)*AB158+(1-EXP(-LN(2)/2))/(LN(2)/2)*V159*Y159*VLOOKUP('Données projet'!$B$9,Paramètres!$A$1:$I$89,3,0)*0.475*44/12</f>
        <v>1.8989388688310257E-18</v>
      </c>
      <c r="AC159" s="24">
        <f t="shared" si="163"/>
        <v>0.3416725484389378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1.9895196601282805E-13</v>
      </c>
      <c r="O160" s="14">
        <f>N160*VLOOKUP('Données projet'!$B$9,Paramètres!$A$1:$I$89,3,0)*VLOOKUP('Données projet'!$B$9,Paramètres!$A$1:$I$89,5,0)</f>
        <v>1.738044375088066E-13</v>
      </c>
      <c r="P160" s="14">
        <f t="shared" si="141"/>
        <v>2.4483293633950478E-12</v>
      </c>
      <c r="Q160" s="22">
        <f t="shared" si="162"/>
        <v>4.566883036574213E-12</v>
      </c>
      <c r="R160" s="62">
        <f t="shared" si="109"/>
        <v>293.33333333333786</v>
      </c>
      <c r="S160" s="62">
        <f ca="1">AVERAGE(OFFSET($R$3,0,0,'Données projet'!$E$9+1,1))-AVERAGE(OFFSET($H$3,0,0,'Données projet'!$E$9+1,1))</f>
        <v>321.23599968992932</v>
      </c>
      <c r="T160" s="62">
        <f t="shared" si="142"/>
        <v>388.05195847800502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0.33232949463409661</v>
      </c>
      <c r="AB160" s="23">
        <f>EXP(-LN(2)/2)*AB159+(1-EXP(-LN(2)/2))/(LN(2)/2)*V160*Y160*VLOOKUP('Données projet'!$B$9,Paramètres!$A$1:$I$89,3,0)*0.475*44/12</f>
        <v>1.3427525512091302E-18</v>
      </c>
      <c r="AC160" s="24">
        <f t="shared" si="163"/>
        <v>0.33232949463409661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1.9895196601282805E-13</v>
      </c>
      <c r="O161" s="14">
        <f>N161*VLOOKUP('Données projet'!$B$9,Paramètres!$A$1:$I$89,3,0)*VLOOKUP('Données projet'!$B$9,Paramètres!$A$1:$I$89,5,0)</f>
        <v>1.738044375088066E-13</v>
      </c>
      <c r="P161" s="14">
        <f t="shared" si="141"/>
        <v>2.4483293633950478E-12</v>
      </c>
      <c r="Q161" s="22">
        <f t="shared" si="162"/>
        <v>4.566883036574213E-12</v>
      </c>
      <c r="R161" s="62">
        <f t="shared" si="109"/>
        <v>293.33333333333786</v>
      </c>
      <c r="S161" s="62">
        <f ca="1">AVERAGE(OFFSET($R$3,0,0,'Données projet'!$E$9+1,1))-AVERAGE(OFFSET($H$3,0,0,'Données projet'!$E$9+1,1))</f>
        <v>321.23599968992932</v>
      </c>
      <c r="T161" s="62">
        <f t="shared" si="142"/>
        <v>388.05195847800502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0.32324192712687866</v>
      </c>
      <c r="AB161" s="23">
        <f>EXP(-LN(2)/2)*AB160+(1-EXP(-LN(2)/2))/(LN(2)/2)*V161*Y161*VLOOKUP('Données projet'!$B$9,Paramètres!$A$1:$I$89,3,0)*0.475*44/12</f>
        <v>9.4946943441551286E-19</v>
      </c>
      <c r="AC161" s="24">
        <f t="shared" si="163"/>
        <v>0.32324192712687866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1.9895196601282805E-13</v>
      </c>
      <c r="O162" s="14">
        <f>N162*VLOOKUP('Données projet'!$B$9,Paramètres!$A$1:$I$89,3,0)*VLOOKUP('Données projet'!$B$9,Paramètres!$A$1:$I$89,5,0)</f>
        <v>1.738044375088066E-13</v>
      </c>
      <c r="P162" s="14">
        <f t="shared" si="141"/>
        <v>2.4483293633950478E-12</v>
      </c>
      <c r="Q162" s="22">
        <f t="shared" si="162"/>
        <v>4.566883036574213E-12</v>
      </c>
      <c r="R162" s="62">
        <f t="shared" si="109"/>
        <v>293.33333333333786</v>
      </c>
      <c r="S162" s="62">
        <f ca="1">AVERAGE(OFFSET($R$3,0,0,'Données projet'!$E$9+1,1))-AVERAGE(OFFSET($H$3,0,0,'Données projet'!$E$9+1,1))</f>
        <v>321.23599968992932</v>
      </c>
      <c r="T162" s="62">
        <f t="shared" si="142"/>
        <v>388.05195847800502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0.31440285963103998</v>
      </c>
      <c r="AB162" s="23">
        <f>EXP(-LN(2)/2)*AB161+(1-EXP(-LN(2)/2))/(LN(2)/2)*V162*Y162*VLOOKUP('Données projet'!$B$9,Paramètres!$A$1:$I$89,3,0)*0.475*44/12</f>
        <v>6.713762756045651E-19</v>
      </c>
      <c r="AC162" s="24">
        <f t="shared" si="163"/>
        <v>0.31440285963103998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1.9895196601282805E-13</v>
      </c>
      <c r="O163" s="14">
        <f>N163*VLOOKUP('Données projet'!$B$9,Paramètres!$A$1:$I$89,3,0)*VLOOKUP('Données projet'!$B$9,Paramètres!$A$1:$I$89,5,0)</f>
        <v>1.738044375088066E-13</v>
      </c>
      <c r="P163" s="14">
        <f t="shared" si="141"/>
        <v>2.4483293633950478E-12</v>
      </c>
      <c r="Q163" s="22">
        <f t="shared" si="162"/>
        <v>4.566883036574213E-12</v>
      </c>
      <c r="R163" s="62">
        <f t="shared" si="109"/>
        <v>293.33333333333786</v>
      </c>
      <c r="S163" s="62">
        <f ca="1">AVERAGE(OFFSET($R$3,0,0,'Données projet'!$E$9+1,1))-AVERAGE(OFFSET($H$3,0,0,'Données projet'!$E$9+1,1))</f>
        <v>321.23599968992932</v>
      </c>
      <c r="T163" s="62">
        <f t="shared" si="142"/>
        <v>388.05195847800502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0.30580549690070136</v>
      </c>
      <c r="AB163" s="23">
        <f>EXP(-LN(2)/2)*AB162+(1-EXP(-LN(2)/2))/(LN(2)/2)*V163*Y163*VLOOKUP('Données projet'!$B$9,Paramètres!$A$1:$I$89,3,0)*0.475*44/12</f>
        <v>4.7473471720775643E-19</v>
      </c>
      <c r="AC163" s="24">
        <f t="shared" si="163"/>
        <v>0.30580549690070136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1.9895196601282805E-13</v>
      </c>
      <c r="O164" s="14">
        <f>N164*VLOOKUP('Données projet'!$B$9,Paramètres!$A$1:$I$89,3,0)*VLOOKUP('Données projet'!$B$9,Paramètres!$A$1:$I$89,5,0)</f>
        <v>1.738044375088066E-13</v>
      </c>
      <c r="P164" s="14">
        <f t="shared" si="141"/>
        <v>2.4483293633950478E-12</v>
      </c>
      <c r="Q164" s="22">
        <f t="shared" si="162"/>
        <v>4.566883036574213E-12</v>
      </c>
      <c r="R164" s="62">
        <f t="shared" si="109"/>
        <v>293.33333333333786</v>
      </c>
      <c r="S164" s="62">
        <f ca="1">AVERAGE(OFFSET($R$3,0,0,'Données projet'!$E$9+1,1))-AVERAGE(OFFSET($H$3,0,0,'Données projet'!$E$9+1,1))</f>
        <v>321.23599968992932</v>
      </c>
      <c r="T164" s="62">
        <f t="shared" si="142"/>
        <v>388.05195847800502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0.2974432295063395</v>
      </c>
      <c r="AB164" s="23">
        <f>EXP(-LN(2)/2)*AB163+(1-EXP(-LN(2)/2))/(LN(2)/2)*V164*Y164*VLOOKUP('Données projet'!$B$9,Paramètres!$A$1:$I$89,3,0)*0.475*44/12</f>
        <v>3.3568813780228255E-19</v>
      </c>
      <c r="AC164" s="24">
        <f t="shared" si="163"/>
        <v>0.2974432295063395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1.9895196601282805E-13</v>
      </c>
      <c r="O165" s="14">
        <f>N165*VLOOKUP('Données projet'!$B$9,Paramètres!$A$1:$I$89,3,0)*VLOOKUP('Données projet'!$B$9,Paramètres!$A$1:$I$89,5,0)</f>
        <v>1.738044375088066E-13</v>
      </c>
      <c r="P165" s="14">
        <f t="shared" si="141"/>
        <v>2.4483293633950478E-12</v>
      </c>
      <c r="Q165" s="22">
        <f t="shared" si="162"/>
        <v>4.566883036574213E-12</v>
      </c>
      <c r="R165" s="62">
        <f t="shared" si="109"/>
        <v>293.33333333333786</v>
      </c>
      <c r="S165" s="62">
        <f ca="1">AVERAGE(OFFSET($R$3,0,0,'Données projet'!$E$9+1,1))-AVERAGE(OFFSET($H$3,0,0,'Données projet'!$E$9+1,1))</f>
        <v>321.23599968992932</v>
      </c>
      <c r="T165" s="62">
        <f t="shared" si="142"/>
        <v>388.05195847800502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0.28930962875362903</v>
      </c>
      <c r="AB165" s="23">
        <f>EXP(-LN(2)/2)*AB164+(1-EXP(-LN(2)/2))/(LN(2)/2)*V165*Y165*VLOOKUP('Données projet'!$B$9,Paramètres!$A$1:$I$89,3,0)*0.475*44/12</f>
        <v>2.3736735860387822E-19</v>
      </c>
      <c r="AC165" s="24">
        <f t="shared" si="163"/>
        <v>0.28930962875362903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1.9895196601282805E-13</v>
      </c>
      <c r="O166" s="14">
        <f>N166*VLOOKUP('Données projet'!$B$9,Paramètres!$A$1:$I$89,3,0)*VLOOKUP('Données projet'!$B$9,Paramètres!$A$1:$I$89,5,0)</f>
        <v>1.738044375088066E-13</v>
      </c>
      <c r="P166" s="14">
        <f t="shared" si="141"/>
        <v>2.4483293633950478E-12</v>
      </c>
      <c r="Q166" s="22">
        <f t="shared" si="162"/>
        <v>4.566883036574213E-12</v>
      </c>
      <c r="R166" s="62">
        <f t="shared" si="109"/>
        <v>293.33333333333786</v>
      </c>
      <c r="S166" s="62">
        <f ca="1">AVERAGE(OFFSET($R$3,0,0,'Données projet'!$E$9+1,1))-AVERAGE(OFFSET($H$3,0,0,'Données projet'!$E$9+1,1))</f>
        <v>321.23599968992932</v>
      </c>
      <c r="T166" s="62">
        <f t="shared" si="142"/>
        <v>388.05195847800502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0.28139844174122891</v>
      </c>
      <c r="AB166" s="23">
        <f>EXP(-LN(2)/2)*AB165+(1-EXP(-LN(2)/2))/(LN(2)/2)*V166*Y166*VLOOKUP('Données projet'!$B$9,Paramètres!$A$1:$I$89,3,0)*0.475*44/12</f>
        <v>1.6784406890114127E-19</v>
      </c>
      <c r="AC166" s="24">
        <f t="shared" si="163"/>
        <v>0.28139844174122891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1.9895196601282805E-13</v>
      </c>
      <c r="O167" s="14">
        <f>N167*VLOOKUP('Données projet'!$B$9,Paramètres!$A$1:$I$89,3,0)*VLOOKUP('Données projet'!$B$9,Paramètres!$A$1:$I$89,5,0)</f>
        <v>1.738044375088066E-13</v>
      </c>
      <c r="P167" s="14">
        <f t="shared" si="141"/>
        <v>2.4483293633950478E-12</v>
      </c>
      <c r="Q167" s="22">
        <f t="shared" si="162"/>
        <v>4.566883036574213E-12</v>
      </c>
      <c r="R167" s="62">
        <f t="shared" si="109"/>
        <v>293.33333333333786</v>
      </c>
      <c r="S167" s="62">
        <f ca="1">AVERAGE(OFFSET($R$3,0,0,'Données projet'!$E$9+1,1))-AVERAGE(OFFSET($H$3,0,0,'Données projet'!$E$9+1,1))</f>
        <v>321.23599968992932</v>
      </c>
      <c r="T167" s="62">
        <f t="shared" si="142"/>
        <v>388.05195847800502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0.27370358655371407</v>
      </c>
      <c r="AB167" s="23">
        <f>EXP(-LN(2)/2)*AB166+(1-EXP(-LN(2)/2))/(LN(2)/2)*V167*Y167*VLOOKUP('Données projet'!$B$9,Paramètres!$A$1:$I$89,3,0)*0.475*44/12</f>
        <v>1.1868367930193911E-19</v>
      </c>
      <c r="AC167" s="24">
        <f t="shared" si="163"/>
        <v>0.27370358655371407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1.9895196601282805E-13</v>
      </c>
      <c r="O168" s="14">
        <f>N168*VLOOKUP('Données projet'!$B$9,Paramètres!$A$1:$I$89,3,0)*VLOOKUP('Données projet'!$B$9,Paramètres!$A$1:$I$89,5,0)</f>
        <v>1.738044375088066E-13</v>
      </c>
      <c r="P168" s="14">
        <f t="shared" si="141"/>
        <v>2.4483293633950478E-12</v>
      </c>
      <c r="Q168" s="22">
        <f t="shared" si="162"/>
        <v>4.566883036574213E-12</v>
      </c>
      <c r="R168" s="62">
        <f t="shared" si="109"/>
        <v>293.33333333333786</v>
      </c>
      <c r="S168" s="62">
        <f ca="1">AVERAGE(OFFSET($R$3,0,0,'Données projet'!$E$9+1,1))-AVERAGE(OFFSET($H$3,0,0,'Données projet'!$E$9+1,1))</f>
        <v>321.23599968992932</v>
      </c>
      <c r="T168" s="62">
        <f t="shared" si="142"/>
        <v>388.05195847800502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0.26621914758595672</v>
      </c>
      <c r="AB168" s="23">
        <f>EXP(-LN(2)/2)*AB167+(1-EXP(-LN(2)/2))/(LN(2)/2)*V168*Y168*VLOOKUP('Données projet'!$B$9,Paramètres!$A$1:$I$89,3,0)*0.475*44/12</f>
        <v>8.3922034450570637E-20</v>
      </c>
      <c r="AC168" s="24">
        <f t="shared" si="163"/>
        <v>0.26621914758595672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1.9895196601282805E-13</v>
      </c>
      <c r="O169" s="14">
        <f>N169*VLOOKUP('Données projet'!$B$9,Paramètres!$A$1:$I$89,3,0)*VLOOKUP('Données projet'!$B$9,Paramètres!$A$1:$I$89,5,0)</f>
        <v>1.738044375088066E-13</v>
      </c>
      <c r="P169" s="14">
        <f t="shared" si="141"/>
        <v>2.4483293633950478E-12</v>
      </c>
      <c r="Q169" s="22">
        <f t="shared" si="162"/>
        <v>4.566883036574213E-12</v>
      </c>
      <c r="R169" s="62">
        <f t="shared" si="109"/>
        <v>293.33333333333786</v>
      </c>
      <c r="S169" s="62">
        <f ca="1">AVERAGE(OFFSET($R$3,0,0,'Données projet'!$E$9+1,1))-AVERAGE(OFFSET($H$3,0,0,'Données projet'!$E$9+1,1))</f>
        <v>321.23599968992932</v>
      </c>
      <c r="T169" s="62">
        <f t="shared" si="142"/>
        <v>388.05195847800502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0.25893937099536218</v>
      </c>
      <c r="AB169" s="23">
        <f>EXP(-LN(2)/2)*AB168+(1-EXP(-LN(2)/2))/(LN(2)/2)*V169*Y169*VLOOKUP('Données projet'!$B$9,Paramètres!$A$1:$I$89,3,0)*0.475*44/12</f>
        <v>5.9341839650969554E-20</v>
      </c>
      <c r="AC169" s="24">
        <f t="shared" si="163"/>
        <v>0.25893937099536218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1.9895196601282805E-13</v>
      </c>
      <c r="O170" s="14">
        <f>N170*VLOOKUP('Données projet'!$B$9,Paramètres!$A$1:$I$89,3,0)*VLOOKUP('Données projet'!$B$9,Paramètres!$A$1:$I$89,5,0)</f>
        <v>1.738044375088066E-13</v>
      </c>
      <c r="P170" s="14">
        <f t="shared" si="141"/>
        <v>2.4483293633950478E-12</v>
      </c>
      <c r="Q170" s="22">
        <f t="shared" si="162"/>
        <v>4.566883036574213E-12</v>
      </c>
      <c r="R170" s="62">
        <f t="shared" si="109"/>
        <v>293.33333333333786</v>
      </c>
      <c r="S170" s="62">
        <f ca="1">AVERAGE(OFFSET($R$3,0,0,'Données projet'!$E$9+1,1))-AVERAGE(OFFSET($H$3,0,0,'Données projet'!$E$9+1,1))</f>
        <v>321.23599968992932</v>
      </c>
      <c r="T170" s="62">
        <f t="shared" si="142"/>
        <v>388.05195847800502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0.25185866027846432</v>
      </c>
      <c r="AB170" s="23">
        <f>EXP(-LN(2)/2)*AB169+(1-EXP(-LN(2)/2))/(LN(2)/2)*V170*Y170*VLOOKUP('Données projet'!$B$9,Paramètres!$A$1:$I$89,3,0)*0.475*44/12</f>
        <v>4.1961017225285319E-20</v>
      </c>
      <c r="AC170" s="24">
        <f t="shared" si="163"/>
        <v>0.25185866027846432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1.9895196601282805E-13</v>
      </c>
      <c r="O171" s="14">
        <f>N171*VLOOKUP('Données projet'!$B$9,Paramètres!$A$1:$I$89,3,0)*VLOOKUP('Données projet'!$B$9,Paramètres!$A$1:$I$89,5,0)</f>
        <v>1.738044375088066E-13</v>
      </c>
      <c r="P171" s="14">
        <f t="shared" si="141"/>
        <v>2.4483293633950478E-12</v>
      </c>
      <c r="Q171" s="22">
        <f t="shared" si="162"/>
        <v>4.566883036574213E-12</v>
      </c>
      <c r="R171" s="62">
        <f t="shared" si="109"/>
        <v>293.33333333333786</v>
      </c>
      <c r="S171" s="62">
        <f ca="1">AVERAGE(OFFSET($R$3,0,0,'Données projet'!$E$9+1,1))-AVERAGE(OFFSET($H$3,0,0,'Données projet'!$E$9+1,1))</f>
        <v>321.23599968992932</v>
      </c>
      <c r="T171" s="62">
        <f t="shared" si="142"/>
        <v>388.05195847800502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0.24497157196847841</v>
      </c>
      <c r="AB171" s="23">
        <f>EXP(-LN(2)/2)*AB170+(1-EXP(-LN(2)/2))/(LN(2)/2)*V171*Y171*VLOOKUP('Données projet'!$B$9,Paramètres!$A$1:$I$89,3,0)*0.475*44/12</f>
        <v>2.9670919825484777E-20</v>
      </c>
      <c r="AC171" s="24">
        <f t="shared" si="163"/>
        <v>0.24497157196847841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1.9895196601282805E-13</v>
      </c>
      <c r="O172" s="14">
        <f>N172*VLOOKUP('Données projet'!$B$9,Paramètres!$A$1:$I$89,3,0)*VLOOKUP('Données projet'!$B$9,Paramètres!$A$1:$I$89,5,0)</f>
        <v>1.738044375088066E-13</v>
      </c>
      <c r="P172" s="14">
        <f t="shared" si="141"/>
        <v>2.4483293633950478E-12</v>
      </c>
      <c r="Q172" s="22">
        <f t="shared" si="162"/>
        <v>4.566883036574213E-12</v>
      </c>
      <c r="R172" s="62">
        <f t="shared" si="109"/>
        <v>293.33333333333786</v>
      </c>
      <c r="S172" s="62">
        <f ca="1">AVERAGE(OFFSET($R$3,0,0,'Données projet'!$E$9+1,1))-AVERAGE(OFFSET($H$3,0,0,'Données projet'!$E$9+1,1))</f>
        <v>321.23599968992932</v>
      </c>
      <c r="T172" s="62">
        <f t="shared" si="142"/>
        <v>388.05195847800502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0.23827281145050527</v>
      </c>
      <c r="AB172" s="23">
        <f>EXP(-LN(2)/2)*AB171+(1-EXP(-LN(2)/2))/(LN(2)/2)*V172*Y172*VLOOKUP('Données projet'!$B$9,Paramètres!$A$1:$I$89,3,0)*0.475*44/12</f>
        <v>2.0980508612642659E-20</v>
      </c>
      <c r="AC172" s="24">
        <f t="shared" si="163"/>
        <v>0.23827281145050527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1.9895196601282805E-13</v>
      </c>
      <c r="O173" s="14">
        <f>N173*VLOOKUP('Données projet'!$B$9,Paramètres!$A$1:$I$89,3,0)*VLOOKUP('Données projet'!$B$9,Paramètres!$A$1:$I$89,5,0)</f>
        <v>1.738044375088066E-13</v>
      </c>
      <c r="P173" s="14">
        <f t="shared" si="141"/>
        <v>2.4483293633950478E-12</v>
      </c>
      <c r="Q173" s="22">
        <f t="shared" si="162"/>
        <v>4.566883036574213E-12</v>
      </c>
      <c r="R173" s="62">
        <f t="shared" si="109"/>
        <v>293.33333333333786</v>
      </c>
      <c r="S173" s="62">
        <f ca="1">AVERAGE(OFFSET($R$3,0,0,'Données projet'!$E$9+1,1))-AVERAGE(OFFSET($H$3,0,0,'Données projet'!$E$9+1,1))</f>
        <v>321.23599968992932</v>
      </c>
      <c r="T173" s="62">
        <f t="shared" si="142"/>
        <v>388.05195847800502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0.23175722889116862</v>
      </c>
      <c r="AB173" s="23">
        <f>EXP(-LN(2)/2)*AB172+(1-EXP(-LN(2)/2))/(LN(2)/2)*V173*Y173*VLOOKUP('Données projet'!$B$9,Paramètres!$A$1:$I$89,3,0)*0.475*44/12</f>
        <v>1.4835459912742389E-20</v>
      </c>
      <c r="AC173" s="24">
        <f t="shared" si="163"/>
        <v>0.23175722889116862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1.9895196601282805E-13</v>
      </c>
      <c r="O174" s="14">
        <f>N174*VLOOKUP('Données projet'!$B$9,Paramètres!$A$1:$I$89,3,0)*VLOOKUP('Données projet'!$B$9,Paramètres!$A$1:$I$89,5,0)</f>
        <v>1.738044375088066E-13</v>
      </c>
      <c r="P174" s="14">
        <f t="shared" si="141"/>
        <v>2.4483293633950478E-12</v>
      </c>
      <c r="Q174" s="22">
        <f t="shared" si="162"/>
        <v>4.566883036574213E-12</v>
      </c>
      <c r="R174" s="62">
        <f t="shared" si="109"/>
        <v>293.33333333333786</v>
      </c>
      <c r="S174" s="62">
        <f ca="1">AVERAGE(OFFSET($R$3,0,0,'Données projet'!$E$9+1,1))-AVERAGE(OFFSET($H$3,0,0,'Données projet'!$E$9+1,1))</f>
        <v>321.23599968992932</v>
      </c>
      <c r="T174" s="62">
        <f t="shared" si="142"/>
        <v>388.05195847800502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0.22541981527955662</v>
      </c>
      <c r="AB174" s="23">
        <f>EXP(-LN(2)/2)*AB173+(1-EXP(-LN(2)/2))/(LN(2)/2)*V174*Y174*VLOOKUP('Données projet'!$B$9,Paramètres!$A$1:$I$89,3,0)*0.475*44/12</f>
        <v>1.049025430632133E-20</v>
      </c>
      <c r="AC174" s="24">
        <f t="shared" si="163"/>
        <v>0.22541981527955662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1.9895196601282805E-13</v>
      </c>
      <c r="O175" s="14">
        <f>N175*VLOOKUP('Données projet'!$B$9,Paramètres!$A$1:$I$89,3,0)*VLOOKUP('Données projet'!$B$9,Paramètres!$A$1:$I$89,5,0)</f>
        <v>1.738044375088066E-13</v>
      </c>
      <c r="P175" s="14">
        <f t="shared" si="141"/>
        <v>2.4483293633950478E-12</v>
      </c>
      <c r="Q175" s="22">
        <f t="shared" si="162"/>
        <v>4.566883036574213E-12</v>
      </c>
      <c r="R175" s="62">
        <f t="shared" si="109"/>
        <v>293.33333333333786</v>
      </c>
      <c r="S175" s="62">
        <f ca="1">AVERAGE(OFFSET($R$3,0,0,'Données projet'!$E$9+1,1))-AVERAGE(OFFSET($H$3,0,0,'Données projet'!$E$9+1,1))</f>
        <v>321.23599968992932</v>
      </c>
      <c r="T175" s="62">
        <f t="shared" si="142"/>
        <v>388.05195847800502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0.21925569857642427</v>
      </c>
      <c r="AB175" s="23">
        <f>EXP(-LN(2)/2)*AB174+(1-EXP(-LN(2)/2))/(LN(2)/2)*V175*Y175*VLOOKUP('Données projet'!$B$9,Paramètres!$A$1:$I$89,3,0)*0.475*44/12</f>
        <v>7.4177299563711943E-21</v>
      </c>
      <c r="AC175" s="24">
        <f t="shared" si="163"/>
        <v>0.21925569857642427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1.9895196601282805E-13</v>
      </c>
      <c r="O176" s="14">
        <f>N176*VLOOKUP('Données projet'!$B$9,Paramètres!$A$1:$I$89,3,0)*VLOOKUP('Données projet'!$B$9,Paramètres!$A$1:$I$89,5,0)</f>
        <v>1.738044375088066E-13</v>
      </c>
      <c r="P176" s="14">
        <f t="shared" si="141"/>
        <v>2.4483293633950478E-12</v>
      </c>
      <c r="Q176" s="22">
        <f t="shared" si="162"/>
        <v>4.566883036574213E-12</v>
      </c>
      <c r="R176" s="62">
        <f t="shared" si="109"/>
        <v>293.33333333333786</v>
      </c>
      <c r="S176" s="62">
        <f ca="1">AVERAGE(OFFSET($R$3,0,0,'Données projet'!$E$9+1,1))-AVERAGE(OFFSET($H$3,0,0,'Données projet'!$E$9+1,1))</f>
        <v>321.23599968992932</v>
      </c>
      <c r="T176" s="62">
        <f t="shared" si="142"/>
        <v>388.05195847800502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0.21326013996869586</v>
      </c>
      <c r="AB176" s="23">
        <f>EXP(-LN(2)/2)*AB175+(1-EXP(-LN(2)/2))/(LN(2)/2)*V176*Y176*VLOOKUP('Données projet'!$B$9,Paramètres!$A$1:$I$89,3,0)*0.475*44/12</f>
        <v>5.2451271531606648E-21</v>
      </c>
      <c r="AC176" s="24">
        <f t="shared" si="163"/>
        <v>0.21326013996869586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1.9895196601282805E-13</v>
      </c>
      <c r="O177" s="14">
        <f>N177*VLOOKUP('Données projet'!$B$9,Paramètres!$A$1:$I$89,3,0)*VLOOKUP('Données projet'!$B$9,Paramètres!$A$1:$I$89,5,0)</f>
        <v>1.738044375088066E-13</v>
      </c>
      <c r="P177" s="14">
        <f t="shared" si="141"/>
        <v>2.4483293633950478E-12</v>
      </c>
      <c r="Q177" s="22">
        <f t="shared" si="162"/>
        <v>4.566883036574213E-12</v>
      </c>
      <c r="R177" s="62">
        <f t="shared" si="109"/>
        <v>293.33333333333786</v>
      </c>
      <c r="S177" s="62">
        <f ca="1">AVERAGE(OFFSET($R$3,0,0,'Données projet'!$E$9+1,1))-AVERAGE(OFFSET($H$3,0,0,'Données projet'!$E$9+1,1))</f>
        <v>321.23599968992932</v>
      </c>
      <c r="T177" s="62">
        <f t="shared" si="142"/>
        <v>388.05195847800502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0.20742853022638852</v>
      </c>
      <c r="AB177" s="23">
        <f>EXP(-LN(2)/2)*AB176+(1-EXP(-LN(2)/2))/(LN(2)/2)*V177*Y177*VLOOKUP('Données projet'!$B$9,Paramètres!$A$1:$I$89,3,0)*0.475*44/12</f>
        <v>3.7088649781855971E-21</v>
      </c>
      <c r="AC177" s="24">
        <f t="shared" si="163"/>
        <v>0.20742853022638852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1.9895196601282805E-13</v>
      </c>
      <c r="O178" s="14">
        <f>N178*VLOOKUP('Données projet'!$B$9,Paramètres!$A$1:$I$89,3,0)*VLOOKUP('Données projet'!$B$9,Paramètres!$A$1:$I$89,5,0)</f>
        <v>1.738044375088066E-13</v>
      </c>
      <c r="P178" s="14">
        <f t="shared" si="141"/>
        <v>2.4483293633950478E-12</v>
      </c>
      <c r="Q178" s="22">
        <f t="shared" si="162"/>
        <v>4.566883036574213E-12</v>
      </c>
      <c r="R178" s="62">
        <f t="shared" si="109"/>
        <v>293.33333333333786</v>
      </c>
      <c r="S178" s="62">
        <f ca="1">AVERAGE(OFFSET($R$3,0,0,'Données projet'!$E$9+1,1))-AVERAGE(OFFSET($H$3,0,0,'Données projet'!$E$9+1,1))</f>
        <v>321.23599968992932</v>
      </c>
      <c r="T178" s="62">
        <f t="shared" si="142"/>
        <v>388.05195847800502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0.20175638615915562</v>
      </c>
      <c r="AB178" s="23">
        <f>EXP(-LN(2)/2)*AB177+(1-EXP(-LN(2)/2))/(LN(2)/2)*V178*Y178*VLOOKUP('Données projet'!$B$9,Paramètres!$A$1:$I$89,3,0)*0.475*44/12</f>
        <v>2.6225635765803324E-21</v>
      </c>
      <c r="AC178" s="24">
        <f t="shared" si="163"/>
        <v>0.20175638615915562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1.9895196601282805E-13</v>
      </c>
      <c r="O179" s="14">
        <f>N179*VLOOKUP('Données projet'!$B$9,Paramètres!$A$1:$I$89,3,0)*VLOOKUP('Données projet'!$B$9,Paramètres!$A$1:$I$89,5,0)</f>
        <v>1.738044375088066E-13</v>
      </c>
      <c r="P179" s="14">
        <f t="shared" si="141"/>
        <v>2.4483293633950478E-12</v>
      </c>
      <c r="Q179" s="22">
        <f t="shared" si="162"/>
        <v>4.566883036574213E-12</v>
      </c>
      <c r="R179" s="62">
        <f t="shared" si="109"/>
        <v>293.33333333333786</v>
      </c>
      <c r="S179" s="62">
        <f ca="1">AVERAGE(OFFSET($R$3,0,0,'Données projet'!$E$9+1,1))-AVERAGE(OFFSET($H$3,0,0,'Données projet'!$E$9+1,1))</f>
        <v>321.23599968992932</v>
      </c>
      <c r="T179" s="62">
        <f t="shared" si="142"/>
        <v>388.05195847800502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0.19623934716972627</v>
      </c>
      <c r="AB179" s="23">
        <f>EXP(-LN(2)/2)*AB178+(1-EXP(-LN(2)/2))/(LN(2)/2)*V179*Y179*VLOOKUP('Données projet'!$B$9,Paramètres!$A$1:$I$89,3,0)*0.475*44/12</f>
        <v>1.8544324890927986E-21</v>
      </c>
      <c r="AC179" s="24">
        <f t="shared" si="163"/>
        <v>0.19623934716972627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1.9895196601282805E-13</v>
      </c>
      <c r="O180" s="14">
        <f>N180*VLOOKUP('Données projet'!$B$9,Paramètres!$A$1:$I$89,3,0)*VLOOKUP('Données projet'!$B$9,Paramètres!$A$1:$I$89,5,0)</f>
        <v>1.738044375088066E-13</v>
      </c>
      <c r="P180" s="14">
        <f t="shared" si="141"/>
        <v>2.4483293633950478E-12</v>
      </c>
      <c r="Q180" s="22">
        <f t="shared" si="162"/>
        <v>4.566883036574213E-12</v>
      </c>
      <c r="R180" s="62">
        <f t="shared" si="109"/>
        <v>293.33333333333786</v>
      </c>
      <c r="S180" s="62">
        <f ca="1">AVERAGE(OFFSET($R$3,0,0,'Données projet'!$E$9+1,1))-AVERAGE(OFFSET($H$3,0,0,'Données projet'!$E$9+1,1))</f>
        <v>321.23599968992932</v>
      </c>
      <c r="T180" s="62">
        <f t="shared" si="142"/>
        <v>388.05195847800502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0.19087317190159134</v>
      </c>
      <c r="AB180" s="23">
        <f>EXP(-LN(2)/2)*AB179+(1-EXP(-LN(2)/2))/(LN(2)/2)*V180*Y180*VLOOKUP('Données projet'!$B$9,Paramètres!$A$1:$I$89,3,0)*0.475*44/12</f>
        <v>1.3112817882901662E-21</v>
      </c>
      <c r="AC180" s="24">
        <f t="shared" si="163"/>
        <v>0.19087317190159134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1.9895196601282805E-13</v>
      </c>
      <c r="O181" s="14">
        <f>N181*VLOOKUP('Données projet'!$B$9,Paramètres!$A$1:$I$89,3,0)*VLOOKUP('Données projet'!$B$9,Paramètres!$A$1:$I$89,5,0)</f>
        <v>1.738044375088066E-13</v>
      </c>
      <c r="P181" s="14">
        <f t="shared" si="141"/>
        <v>2.4483293633950478E-12</v>
      </c>
      <c r="Q181" s="22">
        <f t="shared" si="162"/>
        <v>4.566883036574213E-12</v>
      </c>
      <c r="R181" s="62">
        <f t="shared" si="109"/>
        <v>293.33333333333786</v>
      </c>
      <c r="S181" s="62">
        <f ca="1">AVERAGE(OFFSET($R$3,0,0,'Données projet'!$E$9+1,1))-AVERAGE(OFFSET($H$3,0,0,'Données projet'!$E$9+1,1))</f>
        <v>321.23599968992932</v>
      </c>
      <c r="T181" s="62">
        <f t="shared" si="142"/>
        <v>388.05195847800502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0.18565373497835846</v>
      </c>
      <c r="AB181" s="23">
        <f>EXP(-LN(2)/2)*AB180+(1-EXP(-LN(2)/2))/(LN(2)/2)*V181*Y181*VLOOKUP('Données projet'!$B$9,Paramètres!$A$1:$I$89,3,0)*0.475*44/12</f>
        <v>9.2721624454639928E-22</v>
      </c>
      <c r="AC181" s="24">
        <f t="shared" si="163"/>
        <v>0.18565373497835846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1.9895196601282805E-13</v>
      </c>
      <c r="O182" s="14">
        <f>N182*VLOOKUP('Données projet'!$B$9,Paramètres!$A$1:$I$89,3,0)*VLOOKUP('Données projet'!$B$9,Paramètres!$A$1:$I$89,5,0)</f>
        <v>1.738044375088066E-13</v>
      </c>
      <c r="P182" s="14">
        <f t="shared" si="141"/>
        <v>2.4483293633950478E-12</v>
      </c>
      <c r="Q182" s="22">
        <f t="shared" si="162"/>
        <v>4.566883036574213E-12</v>
      </c>
      <c r="R182" s="62">
        <f t="shared" si="109"/>
        <v>293.33333333333786</v>
      </c>
      <c r="S182" s="62">
        <f ca="1">AVERAGE(OFFSET($R$3,0,0,'Données projet'!$E$9+1,1))-AVERAGE(OFFSET($H$3,0,0,'Données projet'!$E$9+1,1))</f>
        <v>321.23599968992932</v>
      </c>
      <c r="T182" s="62">
        <f t="shared" si="142"/>
        <v>388.05195847800502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0.18057702383226965</v>
      </c>
      <c r="AB182" s="23">
        <f>EXP(-LN(2)/2)*AB181+(1-EXP(-LN(2)/2))/(LN(2)/2)*V182*Y182*VLOOKUP('Données projet'!$B$9,Paramètres!$A$1:$I$89,3,0)*0.475*44/12</f>
        <v>6.5564089414508311E-22</v>
      </c>
      <c r="AC182" s="24">
        <f t="shared" si="163"/>
        <v>0.18057702383226965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1.9895196601282805E-13</v>
      </c>
      <c r="O183" s="14">
        <f>N183*VLOOKUP('Données projet'!$B$9,Paramètres!$A$1:$I$89,3,0)*VLOOKUP('Données projet'!$B$9,Paramètres!$A$1:$I$89,5,0)</f>
        <v>1.738044375088066E-13</v>
      </c>
      <c r="P183" s="14">
        <f t="shared" si="141"/>
        <v>2.4483293633950478E-12</v>
      </c>
      <c r="Q183" s="22">
        <f t="shared" si="162"/>
        <v>4.566883036574213E-12</v>
      </c>
      <c r="R183" s="62">
        <f t="shared" si="109"/>
        <v>293.33333333333786</v>
      </c>
      <c r="S183" s="62">
        <f ca="1">AVERAGE(OFFSET($R$3,0,0,'Données projet'!$E$9+1,1))-AVERAGE(OFFSET($H$3,0,0,'Données projet'!$E$9+1,1))</f>
        <v>321.23599968992932</v>
      </c>
      <c r="T183" s="62">
        <f t="shared" si="142"/>
        <v>388.05195847800502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0.17563913561944328</v>
      </c>
      <c r="AB183" s="23">
        <f>EXP(-LN(2)/2)*AB182+(1-EXP(-LN(2)/2))/(LN(2)/2)*V183*Y183*VLOOKUP('Données projet'!$B$9,Paramètres!$A$1:$I$89,3,0)*0.475*44/12</f>
        <v>4.6360812227319964E-22</v>
      </c>
      <c r="AC183" s="24">
        <f t="shared" si="163"/>
        <v>0.17563913561944328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1.9895196601282805E-13</v>
      </c>
      <c r="O184" s="14">
        <f>N184*VLOOKUP('Données projet'!$B$9,Paramètres!$A$1:$I$89,3,0)*VLOOKUP('Données projet'!$B$9,Paramètres!$A$1:$I$89,5,0)</f>
        <v>1.738044375088066E-13</v>
      </c>
      <c r="P184" s="14">
        <f t="shared" si="141"/>
        <v>2.4483293633950478E-12</v>
      </c>
      <c r="Q184" s="22">
        <f t="shared" si="162"/>
        <v>4.566883036574213E-12</v>
      </c>
      <c r="R184" s="62">
        <f t="shared" si="109"/>
        <v>293.33333333333786</v>
      </c>
      <c r="S184" s="62">
        <f ca="1">AVERAGE(OFFSET($R$3,0,0,'Données projet'!$E$9+1,1))-AVERAGE(OFFSET($H$3,0,0,'Données projet'!$E$9+1,1))</f>
        <v>321.23599968992932</v>
      </c>
      <c r="T184" s="62">
        <f t="shared" si="142"/>
        <v>388.05195847800502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0.1708362742194689</v>
      </c>
      <c r="AB184" s="23">
        <f>EXP(-LN(2)/2)*AB183+(1-EXP(-LN(2)/2))/(LN(2)/2)*V184*Y184*VLOOKUP('Données projet'!$B$9,Paramètres!$A$1:$I$89,3,0)*0.475*44/12</f>
        <v>3.2782044707254155E-22</v>
      </c>
      <c r="AC184" s="24">
        <f t="shared" si="163"/>
        <v>0.1708362742194689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1.9895196601282805E-13</v>
      </c>
      <c r="O185" s="14">
        <f>N185*VLOOKUP('Données projet'!$B$9,Paramètres!$A$1:$I$89,3,0)*VLOOKUP('Données projet'!$B$9,Paramètres!$A$1:$I$89,5,0)</f>
        <v>1.738044375088066E-13</v>
      </c>
      <c r="P185" s="14">
        <f t="shared" si="141"/>
        <v>2.4483293633950478E-12</v>
      </c>
      <c r="Q185" s="22">
        <f t="shared" si="162"/>
        <v>4.566883036574213E-12</v>
      </c>
      <c r="R185" s="62">
        <f t="shared" si="109"/>
        <v>293.33333333333786</v>
      </c>
      <c r="S185" s="62">
        <f ca="1">AVERAGE(OFFSET($R$3,0,0,'Données projet'!$E$9+1,1))-AVERAGE(OFFSET($H$3,0,0,'Données projet'!$E$9+1,1))</f>
        <v>321.23599968992932</v>
      </c>
      <c r="T185" s="62">
        <f t="shared" si="142"/>
        <v>388.05195847800502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0.16616474731704831</v>
      </c>
      <c r="AB185" s="23">
        <f>EXP(-LN(2)/2)*AB184+(1-EXP(-LN(2)/2))/(LN(2)/2)*V185*Y185*VLOOKUP('Données projet'!$B$9,Paramètres!$A$1:$I$89,3,0)*0.475*44/12</f>
        <v>2.3180406113659982E-22</v>
      </c>
      <c r="AC185" s="24">
        <f t="shared" si="163"/>
        <v>0.16616474731704831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1.9895196601282805E-13</v>
      </c>
      <c r="O186" s="14">
        <f>N186*VLOOKUP('Données projet'!$B$9,Paramètres!$A$1:$I$89,3,0)*VLOOKUP('Données projet'!$B$9,Paramètres!$A$1:$I$89,5,0)</f>
        <v>1.738044375088066E-13</v>
      </c>
      <c r="P186" s="14">
        <f t="shared" si="141"/>
        <v>2.4483293633950478E-12</v>
      </c>
      <c r="Q186" s="22">
        <f t="shared" si="162"/>
        <v>4.566883036574213E-12</v>
      </c>
      <c r="R186" s="62">
        <f t="shared" si="109"/>
        <v>293.33333333333786</v>
      </c>
      <c r="S186" s="62">
        <f ca="1">AVERAGE(OFFSET($R$3,0,0,'Données projet'!$E$9+1,1))-AVERAGE(OFFSET($H$3,0,0,'Données projet'!$E$9+1,1))</f>
        <v>321.23599968992932</v>
      </c>
      <c r="T186" s="62">
        <f t="shared" si="142"/>
        <v>388.05195847800502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0.16162096356343933</v>
      </c>
      <c r="AB186" s="23">
        <f>EXP(-LN(2)/2)*AB185+(1-EXP(-LN(2)/2))/(LN(2)/2)*V186*Y186*VLOOKUP('Données projet'!$B$9,Paramètres!$A$1:$I$89,3,0)*0.475*44/12</f>
        <v>1.6391022353627078E-22</v>
      </c>
      <c r="AC186" s="24">
        <f t="shared" si="163"/>
        <v>0.16162096356343933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1.9895196601282805E-13</v>
      </c>
      <c r="O187" s="14">
        <f>N187*VLOOKUP('Données projet'!$B$9,Paramètres!$A$1:$I$89,3,0)*VLOOKUP('Données projet'!$B$9,Paramètres!$A$1:$I$89,5,0)</f>
        <v>1.738044375088066E-13</v>
      </c>
      <c r="P187" s="14">
        <f t="shared" si="141"/>
        <v>2.4483293633950478E-12</v>
      </c>
      <c r="Q187" s="22">
        <f t="shared" si="162"/>
        <v>4.566883036574213E-12</v>
      </c>
      <c r="R187" s="62">
        <f t="shared" si="109"/>
        <v>293.33333333333786</v>
      </c>
      <c r="S187" s="62">
        <f ca="1">AVERAGE(OFFSET($R$3,0,0,'Données projet'!$E$9+1,1))-AVERAGE(OFFSET($H$3,0,0,'Données projet'!$E$9+1,1))</f>
        <v>321.23599968992932</v>
      </c>
      <c r="T187" s="62">
        <f t="shared" si="142"/>
        <v>388.05195847800502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0.15720142981551999</v>
      </c>
      <c r="AB187" s="23">
        <f>EXP(-LN(2)/2)*AB186+(1-EXP(-LN(2)/2))/(LN(2)/2)*V187*Y187*VLOOKUP('Données projet'!$B$9,Paramètres!$A$1:$I$89,3,0)*0.475*44/12</f>
        <v>1.1590203056829991E-22</v>
      </c>
      <c r="AC187" s="24">
        <f t="shared" si="163"/>
        <v>0.15720142981551999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1.9895196601282805E-13</v>
      </c>
      <c r="O188" s="14">
        <f>N188*VLOOKUP('Données projet'!$B$9,Paramètres!$A$1:$I$89,3,0)*VLOOKUP('Données projet'!$B$9,Paramètres!$A$1:$I$89,5,0)</f>
        <v>1.738044375088066E-13</v>
      </c>
      <c r="P188" s="14">
        <f t="shared" si="141"/>
        <v>2.4483293633950478E-12</v>
      </c>
      <c r="Q188" s="22">
        <f t="shared" si="162"/>
        <v>4.566883036574213E-12</v>
      </c>
      <c r="R188" s="62">
        <f t="shared" si="109"/>
        <v>293.33333333333786</v>
      </c>
      <c r="S188" s="62">
        <f ca="1">AVERAGE(OFFSET($R$3,0,0,'Données projet'!$E$9+1,1))-AVERAGE(OFFSET($H$3,0,0,'Données projet'!$E$9+1,1))</f>
        <v>321.23599968992932</v>
      </c>
      <c r="T188" s="62">
        <f t="shared" si="142"/>
        <v>388.05195847800502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0.15290274845035068</v>
      </c>
      <c r="AB188" s="23">
        <f>EXP(-LN(2)/2)*AB187+(1-EXP(-LN(2)/2))/(LN(2)/2)*V188*Y188*VLOOKUP('Données projet'!$B$9,Paramètres!$A$1:$I$89,3,0)*0.475*44/12</f>
        <v>8.1955111768135388E-23</v>
      </c>
      <c r="AC188" s="24">
        <f t="shared" si="163"/>
        <v>0.15290274845035068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1.9895196601282805E-13</v>
      </c>
      <c r="O189" s="14">
        <f>N189*VLOOKUP('Données projet'!$B$9,Paramètres!$A$1:$I$89,3,0)*VLOOKUP('Données projet'!$B$9,Paramètres!$A$1:$I$89,5,0)</f>
        <v>1.738044375088066E-13</v>
      </c>
      <c r="P189" s="14">
        <f t="shared" si="141"/>
        <v>2.4483293633950478E-12</v>
      </c>
      <c r="Q189" s="22">
        <f t="shared" si="162"/>
        <v>4.566883036574213E-12</v>
      </c>
      <c r="R189" s="62">
        <f t="shared" si="109"/>
        <v>293.33333333333786</v>
      </c>
      <c r="S189" s="62">
        <f ca="1">AVERAGE(OFFSET($R$3,0,0,'Données projet'!$E$9+1,1))-AVERAGE(OFFSET($H$3,0,0,'Données projet'!$E$9+1,1))</f>
        <v>321.23599968992932</v>
      </c>
      <c r="T189" s="62">
        <f t="shared" si="142"/>
        <v>388.05195847800502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0.14872161475316975</v>
      </c>
      <c r="AB189" s="23">
        <f>EXP(-LN(2)/2)*AB188+(1-EXP(-LN(2)/2))/(LN(2)/2)*V189*Y189*VLOOKUP('Données projet'!$B$9,Paramètres!$A$1:$I$89,3,0)*0.475*44/12</f>
        <v>5.7951015284149955E-23</v>
      </c>
      <c r="AC189" s="24">
        <f t="shared" si="163"/>
        <v>0.14872161475316975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1.9895196601282805E-13</v>
      </c>
      <c r="O190" s="14">
        <f>N190*VLOOKUP('Données projet'!$B$9,Paramètres!$A$1:$I$89,3,0)*VLOOKUP('Données projet'!$B$9,Paramètres!$A$1:$I$89,5,0)</f>
        <v>1.738044375088066E-13</v>
      </c>
      <c r="P190" s="14">
        <f t="shared" si="141"/>
        <v>2.4483293633950478E-12</v>
      </c>
      <c r="Q190" s="22">
        <f t="shared" si="162"/>
        <v>4.566883036574213E-12</v>
      </c>
      <c r="R190" s="62">
        <f t="shared" si="109"/>
        <v>293.33333333333786</v>
      </c>
      <c r="S190" s="62">
        <f ca="1">AVERAGE(OFFSET($R$3,0,0,'Données projet'!$E$9+1,1))-AVERAGE(OFFSET($H$3,0,0,'Données projet'!$E$9+1,1))</f>
        <v>321.23599968992932</v>
      </c>
      <c r="T190" s="62">
        <f t="shared" si="142"/>
        <v>388.05195847800502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0.14465481437681452</v>
      </c>
      <c r="AB190" s="23">
        <f>EXP(-LN(2)/2)*AB189+(1-EXP(-LN(2)/2))/(LN(2)/2)*V190*Y190*VLOOKUP('Données projet'!$B$9,Paramètres!$A$1:$I$89,3,0)*0.475*44/12</f>
        <v>4.0977555884067694E-23</v>
      </c>
      <c r="AC190" s="24">
        <f t="shared" si="163"/>
        <v>0.14465481437681452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1.9895196601282805E-13</v>
      </c>
      <c r="O191" s="14">
        <f>N191*VLOOKUP('Données projet'!$B$9,Paramètres!$A$1:$I$89,3,0)*VLOOKUP('Données projet'!$B$9,Paramètres!$A$1:$I$89,5,0)</f>
        <v>1.738044375088066E-13</v>
      </c>
      <c r="P191" s="14">
        <f t="shared" si="141"/>
        <v>2.4483293633950478E-12</v>
      </c>
      <c r="Q191" s="22">
        <f t="shared" si="162"/>
        <v>4.566883036574213E-12</v>
      </c>
      <c r="R191" s="62">
        <f t="shared" si="109"/>
        <v>293.33333333333786</v>
      </c>
      <c r="S191" s="62">
        <f ca="1">AVERAGE(OFFSET($R$3,0,0,'Données projet'!$E$9+1,1))-AVERAGE(OFFSET($H$3,0,0,'Données projet'!$E$9+1,1))</f>
        <v>321.23599968992932</v>
      </c>
      <c r="T191" s="62">
        <f t="shared" si="142"/>
        <v>388.05195847800502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0.14069922087061446</v>
      </c>
      <c r="AB191" s="23">
        <f>EXP(-LN(2)/2)*AB190+(1-EXP(-LN(2)/2))/(LN(2)/2)*V191*Y191*VLOOKUP('Données projet'!$B$9,Paramètres!$A$1:$I$89,3,0)*0.475*44/12</f>
        <v>2.8975507642074978E-23</v>
      </c>
      <c r="AC191" s="24">
        <f t="shared" si="163"/>
        <v>0.14069922087061446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1.9895196601282805E-13</v>
      </c>
      <c r="O192" s="14">
        <f>N192*VLOOKUP('Données projet'!$B$9,Paramètres!$A$1:$I$89,3,0)*VLOOKUP('Données projet'!$B$9,Paramètres!$A$1:$I$89,5,0)</f>
        <v>1.738044375088066E-13</v>
      </c>
      <c r="P192" s="14">
        <f t="shared" si="141"/>
        <v>2.4483293633950478E-12</v>
      </c>
      <c r="Q192" s="22">
        <f t="shared" si="162"/>
        <v>4.566883036574213E-12</v>
      </c>
      <c r="R192" s="62">
        <f t="shared" si="109"/>
        <v>293.33333333333786</v>
      </c>
      <c r="S192" s="62">
        <f ca="1">AVERAGE(OFFSET($R$3,0,0,'Données projet'!$E$9+1,1))-AVERAGE(OFFSET($H$3,0,0,'Données projet'!$E$9+1,1))</f>
        <v>321.23599968992932</v>
      </c>
      <c r="T192" s="62">
        <f t="shared" si="142"/>
        <v>388.05195847800502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0.13685179327685704</v>
      </c>
      <c r="AB192" s="23">
        <f>EXP(-LN(2)/2)*AB191+(1-EXP(-LN(2)/2))/(LN(2)/2)*V192*Y192*VLOOKUP('Données projet'!$B$9,Paramètres!$A$1:$I$89,3,0)*0.475*44/12</f>
        <v>2.0488777942033847E-23</v>
      </c>
      <c r="AC192" s="24">
        <f t="shared" si="163"/>
        <v>0.13685179327685704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1.9895196601282805E-13</v>
      </c>
      <c r="O193" s="14">
        <f>N193*VLOOKUP('Données projet'!$B$9,Paramètres!$A$1:$I$89,3,0)*VLOOKUP('Données projet'!$B$9,Paramètres!$A$1:$I$89,5,0)</f>
        <v>1.738044375088066E-13</v>
      </c>
      <c r="P193" s="14">
        <f t="shared" si="141"/>
        <v>2.4483293633950478E-12</v>
      </c>
      <c r="Q193" s="22">
        <f t="shared" si="162"/>
        <v>4.566883036574213E-12</v>
      </c>
      <c r="R193" s="62">
        <f t="shared" si="109"/>
        <v>293.33333333333786</v>
      </c>
      <c r="S193" s="62">
        <f ca="1">AVERAGE(OFFSET($R$3,0,0,'Données projet'!$E$9+1,1))-AVERAGE(OFFSET($H$3,0,0,'Données projet'!$E$9+1,1))</f>
        <v>321.23599968992932</v>
      </c>
      <c r="T193" s="62">
        <f t="shared" si="142"/>
        <v>388.05195847800502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0.13310957379297836</v>
      </c>
      <c r="AB193" s="23">
        <f>EXP(-LN(2)/2)*AB192+(1-EXP(-LN(2)/2))/(LN(2)/2)*V193*Y193*VLOOKUP('Données projet'!$B$9,Paramètres!$A$1:$I$89,3,0)*0.475*44/12</f>
        <v>1.4487753821037489E-23</v>
      </c>
      <c r="AC193" s="24">
        <f t="shared" si="163"/>
        <v>0.13310957379297836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1.9895196601282805E-13</v>
      </c>
      <c r="O194" s="14">
        <f>N194*VLOOKUP('Données projet'!$B$9,Paramètres!$A$1:$I$89,3,0)*VLOOKUP('Données projet'!$B$9,Paramètres!$A$1:$I$89,5,0)</f>
        <v>1.738044375088066E-13</v>
      </c>
      <c r="P194" s="14">
        <f t="shared" si="141"/>
        <v>2.4483293633950478E-12</v>
      </c>
      <c r="Q194" s="22">
        <f t="shared" si="162"/>
        <v>4.566883036574213E-12</v>
      </c>
      <c r="R194" s="62">
        <f t="shared" si="109"/>
        <v>293.33333333333786</v>
      </c>
      <c r="S194" s="62">
        <f ca="1">AVERAGE(OFFSET($R$3,0,0,'Données projet'!$E$9+1,1))-AVERAGE(OFFSET($H$3,0,0,'Données projet'!$E$9+1,1))</f>
        <v>321.23599968992932</v>
      </c>
      <c r="T194" s="62">
        <f t="shared" si="142"/>
        <v>388.05195847800502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0.12946968549768109</v>
      </c>
      <c r="AB194" s="23">
        <f>EXP(-LN(2)/2)*AB193+(1-EXP(-LN(2)/2))/(LN(2)/2)*V194*Y194*VLOOKUP('Données projet'!$B$9,Paramètres!$A$1:$I$89,3,0)*0.475*44/12</f>
        <v>1.0244388971016924E-23</v>
      </c>
      <c r="AC194" s="24">
        <f t="shared" si="163"/>
        <v>0.12946968549768109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1.9895196601282805E-13</v>
      </c>
      <c r="O195" s="14">
        <f>N195*VLOOKUP('Données projet'!$B$9,Paramètres!$A$1:$I$89,3,0)*VLOOKUP('Données projet'!$B$9,Paramètres!$A$1:$I$89,5,0)</f>
        <v>1.738044375088066E-13</v>
      </c>
      <c r="P195" s="14">
        <f t="shared" si="141"/>
        <v>2.4483293633950478E-12</v>
      </c>
      <c r="Q195" s="22">
        <f t="shared" si="162"/>
        <v>4.566883036574213E-12</v>
      </c>
      <c r="R195" s="62">
        <f t="shared" ref="R195:R203" si="191">Q195+(I195+J195)*44/12</f>
        <v>293.33333333333786</v>
      </c>
      <c r="S195" s="62">
        <f ca="1">AVERAGE(OFFSET($R$3,0,0,'Données projet'!$E$9+1,1))-AVERAGE(OFFSET($H$3,0,0,'Données projet'!$E$9+1,1))</f>
        <v>321.23599968992932</v>
      </c>
      <c r="T195" s="62">
        <f t="shared" si="142"/>
        <v>388.05195847800502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0.12592933013923216</v>
      </c>
      <c r="AB195" s="23">
        <f>EXP(-LN(2)/2)*AB194+(1-EXP(-LN(2)/2))/(LN(2)/2)*V195*Y195*VLOOKUP('Données projet'!$B$9,Paramètres!$A$1:$I$89,3,0)*0.475*44/12</f>
        <v>7.2438769105187444E-24</v>
      </c>
      <c r="AC195" s="24">
        <f t="shared" si="163"/>
        <v>0.12592933013923216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1.9895196601282805E-13</v>
      </c>
      <c r="O196" s="14">
        <f>N196*VLOOKUP('Données projet'!$B$9,Paramètres!$A$1:$I$89,3,0)*VLOOKUP('Données projet'!$B$9,Paramètres!$A$1:$I$89,5,0)</f>
        <v>1.738044375088066E-13</v>
      </c>
      <c r="P196" s="14">
        <f t="shared" si="141"/>
        <v>2.4483293633950478E-12</v>
      </c>
      <c r="Q196" s="22">
        <f t="shared" si="162"/>
        <v>4.566883036574213E-12</v>
      </c>
      <c r="R196" s="62">
        <f t="shared" si="191"/>
        <v>293.33333333333786</v>
      </c>
      <c r="S196" s="62">
        <f ca="1">AVERAGE(OFFSET($R$3,0,0,'Données projet'!$E$9+1,1))-AVERAGE(OFFSET($H$3,0,0,'Données projet'!$E$9+1,1))</f>
        <v>321.23599968992932</v>
      </c>
      <c r="T196" s="62">
        <f t="shared" si="142"/>
        <v>388.05195847800502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0.1224857859842392</v>
      </c>
      <c r="AB196" s="23">
        <f>EXP(-LN(2)/2)*AB195+(1-EXP(-LN(2)/2))/(LN(2)/2)*V196*Y196*VLOOKUP('Données projet'!$B$9,Paramètres!$A$1:$I$89,3,0)*0.475*44/12</f>
        <v>5.1221944855084618E-24</v>
      </c>
      <c r="AC196" s="24">
        <f t="shared" si="163"/>
        <v>0.1224857859842392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1.9895196601282805E-13</v>
      </c>
      <c r="O197" s="14">
        <f>N197*VLOOKUP('Données projet'!$B$9,Paramètres!$A$1:$I$89,3,0)*VLOOKUP('Données projet'!$B$9,Paramètres!$A$1:$I$89,5,0)</f>
        <v>1.738044375088066E-13</v>
      </c>
      <c r="P197" s="14">
        <f t="shared" ref="P197:P203" si="203">EXP(-1.0587+0.8836*LN(O197)+0.284)</f>
        <v>2.4483293633950478E-12</v>
      </c>
      <c r="Q197" s="22">
        <f t="shared" si="162"/>
        <v>4.566883036574213E-12</v>
      </c>
      <c r="R197" s="62">
        <f t="shared" si="191"/>
        <v>293.33333333333786</v>
      </c>
      <c r="S197" s="62">
        <f ca="1">AVERAGE(OFFSET($R$3,0,0,'Données projet'!$E$9+1,1))-AVERAGE(OFFSET($H$3,0,0,'Données projet'!$E$9+1,1))</f>
        <v>321.23599968992932</v>
      </c>
      <c r="T197" s="62">
        <f t="shared" ref="T197:T203" si="204">$T$3</f>
        <v>388.05195847800502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0.11913640572525264</v>
      </c>
      <c r="AB197" s="23">
        <f>EXP(-LN(2)/2)*AB196+(1-EXP(-LN(2)/2))/(LN(2)/2)*V197*Y197*VLOOKUP('Données projet'!$B$9,Paramètres!$A$1:$I$89,3,0)*0.475*44/12</f>
        <v>3.6219384552593722E-24</v>
      </c>
      <c r="AC197" s="24">
        <f t="shared" si="163"/>
        <v>0.11913640572525264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1.9895196601282805E-13</v>
      </c>
      <c r="O198" s="14">
        <f>N198*VLOOKUP('Données projet'!$B$9,Paramètres!$A$1:$I$89,3,0)*VLOOKUP('Données projet'!$B$9,Paramètres!$A$1:$I$89,5,0)</f>
        <v>1.738044375088066E-13</v>
      </c>
      <c r="P198" s="14">
        <f t="shared" si="203"/>
        <v>2.4483293633950478E-12</v>
      </c>
      <c r="Q198" s="22">
        <f t="shared" si="162"/>
        <v>4.566883036574213E-12</v>
      </c>
      <c r="R198" s="62">
        <f t="shared" si="191"/>
        <v>293.33333333333786</v>
      </c>
      <c r="S198" s="62">
        <f ca="1">AVERAGE(OFFSET($R$3,0,0,'Données projet'!$E$9+1,1))-AVERAGE(OFFSET($H$3,0,0,'Données projet'!$E$9+1,1))</f>
        <v>321.23599968992932</v>
      </c>
      <c r="T198" s="62">
        <f t="shared" si="204"/>
        <v>388.05195847800502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0.11587861444558431</v>
      </c>
      <c r="AB198" s="23">
        <f>EXP(-LN(2)/2)*AB197+(1-EXP(-LN(2)/2))/(LN(2)/2)*V198*Y198*VLOOKUP('Données projet'!$B$9,Paramètres!$A$1:$I$89,3,0)*0.475*44/12</f>
        <v>2.5610972427542309E-24</v>
      </c>
      <c r="AC198" s="24">
        <f t="shared" si="163"/>
        <v>0.11587861444558431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1.9895196601282805E-13</v>
      </c>
      <c r="O199" s="14">
        <f>N199*VLOOKUP('Données projet'!$B$9,Paramètres!$A$1:$I$89,3,0)*VLOOKUP('Données projet'!$B$9,Paramètres!$A$1:$I$89,5,0)</f>
        <v>1.738044375088066E-13</v>
      </c>
      <c r="P199" s="14">
        <f t="shared" si="203"/>
        <v>2.4483293633950478E-12</v>
      </c>
      <c r="Q199" s="22">
        <f t="shared" si="162"/>
        <v>4.566883036574213E-12</v>
      </c>
      <c r="R199" s="62">
        <f t="shared" si="191"/>
        <v>293.33333333333786</v>
      </c>
      <c r="S199" s="62">
        <f ca="1">AVERAGE(OFFSET($R$3,0,0,'Données projet'!$E$9+1,1))-AVERAGE(OFFSET($H$3,0,0,'Données projet'!$E$9+1,1))</f>
        <v>321.23599968992932</v>
      </c>
      <c r="T199" s="62">
        <f t="shared" si="204"/>
        <v>388.05195847800502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0.11270990763977831</v>
      </c>
      <c r="AB199" s="23">
        <f>EXP(-LN(2)/2)*AB198+(1-EXP(-LN(2)/2))/(LN(2)/2)*V199*Y199*VLOOKUP('Données projet'!$B$9,Paramètres!$A$1:$I$89,3,0)*0.475*44/12</f>
        <v>1.8109692276296861E-24</v>
      </c>
      <c r="AC199" s="24">
        <f t="shared" si="163"/>
        <v>0.11270990763977831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1.9895196601282805E-13</v>
      </c>
      <c r="O200" s="14">
        <f>N200*VLOOKUP('Données projet'!$B$9,Paramètres!$A$1:$I$89,3,0)*VLOOKUP('Données projet'!$B$9,Paramètres!$A$1:$I$89,5,0)</f>
        <v>1.738044375088066E-13</v>
      </c>
      <c r="P200" s="14">
        <f t="shared" si="203"/>
        <v>2.4483293633950478E-12</v>
      </c>
      <c r="Q200" s="22">
        <f t="shared" si="162"/>
        <v>4.566883036574213E-12</v>
      </c>
      <c r="R200" s="62">
        <f t="shared" si="191"/>
        <v>293.33333333333786</v>
      </c>
      <c r="S200" s="62">
        <f ca="1">AVERAGE(OFFSET($R$3,0,0,'Données projet'!$E$9+1,1))-AVERAGE(OFFSET($H$3,0,0,'Données projet'!$E$9+1,1))</f>
        <v>321.23599968992932</v>
      </c>
      <c r="T200" s="62">
        <f t="shared" si="204"/>
        <v>388.05195847800502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0.10962784928821213</v>
      </c>
      <c r="AB200" s="23">
        <f>EXP(-LN(2)/2)*AB199+(1-EXP(-LN(2)/2))/(LN(2)/2)*V200*Y200*VLOOKUP('Données projet'!$B$9,Paramètres!$A$1:$I$89,3,0)*0.475*44/12</f>
        <v>1.2805486213771154E-24</v>
      </c>
      <c r="AC200" s="24">
        <f t="shared" si="163"/>
        <v>0.10962784928821213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1.9895196601282805E-13</v>
      </c>
      <c r="O201" s="14">
        <f>N201*VLOOKUP('Données projet'!$B$9,Paramètres!$A$1:$I$89,3,0)*VLOOKUP('Données projet'!$B$9,Paramètres!$A$1:$I$89,5,0)</f>
        <v>1.738044375088066E-13</v>
      </c>
      <c r="P201" s="14">
        <f t="shared" si="203"/>
        <v>2.4483293633950478E-12</v>
      </c>
      <c r="Q201" s="22">
        <f t="shared" si="162"/>
        <v>4.566883036574213E-12</v>
      </c>
      <c r="R201" s="62">
        <f t="shared" si="191"/>
        <v>293.33333333333786</v>
      </c>
      <c r="S201" s="62">
        <f ca="1">AVERAGE(OFFSET($R$3,0,0,'Données projet'!$E$9+1,1))-AVERAGE(OFFSET($H$3,0,0,'Données projet'!$E$9+1,1))</f>
        <v>321.23599968992932</v>
      </c>
      <c r="T201" s="62">
        <f t="shared" si="204"/>
        <v>388.05195847800502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0.10663006998434793</v>
      </c>
      <c r="AB201" s="23">
        <f>EXP(-LN(2)/2)*AB200+(1-EXP(-LN(2)/2))/(LN(2)/2)*V201*Y201*VLOOKUP('Données projet'!$B$9,Paramètres!$A$1:$I$89,3,0)*0.475*44/12</f>
        <v>9.0548461381484305E-25</v>
      </c>
      <c r="AC201" s="24">
        <f t="shared" si="163"/>
        <v>0.10663006998434793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1.9895196601282805E-13</v>
      </c>
      <c r="O202" s="14">
        <f>N202*VLOOKUP('Données projet'!$B$9,Paramètres!$A$1:$I$89,3,0)*VLOOKUP('Données projet'!$B$9,Paramètres!$A$1:$I$89,5,0)</f>
        <v>1.738044375088066E-13</v>
      </c>
      <c r="P202" s="14">
        <f t="shared" si="203"/>
        <v>2.4483293633950478E-12</v>
      </c>
      <c r="Q202" s="22">
        <f t="shared" si="162"/>
        <v>4.566883036574213E-12</v>
      </c>
      <c r="R202" s="62">
        <f t="shared" si="191"/>
        <v>293.33333333333786</v>
      </c>
      <c r="S202" s="62">
        <f ca="1">AVERAGE(OFFSET($R$3,0,0,'Données projet'!$E$9+1,1))-AVERAGE(OFFSET($H$3,0,0,'Données projet'!$E$9+1,1))</f>
        <v>321.23599968992932</v>
      </c>
      <c r="T202" s="62">
        <f t="shared" si="204"/>
        <v>388.05195847800502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0.10371426511319426</v>
      </c>
      <c r="AB202" s="23">
        <f>EXP(-LN(2)/2)*AB201+(1-EXP(-LN(2)/2))/(LN(2)/2)*V202*Y202*VLOOKUP('Données projet'!$B$9,Paramètres!$A$1:$I$89,3,0)*0.475*44/12</f>
        <v>6.4027431068855772E-25</v>
      </c>
      <c r="AC202" s="24">
        <f t="shared" si="163"/>
        <v>0.10371426511319426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1.9895196601282805E-13</v>
      </c>
      <c r="O203" s="14">
        <f>N203*VLOOKUP('Données projet'!$B$9,Paramètres!$A$1:$I$89,3,0)*VLOOKUP('Données projet'!$B$9,Paramètres!$A$1:$I$89,5,0)</f>
        <v>1.738044375088066E-13</v>
      </c>
      <c r="P203" s="14">
        <f t="shared" si="203"/>
        <v>2.4483293633950478E-12</v>
      </c>
      <c r="Q203" s="22">
        <f t="shared" si="162"/>
        <v>4.566883036574213E-12</v>
      </c>
      <c r="R203" s="62">
        <f t="shared" si="191"/>
        <v>293.33333333333786</v>
      </c>
      <c r="S203" s="62">
        <f ca="1">AVERAGE(OFFSET($R$3,0,0,'Données projet'!$E$9+1,1))-AVERAGE(OFFSET($H$3,0,0,'Données projet'!$E$9+1,1))</f>
        <v>321.23599968992932</v>
      </c>
      <c r="T203" s="62">
        <f t="shared" si="204"/>
        <v>388.05195847800502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0.10087819307957781</v>
      </c>
      <c r="AB203" s="23">
        <f>EXP(-LN(2)/2)*AB202+(1-EXP(-LN(2)/2))/(LN(2)/2)*V203*Y203*VLOOKUP('Données projet'!$B$9,Paramètres!$A$1:$I$89,3,0)*0.475*44/12</f>
        <v>4.5274230690742152E-25</v>
      </c>
      <c r="AC203" s="24">
        <f t="shared" si="163"/>
        <v>0.10087819307957781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1.3467943429205997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O2" sqref="O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rouge d'Amérique</v>
      </c>
      <c r="B6" s="155">
        <f>'Données projet'!D9</f>
        <v>2.2000000000000002</v>
      </c>
      <c r="C6" s="156">
        <f ca="1">IF(OR('Données projet'!B9="",'Données projet'!C9="",'Données projet'!C9=0%),0,Calculateur!S3)</f>
        <v>321.23599968992932</v>
      </c>
      <c r="D6" s="156">
        <f>IF(OR('Données projet'!B9="",'Données projet'!C9="",'Données projet'!C9=0%),0,Calculateur!T3)</f>
        <v>388.05195847800502</v>
      </c>
      <c r="E6" s="156">
        <f ca="1">MIN(C6,D6)</f>
        <v>321.23599968992932</v>
      </c>
      <c r="F6" s="156">
        <f ca="1">E6*B6</f>
        <v>706.71919931784453</v>
      </c>
      <c r="G6" s="156">
        <f ca="1">F6*(100%-'Données projet'!$C$24)*(100%-'Données projet'!$C$25)*(100%-'Données projet'!$C$26)*(100%-'Données projet'!$C$27)</f>
        <v>636.04727938606004</v>
      </c>
      <c r="H6" s="157">
        <f>IF(OR('Données projet'!B9="",'Données projet'!C9="",'Données projet'!C9=0%),0,AVERAGE(Calculateur!$AC$3:$AC$33)*B6)</f>
        <v>9.7907818951261891</v>
      </c>
      <c r="I6" s="158">
        <f>H6*(100%-'Données projet'!$C$24)*(100%-'Données projet'!$C$25)*(100%-'Données projet'!$C$26)*(100%-'Données projet'!$C$27)</f>
        <v>8.8117037056135707</v>
      </c>
      <c r="J6" s="159">
        <f>IF(OR('Données projet'!B9="",'Données projet'!C9="",'Données projet'!C9=0%),0,SUM(Calculateur!$V$3:$V$33)*VLOOKUP('Données projet'!$B$9,Paramètres!$A$1:$I$89,9,0)*B6)</f>
        <v>83.600000000000009</v>
      </c>
      <c r="K6" s="160">
        <f>J6*(100%-'Données projet'!$C$24)*(100%-'Données projet'!$C$25)*(100%-'Données projet'!$C$26)*(100%-'Données projet'!$C$27)</f>
        <v>75.240000000000009</v>
      </c>
      <c r="L6" s="161">
        <f ca="1">G6+I6+K6</f>
        <v>720.09898309167363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706.71919931784453</v>
      </c>
      <c r="G16" s="175">
        <f t="shared" ca="1" si="3"/>
        <v>636.04727938606004</v>
      </c>
      <c r="H16" s="176">
        <f t="shared" si="3"/>
        <v>9.7907818951261891</v>
      </c>
      <c r="I16" s="176">
        <f t="shared" si="3"/>
        <v>8.8117037056135707</v>
      </c>
      <c r="J16" s="177">
        <f t="shared" si="3"/>
        <v>83.600000000000009</v>
      </c>
      <c r="K16" s="177">
        <f t="shared" si="3"/>
        <v>75.240000000000009</v>
      </c>
      <c r="L16" s="178">
        <f t="shared" ca="1" si="3"/>
        <v>720.09898309167363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J1" zoomScale="80" zoomScaleNormal="8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1192.3583439192105</v>
      </c>
      <c r="U10" s="190">
        <f>'Données projet'!D9</f>
        <v>2.2000000000000002</v>
      </c>
      <c r="V10" s="189">
        <f>U10*T10</f>
        <v>2623.1883566222632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(1815+943.8)/2.2</f>
        <v>1254</v>
      </c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1</v>
      </c>
      <c r="I20" s="204">
        <f>350+((2904+2420+1062+60)/2.2)</f>
        <v>3279.9999999999995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15</v>
      </c>
      <c r="B23" s="193">
        <f>'Données projet'!D36</f>
        <v>21</v>
      </c>
      <c r="C23" s="206">
        <v>1</v>
      </c>
      <c r="D23" s="194">
        <f>B23*C23</f>
        <v>21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-4282.0748012724735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20</v>
      </c>
      <c r="B24" s="193">
        <f>'Données projet'!D37</f>
        <v>43</v>
      </c>
      <c r="C24" s="206">
        <v>2.2000000000000002</v>
      </c>
      <c r="D24" s="194">
        <f t="shared" ref="D24:D42" si="2">B24*C24</f>
        <v>94.600000000000009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8303.5898393265197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25</v>
      </c>
      <c r="B25" s="193">
        <f>'Données projet'!D38</f>
        <v>44</v>
      </c>
      <c r="C25" s="206">
        <v>15</v>
      </c>
      <c r="D25" s="194">
        <f t="shared" si="2"/>
        <v>660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170</v>
      </c>
      <c r="Q25" s="292" t="s">
        <v>324</v>
      </c>
      <c r="R25" s="25"/>
      <c r="S25" s="198" t="s">
        <v>266</v>
      </c>
      <c r="T25" s="342">
        <f ca="1">T23-T24</f>
        <v>-12585.664640598992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44</v>
      </c>
      <c r="C26" s="206">
        <v>20</v>
      </c>
      <c r="D26" s="194">
        <f t="shared" si="2"/>
        <v>880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35</v>
      </c>
      <c r="B27" s="193">
        <f>'Données projet'!D40</f>
        <v>42</v>
      </c>
      <c r="C27" s="206">
        <v>20</v>
      </c>
      <c r="D27" s="194">
        <f t="shared" si="2"/>
        <v>840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40</v>
      </c>
      <c r="B28" s="193">
        <f>'Données projet'!D41</f>
        <v>39</v>
      </c>
      <c r="C28" s="206">
        <v>35</v>
      </c>
      <c r="D28" s="194">
        <f t="shared" si="2"/>
        <v>1365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45</v>
      </c>
      <c r="B29" s="193">
        <f>'Données projet'!D42</f>
        <v>36</v>
      </c>
      <c r="C29" s="206">
        <v>35</v>
      </c>
      <c r="D29" s="194">
        <f t="shared" si="2"/>
        <v>1260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50</v>
      </c>
      <c r="B30" s="193">
        <f>'Données projet'!D43</f>
        <v>33</v>
      </c>
      <c r="C30" s="206">
        <v>45</v>
      </c>
      <c r="D30" s="194">
        <f t="shared" si="2"/>
        <v>1485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3774.3590178756904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55</v>
      </c>
      <c r="B31" s="193">
        <f>'Données projet'!D44</f>
        <v>29</v>
      </c>
      <c r="C31" s="206">
        <v>45</v>
      </c>
      <c r="D31" s="194">
        <f t="shared" si="2"/>
        <v>1305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60</v>
      </c>
      <c r="B32" s="193">
        <f>'Données projet'!D45</f>
        <v>26</v>
      </c>
      <c r="C32" s="206">
        <v>50</v>
      </c>
      <c r="D32" s="194">
        <f t="shared" si="2"/>
        <v>1300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65</v>
      </c>
      <c r="B33" s="193">
        <f>'Données projet'!D46</f>
        <v>23</v>
      </c>
      <c r="C33" s="206">
        <v>50</v>
      </c>
      <c r="D33" s="194">
        <f t="shared" si="2"/>
        <v>1150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170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70</v>
      </c>
      <c r="B34" s="193">
        <f>'Données projet'!D47</f>
        <v>249</v>
      </c>
      <c r="C34" s="206">
        <v>80</v>
      </c>
      <c r="D34" s="194">
        <f t="shared" si="2"/>
        <v>19920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162.67942583732059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155.67409171035465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148.97042268933458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142.55542841084653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136.4166779051163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130.54227550728837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124.92083780601756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119.54147158470583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114.39375271263717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109.46770594510735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104.75378559340417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100.24285702718105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95.926178973378981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91.795386577396187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87.842475193680542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84.059784874335492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80.439985525679887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76.976062703999915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73.661304022966419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70.489286146379371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67.453862341032888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64.549150565581726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61.769522072327014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59.109590499834475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56.5642014352483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54.128422426074948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51.797533422081287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49.567017628785933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47.432552754819064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45.390002636190509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43.435409221234927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41.564984900703301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39.775105168137138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38.062301596303485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36.423255116079893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34.854789584765456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33.353865631354502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31.917574766846418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30.543133748178391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29.227879184859713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27.969262377856186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26.76484438072363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25.612291273419739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24.50936963963612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23.453942238886238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22.44396386496291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21.477477382739625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20.552609935636013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19.667569316398101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18.820640494160866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18.010182291063028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17.234624201974196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16.492463351171477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15.782261580068406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15.102642660352538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14.45228962713162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13.829942226920211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13.234394475521738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12.664492321073434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12.119131407725774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11.597254935622749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11.097851613036129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10.619953696685288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10.162635116445257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9.7250096808088582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9.3062293596257053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8.9054826407901473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8.5219929576939233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8.1550171843960992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7.8038441955943547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2022-08-16T15:45:08Z</dcterms:modified>
</cp:coreProperties>
</file>