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AFB\Projets_LBC\Projets_Tests\Agence de Bazas\Projet Gabarnac_112021\"/>
    </mc:Choice>
  </mc:AlternateContent>
  <bookViews>
    <workbookView xWindow="0" yWindow="0" windowWidth="23040" windowHeight="9384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I4" i="2" l="1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S35" i="2" l="1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S43" i="2" l="1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V156" i="2" l="1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FS157" i="2" l="1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FS162" i="2" l="1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C164" i="2" l="1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FS179" i="2" l="1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HI201" i="2" l="1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9" i="2" l="1" a="1"/>
  <c r="AH199" i="2" s="1"/>
  <c r="AH19" i="2" a="1"/>
  <c r="AH19" i="2" s="1"/>
  <c r="AH90" i="2" a="1"/>
  <c r="AH90" i="2" s="1"/>
  <c r="AH166" i="2" a="1"/>
  <c r="AH166" i="2" s="1"/>
  <c r="AH92" i="2" a="1"/>
  <c r="AH92" i="2" s="1"/>
  <c r="AH163" i="2" a="1"/>
  <c r="AH163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<sst xmlns="http://schemas.openxmlformats.org/spreadsheetml/2006/main" count="1171" uniqueCount="324">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</sst>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2.1640152723910675</c:v>
                </c:pt>
                <c:pt idx="2">
                  <c:v>3.0202001643161789</c:v>
                </c:pt>
                <c:pt idx="3">
                  <c:v>4.2165973075165377</c:v>
                </c:pt>
                <c:pt idx="4">
                  <c:v>5.8889408145100033</c:v>
                </c:pt>
                <c:pt idx="5">
                  <c:v>8.2273224254568689</c:v>
                </c:pt>
                <c:pt idx="6">
                  <c:v>11.498035781218887</c:v>
                </c:pt>
                <c:pt idx="7">
                  <c:v>16.074227002137672</c:v>
                </c:pt>
                <c:pt idx="8">
                  <c:v>22.478912023918756</c:v>
                </c:pt>
                <c:pt idx="9">
                  <c:v>31.445364427110473</c:v>
                </c:pt>
                <c:pt idx="10">
                  <c:v>44.001907219056356</c:v>
                </c:pt>
                <c:pt idx="11">
                  <c:v>61.590996971852803</c:v>
                </c:pt>
                <c:pt idx="12">
                  <c:v>81.474868458628507</c:v>
                </c:pt>
                <c:pt idx="13">
                  <c:v>101.2351647140362</c:v>
                </c:pt>
                <c:pt idx="14">
                  <c:v>101.89207087914353</c:v>
                </c:pt>
                <c:pt idx="15">
                  <c:v>122.20760219903367</c:v>
                </c:pt>
                <c:pt idx="16">
                  <c:v>145.04629063911355</c:v>
                </c:pt>
                <c:pt idx="17">
                  <c:v>167.79880331835713</c:v>
                </c:pt>
                <c:pt idx="18">
                  <c:v>191.77248746980149</c:v>
                </c:pt>
                <c:pt idx="19">
                  <c:v>215.67636522938469</c:v>
                </c:pt>
                <c:pt idx="20">
                  <c:v>184.65292865116098</c:v>
                </c:pt>
                <c:pt idx="21">
                  <c:v>205.34750212087684</c:v>
                </c:pt>
                <c:pt idx="22">
                  <c:v>226.63832771007063</c:v>
                </c:pt>
                <c:pt idx="23">
                  <c:v>247.88335510881771</c:v>
                </c:pt>
                <c:pt idx="24">
                  <c:v>269.72899324208106</c:v>
                </c:pt>
                <c:pt idx="25">
                  <c:v>291.53481477536712</c:v>
                </c:pt>
                <c:pt idx="26">
                  <c:v>239.51926369573494</c:v>
                </c:pt>
                <c:pt idx="27">
                  <c:v>256.88368281077413</c:v>
                </c:pt>
                <c:pt idx="28">
                  <c:v>274.86322161173604</c:v>
                </c:pt>
                <c:pt idx="29">
                  <c:v>292.81634557312492</c:v>
                </c:pt>
                <c:pt idx="30">
                  <c:v>310.74490180919639</c:v>
                </c:pt>
                <c:pt idx="31">
                  <c:v>328.01139961554662</c:v>
                </c:pt>
                <c:pt idx="32">
                  <c:v>345.25783856692902</c:v>
                </c:pt>
                <c:pt idx="33">
                  <c:v>362.48536141537079</c:v>
                </c:pt>
                <c:pt idx="34">
                  <c:v>379.69499344441141</c:v>
                </c:pt>
                <c:pt idx="35">
                  <c:v>394.97817429257526</c:v>
                </c:pt>
                <c:pt idx="36">
                  <c:v>410.24854266397239</c:v>
                </c:pt>
                <c:pt idx="37">
                  <c:v>424.87112663871932</c:v>
                </c:pt>
                <c:pt idx="38">
                  <c:v>439.48288577116256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43083392"/>
        <c:axId val="-1743082848"/>
      </c:scatterChart>
      <c:valAx>
        <c:axId val="-17430833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43082848"/>
        <c:crosses val="autoZero"/>
        <c:crossBetween val="midCat"/>
      </c:valAx>
      <c:valAx>
        <c:axId val="-1743082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430833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97551328"/>
        <c:axId val="-1897554592"/>
      </c:scatterChart>
      <c:valAx>
        <c:axId val="-18975513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97554592"/>
        <c:crosses val="autoZero"/>
        <c:crossBetween val="midCat"/>
      </c:valAx>
      <c:valAx>
        <c:axId val="-189755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975513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2.1640152723910675</c:v>
                </c:pt>
                <c:pt idx="2">
                  <c:v>3.0202001643161789</c:v>
                </c:pt>
                <c:pt idx="3">
                  <c:v>4.2165973075165377</c:v>
                </c:pt>
                <c:pt idx="4">
                  <c:v>5.8889408145100033</c:v>
                </c:pt>
                <c:pt idx="5">
                  <c:v>8.2273224254568689</c:v>
                </c:pt>
                <c:pt idx="6">
                  <c:v>11.498035781218887</c:v>
                </c:pt>
                <c:pt idx="7">
                  <c:v>16.074227002137672</c:v>
                </c:pt>
                <c:pt idx="8">
                  <c:v>22.478912023918756</c:v>
                </c:pt>
                <c:pt idx="9">
                  <c:v>31.445364427110473</c:v>
                </c:pt>
                <c:pt idx="10">
                  <c:v>44.001907219056356</c:v>
                </c:pt>
                <c:pt idx="11">
                  <c:v>61.590996971852803</c:v>
                </c:pt>
                <c:pt idx="12">
                  <c:v>81.474868458628507</c:v>
                </c:pt>
                <c:pt idx="13">
                  <c:v>101.2351647140362</c:v>
                </c:pt>
                <c:pt idx="14">
                  <c:v>101.89207087914353</c:v>
                </c:pt>
                <c:pt idx="15">
                  <c:v>122.20760219903367</c:v>
                </c:pt>
                <c:pt idx="16">
                  <c:v>145.04629063911355</c:v>
                </c:pt>
                <c:pt idx="17">
                  <c:v>167.79880331835713</c:v>
                </c:pt>
                <c:pt idx="18">
                  <c:v>191.77248746980149</c:v>
                </c:pt>
                <c:pt idx="19">
                  <c:v>215.67636522938469</c:v>
                </c:pt>
                <c:pt idx="20">
                  <c:v>184.65292865116098</c:v>
                </c:pt>
                <c:pt idx="21">
                  <c:v>205.34750212087684</c:v>
                </c:pt>
                <c:pt idx="22">
                  <c:v>226.63832771007063</c:v>
                </c:pt>
                <c:pt idx="23">
                  <c:v>247.88335510881771</c:v>
                </c:pt>
                <c:pt idx="24">
                  <c:v>269.72899324208106</c:v>
                </c:pt>
                <c:pt idx="25">
                  <c:v>291.53481477536712</c:v>
                </c:pt>
                <c:pt idx="26">
                  <c:v>239.51926369573494</c:v>
                </c:pt>
                <c:pt idx="27">
                  <c:v>256.88368281077413</c:v>
                </c:pt>
                <c:pt idx="28">
                  <c:v>274.86322161173604</c:v>
                </c:pt>
                <c:pt idx="29">
                  <c:v>292.81634557312492</c:v>
                </c:pt>
                <c:pt idx="30">
                  <c:v>310.74490180919639</c:v>
                </c:pt>
                <c:pt idx="31">
                  <c:v>328.01139961554662</c:v>
                </c:pt>
                <c:pt idx="32">
                  <c:v>345.25783856692902</c:v>
                </c:pt>
                <c:pt idx="33">
                  <c:v>362.48536141537079</c:v>
                </c:pt>
                <c:pt idx="34">
                  <c:v>379.69499344441141</c:v>
                </c:pt>
                <c:pt idx="35">
                  <c:v>394.97817429257526</c:v>
                </c:pt>
                <c:pt idx="36">
                  <c:v>410.24854266397239</c:v>
                </c:pt>
                <c:pt idx="37">
                  <c:v>424.87112663871932</c:v>
                </c:pt>
                <c:pt idx="38">
                  <c:v>439.48288577116256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43085568"/>
        <c:axId val="-1743086112"/>
      </c:scatterChart>
      <c:valAx>
        <c:axId val="-17430855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43086112"/>
        <c:crosses val="autoZero"/>
        <c:crossBetween val="midCat"/>
      </c:valAx>
      <c:valAx>
        <c:axId val="-1743086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430855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98279056"/>
        <c:axId val="-1898278512"/>
      </c:scatterChart>
      <c:valAx>
        <c:axId val="-1898279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98278512"/>
        <c:crosses val="autoZero"/>
        <c:crossBetween val="midCat"/>
      </c:valAx>
      <c:valAx>
        <c:axId val="-1898278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98279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98280688"/>
        <c:axId val="-1898285584"/>
      </c:scatterChart>
      <c:valAx>
        <c:axId val="-18982806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98285584"/>
        <c:crosses val="autoZero"/>
        <c:crossBetween val="midCat"/>
      </c:valAx>
      <c:valAx>
        <c:axId val="-1898285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982806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98285040"/>
        <c:axId val="-1898283408"/>
      </c:scatterChart>
      <c:valAx>
        <c:axId val="-18982850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98283408"/>
        <c:crosses val="autoZero"/>
        <c:crossBetween val="midCat"/>
      </c:valAx>
      <c:valAx>
        <c:axId val="-189828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982850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98282864"/>
        <c:axId val="-1898282320"/>
      </c:scatterChart>
      <c:valAx>
        <c:axId val="-18982828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98282320"/>
        <c:crosses val="autoZero"/>
        <c:crossBetween val="midCat"/>
      </c:valAx>
      <c:valAx>
        <c:axId val="-1898282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982828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98284496"/>
        <c:axId val="-1898281776"/>
      </c:scatterChart>
      <c:valAx>
        <c:axId val="-18982844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98281776"/>
        <c:crosses val="autoZero"/>
        <c:crossBetween val="midCat"/>
      </c:valAx>
      <c:valAx>
        <c:axId val="-1898281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98284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98279600"/>
        <c:axId val="-1898283952"/>
      </c:scatterChart>
      <c:valAx>
        <c:axId val="-18982796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98283952"/>
        <c:crosses val="autoZero"/>
        <c:crossBetween val="midCat"/>
      </c:valAx>
      <c:valAx>
        <c:axId val="-1898283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982796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98281232"/>
        <c:axId val="-1898280144"/>
      </c:scatterChart>
      <c:valAx>
        <c:axId val="-18982812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98280144"/>
        <c:crosses val="autoZero"/>
        <c:crossBetween val="midCat"/>
      </c:valAx>
      <c:valAx>
        <c:axId val="-189828014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982812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123" zoomScaleNormal="80" workbookViewId="0">
      <selection activeCell="F66" sqref="F66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6.6344000000000003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36</v>
      </c>
      <c r="C9" s="35">
        <v>0.61360000000000003</v>
      </c>
      <c r="D9" s="36">
        <f t="shared" ref="D9:D18" si="0">C9*$C$5</f>
        <v>4.07086784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138</v>
      </c>
      <c r="C10" s="35">
        <v>0.38629999999999998</v>
      </c>
      <c r="D10" s="36">
        <f t="shared" si="0"/>
        <v>2.56286872</v>
      </c>
      <c r="E10" s="37">
        <v>38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0.99990000000000001</v>
      </c>
      <c r="D19" s="41">
        <f>SUM(D9:D18)</f>
        <v>6.63373656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11</v>
      </c>
      <c r="B36" s="63">
        <v>45</v>
      </c>
      <c r="C36" s="63"/>
      <c r="D36" s="63"/>
      <c r="E36" s="54"/>
      <c r="F36" s="54"/>
      <c r="G36" s="54"/>
      <c r="H36" s="54"/>
      <c r="I36" s="52">
        <f>IFERROR(B36/A36,"")</f>
        <v>4.0909090909090908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13</v>
      </c>
      <c r="B37" s="63">
        <v>75</v>
      </c>
      <c r="C37" s="63">
        <v>1</v>
      </c>
      <c r="D37" s="63">
        <v>15</v>
      </c>
      <c r="E37" s="54"/>
      <c r="F37" s="54"/>
      <c r="G37" s="54">
        <v>1</v>
      </c>
      <c r="H37" s="54"/>
      <c r="I37" s="56">
        <f t="shared" ref="I37:I55" si="1">IF(A37&lt;&gt;0,(B37-(B36-D36))/(A37-A36),"")</f>
        <v>15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15</v>
      </c>
      <c r="B38" s="63">
        <v>91</v>
      </c>
      <c r="C38" s="63"/>
      <c r="D38" s="63"/>
      <c r="E38" s="54"/>
      <c r="F38" s="54"/>
      <c r="G38" s="54"/>
      <c r="H38" s="54"/>
      <c r="I38" s="56">
        <f t="shared" si="1"/>
        <v>15.5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17</v>
      </c>
      <c r="B39" s="63">
        <v>126</v>
      </c>
      <c r="C39" s="63"/>
      <c r="D39" s="63"/>
      <c r="E39" s="54"/>
      <c r="F39" s="54"/>
      <c r="G39" s="54"/>
      <c r="H39" s="54"/>
      <c r="I39" s="52">
        <f t="shared" si="1"/>
        <v>17.5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19</v>
      </c>
      <c r="B40" s="63">
        <v>163</v>
      </c>
      <c r="C40" s="63">
        <v>2</v>
      </c>
      <c r="D40" s="63">
        <v>40</v>
      </c>
      <c r="E40" s="54">
        <v>0.2</v>
      </c>
      <c r="F40" s="54"/>
      <c r="G40" s="54">
        <v>0.8</v>
      </c>
      <c r="H40" s="54"/>
      <c r="I40" s="52">
        <f t="shared" si="1"/>
        <v>18.5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21</v>
      </c>
      <c r="B41" s="63">
        <v>155</v>
      </c>
      <c r="C41" s="63"/>
      <c r="D41" s="63"/>
      <c r="E41" s="54"/>
      <c r="F41" s="54"/>
      <c r="G41" s="54"/>
      <c r="H41" s="54"/>
      <c r="I41" s="56">
        <f t="shared" si="1"/>
        <v>16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23</v>
      </c>
      <c r="B42" s="63">
        <v>188</v>
      </c>
      <c r="C42" s="63"/>
      <c r="D42" s="63"/>
      <c r="E42" s="54"/>
      <c r="F42" s="54"/>
      <c r="G42" s="54"/>
      <c r="H42" s="54"/>
      <c r="I42" s="56">
        <f t="shared" si="1"/>
        <v>16.5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25</v>
      </c>
      <c r="B43" s="63">
        <v>222</v>
      </c>
      <c r="C43" s="63">
        <v>3</v>
      </c>
      <c r="D43" s="63">
        <v>54</v>
      </c>
      <c r="E43" s="54">
        <v>0.4</v>
      </c>
      <c r="F43" s="54"/>
      <c r="G43" s="54">
        <v>0.6</v>
      </c>
      <c r="H43" s="54"/>
      <c r="I43" s="52">
        <f t="shared" si="1"/>
        <v>17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27</v>
      </c>
      <c r="B44" s="63">
        <v>195</v>
      </c>
      <c r="C44" s="63"/>
      <c r="D44" s="63"/>
      <c r="E44" s="54"/>
      <c r="F44" s="54"/>
      <c r="G44" s="54"/>
      <c r="H44" s="54"/>
      <c r="I44" s="52">
        <f t="shared" si="1"/>
        <v>13.5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>
        <v>29</v>
      </c>
      <c r="B45" s="63">
        <v>223</v>
      </c>
      <c r="C45" s="63"/>
      <c r="D45" s="63"/>
      <c r="E45" s="54"/>
      <c r="F45" s="54"/>
      <c r="G45" s="54"/>
      <c r="H45" s="54"/>
      <c r="I45" s="52">
        <f t="shared" si="1"/>
        <v>14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>
        <v>30</v>
      </c>
      <c r="B46" s="63">
        <v>237</v>
      </c>
      <c r="C46" s="63"/>
      <c r="D46" s="63"/>
      <c r="E46" s="54"/>
      <c r="F46" s="54"/>
      <c r="G46" s="54"/>
      <c r="H46" s="54"/>
      <c r="I46" s="52">
        <f t="shared" si="1"/>
        <v>14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>
        <v>32</v>
      </c>
      <c r="B47" s="63">
        <v>264</v>
      </c>
      <c r="C47" s="63"/>
      <c r="D47" s="63"/>
      <c r="E47" s="54"/>
      <c r="F47" s="54"/>
      <c r="G47" s="54"/>
      <c r="H47" s="54"/>
      <c r="I47" s="52">
        <f t="shared" si="1"/>
        <v>13.5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>
        <v>34</v>
      </c>
      <c r="B48" s="63">
        <v>291</v>
      </c>
      <c r="C48" s="63"/>
      <c r="D48" s="63"/>
      <c r="E48" s="54"/>
      <c r="F48" s="54"/>
      <c r="G48" s="54"/>
      <c r="H48" s="54"/>
      <c r="I48" s="52">
        <f t="shared" si="1"/>
        <v>13.5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>
        <v>36</v>
      </c>
      <c r="B49" s="63">
        <v>315</v>
      </c>
      <c r="C49" s="63"/>
      <c r="D49" s="63"/>
      <c r="E49" s="54"/>
      <c r="F49" s="54"/>
      <c r="G49" s="54"/>
      <c r="H49" s="54"/>
      <c r="I49" s="52">
        <f t="shared" si="1"/>
        <v>12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>
        <v>38</v>
      </c>
      <c r="B50" s="53">
        <v>338</v>
      </c>
      <c r="C50" s="53"/>
      <c r="D50" s="53">
        <v>338</v>
      </c>
      <c r="E50" s="54">
        <v>0.7</v>
      </c>
      <c r="F50" s="54"/>
      <c r="G50" s="54">
        <v>0.3</v>
      </c>
      <c r="H50" s="54"/>
      <c r="I50" s="52">
        <f t="shared" si="1"/>
        <v>11.5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Pin taeda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11</v>
      </c>
      <c r="B62" s="63">
        <v>45</v>
      </c>
      <c r="C62" s="63"/>
      <c r="D62" s="63"/>
      <c r="E62" s="54"/>
      <c r="F62" s="54"/>
      <c r="G62" s="54"/>
      <c r="H62" s="54"/>
      <c r="I62" s="56">
        <f>IFERROR(B62/A62,"")</f>
        <v>4.0909090909090908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13</v>
      </c>
      <c r="B63" s="63">
        <v>75</v>
      </c>
      <c r="C63" s="63">
        <v>1</v>
      </c>
      <c r="D63" s="63">
        <v>15</v>
      </c>
      <c r="E63" s="54"/>
      <c r="F63" s="54"/>
      <c r="G63" s="54">
        <v>1</v>
      </c>
      <c r="H63" s="54"/>
      <c r="I63" s="52">
        <f>IF(A63&lt;&gt;0,(B63-(B62-D62))/(A63-A62),"")</f>
        <v>15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15</v>
      </c>
      <c r="B64" s="63">
        <v>91</v>
      </c>
      <c r="C64" s="63"/>
      <c r="D64" s="63"/>
      <c r="E64" s="54"/>
      <c r="F64" s="54"/>
      <c r="G64" s="54"/>
      <c r="H64" s="54"/>
      <c r="I64" s="52">
        <f>IF(A64&lt;&gt;0,(B64-(B63-D63))/(A64-A63),"")</f>
        <v>15.5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17</v>
      </c>
      <c r="B65" s="63">
        <v>126</v>
      </c>
      <c r="C65" s="63"/>
      <c r="D65" s="63"/>
      <c r="E65" s="54"/>
      <c r="F65" s="54"/>
      <c r="G65" s="54"/>
      <c r="H65" s="54"/>
      <c r="I65" s="52">
        <f>IF(A65&lt;&gt;0,(B65-(B64-D64))/(A65-A64),"")</f>
        <v>17.5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19</v>
      </c>
      <c r="B66" s="63">
        <v>163</v>
      </c>
      <c r="C66" s="63">
        <v>2</v>
      </c>
      <c r="D66" s="63">
        <v>40</v>
      </c>
      <c r="E66" s="54">
        <v>0.2</v>
      </c>
      <c r="F66" s="54"/>
      <c r="G66" s="54">
        <v>0.8</v>
      </c>
      <c r="H66" s="54"/>
      <c r="I66" s="52">
        <f t="shared" ref="I66:I81" si="2">IF(A66&lt;&gt;0,(B66-(B65-D65))/(A66-A65),"")</f>
        <v>18.5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21</v>
      </c>
      <c r="B67" s="63">
        <v>155</v>
      </c>
      <c r="C67" s="63"/>
      <c r="D67" s="63"/>
      <c r="E67" s="54"/>
      <c r="F67" s="54"/>
      <c r="G67" s="54"/>
      <c r="H67" s="54"/>
      <c r="I67" s="52">
        <f t="shared" si="2"/>
        <v>16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23</v>
      </c>
      <c r="B68" s="63">
        <v>188</v>
      </c>
      <c r="C68" s="63"/>
      <c r="D68" s="63"/>
      <c r="E68" s="54"/>
      <c r="F68" s="54"/>
      <c r="G68" s="54"/>
      <c r="H68" s="54"/>
      <c r="I68" s="52">
        <f t="shared" si="2"/>
        <v>16.5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283">
        <v>25</v>
      </c>
      <c r="B69" s="63">
        <v>222</v>
      </c>
      <c r="C69" s="63">
        <v>3</v>
      </c>
      <c r="D69" s="63">
        <v>54</v>
      </c>
      <c r="E69" s="54">
        <v>0.4</v>
      </c>
      <c r="F69" s="54"/>
      <c r="G69" s="54">
        <v>0.6</v>
      </c>
      <c r="H69" s="54"/>
      <c r="I69" s="52">
        <f t="shared" si="2"/>
        <v>17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283">
        <v>27</v>
      </c>
      <c r="B70" s="63">
        <v>195</v>
      </c>
      <c r="C70" s="63"/>
      <c r="D70" s="63"/>
      <c r="E70" s="54"/>
      <c r="F70" s="54"/>
      <c r="G70" s="54"/>
      <c r="H70" s="54"/>
      <c r="I70" s="52">
        <f t="shared" si="2"/>
        <v>13.5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283">
        <v>29</v>
      </c>
      <c r="B71" s="63">
        <v>223</v>
      </c>
      <c r="C71" s="63"/>
      <c r="D71" s="63"/>
      <c r="E71" s="54"/>
      <c r="F71" s="54"/>
      <c r="G71" s="54"/>
      <c r="H71" s="54"/>
      <c r="I71" s="52">
        <f t="shared" si="2"/>
        <v>14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283">
        <v>30</v>
      </c>
      <c r="B72" s="63">
        <v>237</v>
      </c>
      <c r="C72" s="63"/>
      <c r="D72" s="63"/>
      <c r="E72" s="54"/>
      <c r="F72" s="54"/>
      <c r="G72" s="54"/>
      <c r="H72" s="54"/>
      <c r="I72" s="52">
        <f t="shared" si="2"/>
        <v>14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283">
        <v>32</v>
      </c>
      <c r="B73" s="63">
        <v>264</v>
      </c>
      <c r="C73" s="63"/>
      <c r="D73" s="63"/>
      <c r="E73" s="54"/>
      <c r="F73" s="54"/>
      <c r="G73" s="54"/>
      <c r="H73" s="54"/>
      <c r="I73" s="52">
        <f t="shared" si="2"/>
        <v>13.5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283">
        <v>34</v>
      </c>
      <c r="B74" s="63">
        <v>291</v>
      </c>
      <c r="C74" s="63"/>
      <c r="D74" s="63"/>
      <c r="E74" s="54"/>
      <c r="F74" s="54"/>
      <c r="G74" s="54"/>
      <c r="H74" s="54"/>
      <c r="I74" s="52">
        <f t="shared" si="2"/>
        <v>13.5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283">
        <v>36</v>
      </c>
      <c r="B75" s="63">
        <v>315</v>
      </c>
      <c r="C75" s="63"/>
      <c r="D75" s="63"/>
      <c r="E75" s="54"/>
      <c r="F75" s="54"/>
      <c r="G75" s="54"/>
      <c r="H75" s="54"/>
      <c r="I75" s="52">
        <f t="shared" si="2"/>
        <v>12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283">
        <v>38</v>
      </c>
      <c r="B76" s="53">
        <v>338</v>
      </c>
      <c r="C76" s="53"/>
      <c r="D76" s="53">
        <v>338</v>
      </c>
      <c r="E76" s="54"/>
      <c r="F76" s="54"/>
      <c r="G76" s="54"/>
      <c r="H76" s="54"/>
      <c r="I76" s="52">
        <f t="shared" si="2"/>
        <v>11.5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18" sqref="B1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0.57999999999999996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0.42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taeda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2.1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7.7</v>
      </c>
      <c r="H3" s="70">
        <f>(B3+E3+F3)*44/12+(C3+D3)*0.475*44/12</f>
        <v>205.84666666666666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54.039999999999992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198.14666666666665</v>
      </c>
      <c r="S3" s="62">
        <f ca="1">AVERAGE(OFFSET($R$3,0,0,'Données projet'!$E$9+1,1))-AVERAGE(OFFSET($H$3,0,0,'Données projet'!$E$9+1,1))</f>
        <v>215.34313023683225</v>
      </c>
      <c r="T3" s="62">
        <f>IF('Données projet'!E9&gt;30,$R$33-$H$33,LOOKUP('Données projet'!$E$9,$A$3:$A$203,R3:R203)-LOOKUP('Données projet'!$E$9,$A$3:$A$203,$H$3:$H$203))</f>
        <v>363.61374855311703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54.039999999999992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198.14666666666665</v>
      </c>
      <c r="AN3" s="62">
        <f ca="1">AVERAGE(OFFSET($AM$3,0,0,'Données projet'!$E$10+1,1))-AVERAGE(OFFSET($H$3,0,0,'Données projet'!$E$10+1,1))</f>
        <v>215.34313023683225</v>
      </c>
      <c r="AO3" s="62">
        <f>IF('Données projet'!E10&gt;30,$AM$33-$H$33,LOOKUP('Données projet'!$E$10,$A$3:$A$203,AM3:AM203)-LOOKUP('Données projet'!$E$10,$A$3:$A$203,$H$3:$H$203))</f>
        <v>363.61374855311703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54.039999999999992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54.039999999999992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54.039999999999992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54.039999999999992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54.039999999999992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54.039999999999992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54.039999999999992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54.039999999999992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2.1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7.7</v>
      </c>
      <c r="H4" s="70">
        <f t="shared" ref="H4:H67" si="1">(B4+E4+F4)*44/12+(C4+D4)*0.475*44/12</f>
        <v>205.84666666666666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54.316870318785426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4.0909090909090908</v>
      </c>
      <c r="N4" s="14">
        <f>IF('Données projet'!$A$36&gt;35,N3+M4-V3,IF(A4&lt;'Données projet'!$A$36,$K$205^A4,IF(A4='Données projet'!$A$36,'Données projet'!$B$36,N3+M4-V3)))</f>
        <v>1.4134877424514771</v>
      </c>
      <c r="O4" s="14">
        <f>N4*VLOOKUP('Données projet'!$B$9,Paramètres!$A$1:$I$89,3,0)*VLOOKUP('Données projet'!$B$9,Paramètres!$A$1:$I$89,5,0)</f>
        <v>0.84526566998598329</v>
      </c>
      <c r="P4" s="14">
        <f>EXP(-1.0587+0.8836*LN(O4)+0.284)</f>
        <v>0.39723113712850538</v>
      </c>
      <c r="Q4" s="22">
        <f t="shared" ref="Q4:Q34" si="2">(O4+P4)*0.475*44/12</f>
        <v>2.1640152723910675</v>
      </c>
      <c r="R4" s="62">
        <f t="shared" si="0"/>
        <v>202.54809533015984</v>
      </c>
      <c r="S4" s="62">
        <f ca="1">AVERAGE(OFFSET($R$3,0,0,'Données projet'!$E$9+1,1))-AVERAGE(OFFSET($H$3,0,0,'Données projet'!$E$9+1,1))</f>
        <v>215.34313023683225</v>
      </c>
      <c r="T4" s="62">
        <f>$T$3</f>
        <v>363.61374855311703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54.316870318785426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4.0909090909090908</v>
      </c>
      <c r="AI4" s="14">
        <f>IF('Données projet'!$A$62&gt;35,AI3+AH4-AQ3,IF(A4&lt;'Données projet'!$A$62,$AF$205^A4,IF(A4='Données projet'!$A$62,'Données projet'!$B$62,AI3+AH4-AQ3)))</f>
        <v>1.4134877424514771</v>
      </c>
      <c r="AJ4" s="14">
        <f>AI4*VLOOKUP('Données projet'!$B$10,Paramètres!$A$1:$I$89,3,0)*VLOOKUP('Données projet'!$B$10,Paramètres!$A$1:$I$89,5,0)</f>
        <v>0.84526566998598329</v>
      </c>
      <c r="AK4" s="14">
        <f>EXP(-1.0587+0.8836*LN(AJ4)+0.284)</f>
        <v>0.39723113712850538</v>
      </c>
      <c r="AL4" s="22">
        <f t="shared" ref="AL4:AL67" si="4">(AJ4+AK4)*0.475*44/12</f>
        <v>2.1640152723910675</v>
      </c>
      <c r="AM4" s="62">
        <f t="shared" ref="AM4:AM67" si="5">AL4+(AD4+AE4)*44/12</f>
        <v>202.54809533015984</v>
      </c>
      <c r="AN4" s="62">
        <f ca="1">AVERAGE(OFFSET($AM$3,0,0,'Données projet'!$E$10+1,1))-AVERAGE(OFFSET($H$3,0,0,'Données projet'!$E$10+1,1))</f>
        <v>215.34313023683225</v>
      </c>
      <c r="AO4" s="62">
        <f>$AO$3</f>
        <v>363.61374855311703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54.316870318785426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54.316870318785426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54.316870318785426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54.316870318785426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54.316870318785426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54.316870318785426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54.316870318785426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54.316870318785426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2.1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7.7</v>
      </c>
      <c r="H5" s="70">
        <f t="shared" si="1"/>
        <v>205.84666666666666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54.588937556529231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4.0909090909090908</v>
      </c>
      <c r="N5" s="14">
        <f>IF('Données projet'!$A$36&gt;35,N4+M5-V4,IF(A5&lt;'Données projet'!$A$36,$K$205^A5,IF(A5='Données projet'!$A$36,'Données projet'!$B$36,N4+M5-V4)))</f>
        <v>1.9979475980605734</v>
      </c>
      <c r="O5" s="14">
        <f>N5*VLOOKUP('Données projet'!$B$9,Paramètres!$A$1:$I$89,3,0)*VLOOKUP('Données projet'!$B$9,Paramètres!$A$1:$I$89,5,0)</f>
        <v>1.1947726636402229</v>
      </c>
      <c r="P5" s="14">
        <f t="shared" ref="P5:P68" si="33">EXP(-1.0587+0.8836*LN(O5)+0.284)</f>
        <v>0.53931355510590839</v>
      </c>
      <c r="Q5" s="22">
        <f t="shared" si="2"/>
        <v>3.0202001643161789</v>
      </c>
      <c r="R5" s="62">
        <f t="shared" si="0"/>
        <v>205.62408231603445</v>
      </c>
      <c r="S5" s="62">
        <f ca="1">AVERAGE(OFFSET($R$3,0,0,'Données projet'!$E$9+1,1))-AVERAGE(OFFSET($H$3,0,0,'Données projet'!$E$9+1,1))</f>
        <v>215.34313023683225</v>
      </c>
      <c r="T5" s="62">
        <f t="shared" ref="T5:T68" si="34">$T$3</f>
        <v>363.61374855311703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54.588937556529231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4.0909090909090908</v>
      </c>
      <c r="AI5" s="14">
        <f>IF('Données projet'!$A$62&gt;35,AI4+AH5-AQ4,IF(A5&lt;'Données projet'!$A$62,$AF$205^A5,IF(A5='Données projet'!$A$62,'Données projet'!$B$62,AI4+AH5-AQ4)))</f>
        <v>1.9979475980605734</v>
      </c>
      <c r="AJ5" s="14">
        <f>AI5*VLOOKUP('Données projet'!$B$10,Paramètres!$A$1:$I$89,3,0)*VLOOKUP('Données projet'!$B$10,Paramètres!$A$1:$I$89,5,0)</f>
        <v>1.1947726636402229</v>
      </c>
      <c r="AK5" s="14">
        <f t="shared" ref="AK5:AK68" si="35">EXP(-1.0587+0.8836*LN(AJ5)+0.284)</f>
        <v>0.53931355510590839</v>
      </c>
      <c r="AL5" s="22">
        <f t="shared" si="4"/>
        <v>3.0202001643161789</v>
      </c>
      <c r="AM5" s="62">
        <f t="shared" si="5"/>
        <v>205.62408231603445</v>
      </c>
      <c r="AN5" s="62">
        <f ca="1">AVERAGE(OFFSET($AM$3,0,0,'Données projet'!$E$10+1,1))-AVERAGE(OFFSET($H$3,0,0,'Données projet'!$E$10+1,1))</f>
        <v>215.34313023683225</v>
      </c>
      <c r="AO5" s="62">
        <f t="shared" ref="AO5:AO68" si="36">$AO$3</f>
        <v>363.61374855311703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54.588937556529231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54.588937556529231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54.588937556529231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54.588937556529231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54.588937556529231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54.588937556529231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54.588937556529231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54.588937556529231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2.1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7.7</v>
      </c>
      <c r="H6" s="70">
        <f t="shared" si="1"/>
        <v>205.84666666666666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54.856285035949405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4.0909090909090908</v>
      </c>
      <c r="N6" s="14">
        <f>IF('Données projet'!$A$36&gt;35,N5+M6-V5,IF(A6&lt;'Données projet'!$A$36,$K$205^A6,IF(A6='Données projet'!$A$36,'Données projet'!$B$36,N5+M6-V5)))</f>
        <v>2.824074439918991</v>
      </c>
      <c r="O6" s="14">
        <f>N6*VLOOKUP('Données projet'!$B$9,Paramètres!$A$1:$I$89,3,0)*VLOOKUP('Données projet'!$B$9,Paramètres!$A$1:$I$89,5,0)</f>
        <v>1.6887965150715567</v>
      </c>
      <c r="P6" s="14">
        <f t="shared" si="33"/>
        <v>0.73221629307190972</v>
      </c>
      <c r="Q6" s="22">
        <f t="shared" si="2"/>
        <v>4.2165973075165377</v>
      </c>
      <c r="R6" s="62">
        <f t="shared" si="0"/>
        <v>209.02297577266438</v>
      </c>
      <c r="S6" s="62">
        <f ca="1">AVERAGE(OFFSET($R$3,0,0,'Données projet'!$E$9+1,1))-AVERAGE(OFFSET($H$3,0,0,'Données projet'!$E$9+1,1))</f>
        <v>215.34313023683225</v>
      </c>
      <c r="T6" s="62">
        <f t="shared" si="34"/>
        <v>363.61374855311703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54.856285035949405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4.0909090909090908</v>
      </c>
      <c r="AI6" s="14">
        <f>IF('Données projet'!$A$62&gt;35,AI5+AH6-AQ5,IF(A6&lt;'Données projet'!$A$62,$AF$205^A6,IF(A6='Données projet'!$A$62,'Données projet'!$B$62,AI5+AH6-AQ5)))</f>
        <v>2.824074439918991</v>
      </c>
      <c r="AJ6" s="14">
        <f>AI6*VLOOKUP('Données projet'!$B$10,Paramètres!$A$1:$I$89,3,0)*VLOOKUP('Données projet'!$B$10,Paramètres!$A$1:$I$89,5,0)</f>
        <v>1.6887965150715567</v>
      </c>
      <c r="AK6" s="14">
        <f t="shared" si="35"/>
        <v>0.73221629307190972</v>
      </c>
      <c r="AL6" s="22">
        <f t="shared" si="4"/>
        <v>4.2165973075165377</v>
      </c>
      <c r="AM6" s="62">
        <f t="shared" si="5"/>
        <v>209.02297577266438</v>
      </c>
      <c r="AN6" s="62">
        <f ca="1">AVERAGE(OFFSET($AM$3,0,0,'Données projet'!$E$10+1,1))-AVERAGE(OFFSET($H$3,0,0,'Données projet'!$E$10+1,1))</f>
        <v>215.34313023683225</v>
      </c>
      <c r="AO6" s="62">
        <f t="shared" si="36"/>
        <v>363.61374855311703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54.856285035949405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54.856285035949405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54.856285035949405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54.856285035949405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54.856285035949405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54.856285035949405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54.856285035949405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54.856285035949405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2.1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7.7</v>
      </c>
      <c r="H7" s="70">
        <f t="shared" si="1"/>
        <v>205.84666666666666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55.11899463430106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4.0909090909090908</v>
      </c>
      <c r="N7" s="14">
        <f>IF('Données projet'!$A$36&gt;35,N6+M7-V6,IF(A7&lt;'Données projet'!$A$36,$K$205^A7,IF(A7='Données projet'!$A$36,'Données projet'!$B$36,N6+M7-V6)))</f>
        <v>3.9917946045960147</v>
      </c>
      <c r="O7" s="14">
        <f>N7*VLOOKUP('Données projet'!$B$9,Paramètres!$A$1:$I$89,3,0)*VLOOKUP('Données projet'!$B$9,Paramètres!$A$1:$I$89,5,0)</f>
        <v>2.3870931735484171</v>
      </c>
      <c r="P7" s="14">
        <f t="shared" si="33"/>
        <v>0.9941168634908194</v>
      </c>
      <c r="Q7" s="22">
        <f t="shared" si="2"/>
        <v>5.8889408145100033</v>
      </c>
      <c r="R7" s="62">
        <f t="shared" si="0"/>
        <v>212.88081002916945</v>
      </c>
      <c r="S7" s="62">
        <f ca="1">AVERAGE(OFFSET($R$3,0,0,'Données projet'!$E$9+1,1))-AVERAGE(OFFSET($H$3,0,0,'Données projet'!$E$9+1,1))</f>
        <v>215.34313023683225</v>
      </c>
      <c r="T7" s="62">
        <f t="shared" si="34"/>
        <v>363.61374855311703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55.11899463430106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4.0909090909090908</v>
      </c>
      <c r="AI7" s="14">
        <f>IF('Données projet'!$A$62&gt;35,AI6+AH7-AQ6,IF(A7&lt;'Données projet'!$A$62,$AF$205^A7,IF(A7='Données projet'!$A$62,'Données projet'!$B$62,AI6+AH7-AQ6)))</f>
        <v>3.9917946045960147</v>
      </c>
      <c r="AJ7" s="14">
        <f>AI7*VLOOKUP('Données projet'!$B$10,Paramètres!$A$1:$I$89,3,0)*VLOOKUP('Données projet'!$B$10,Paramètres!$A$1:$I$89,5,0)</f>
        <v>2.3870931735484171</v>
      </c>
      <c r="AK7" s="14">
        <f t="shared" si="35"/>
        <v>0.9941168634908194</v>
      </c>
      <c r="AL7" s="22">
        <f t="shared" si="4"/>
        <v>5.8889408145100033</v>
      </c>
      <c r="AM7" s="62">
        <f t="shared" si="5"/>
        <v>212.88081002916945</v>
      </c>
      <c r="AN7" s="62">
        <f ca="1">AVERAGE(OFFSET($AM$3,0,0,'Données projet'!$E$10+1,1))-AVERAGE(OFFSET($H$3,0,0,'Données projet'!$E$10+1,1))</f>
        <v>215.34313023683225</v>
      </c>
      <c r="AO7" s="62">
        <f t="shared" si="36"/>
        <v>363.61374855311703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55.11899463430106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55.11899463430106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55.11899463430106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55.11899463430106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55.11899463430106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55.11899463430106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55.11899463430106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55.11899463430106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2.1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7.7</v>
      </c>
      <c r="H8" s="70">
        <f t="shared" si="1"/>
        <v>205.84666666666666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55.37714680845199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4.0909090909090908</v>
      </c>
      <c r="N8" s="14">
        <f>IF('Données projet'!$A$36&gt;35,N7+M8-V7,IF(A8&lt;'Données projet'!$A$36,$K$205^A8,IF(A8='Données projet'!$A$36,'Données projet'!$B$36,N7+M8-V7)))</f>
        <v>5.6423527439804078</v>
      </c>
      <c r="O8" s="14">
        <f>N8*VLOOKUP('Données projet'!$B$9,Paramètres!$A$1:$I$89,3,0)*VLOOKUP('Données projet'!$B$9,Paramètres!$A$1:$I$89,5,0)</f>
        <v>3.3741269409002839</v>
      </c>
      <c r="P8" s="14">
        <f t="shared" si="33"/>
        <v>1.3496945474003106</v>
      </c>
      <c r="Q8" s="22">
        <f t="shared" si="2"/>
        <v>8.2273224254568689</v>
      </c>
      <c r="R8" s="62">
        <f t="shared" si="0"/>
        <v>217.38797183422528</v>
      </c>
      <c r="S8" s="62">
        <f ca="1">AVERAGE(OFFSET($R$3,0,0,'Données projet'!$E$9+1,1))-AVERAGE(OFFSET($H$3,0,0,'Données projet'!$E$9+1,1))</f>
        <v>215.34313023683225</v>
      </c>
      <c r="T8" s="62">
        <f t="shared" si="34"/>
        <v>363.61374855311703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55.37714680845199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4.0909090909090908</v>
      </c>
      <c r="AI8" s="14">
        <f>IF('Données projet'!$A$62&gt;35,AI7+AH8-AQ7,IF(A8&lt;'Données projet'!$A$62,$AF$205^A8,IF(A8='Données projet'!$A$62,'Données projet'!$B$62,AI7+AH8-AQ7)))</f>
        <v>5.6423527439804078</v>
      </c>
      <c r="AJ8" s="14">
        <f>AI8*VLOOKUP('Données projet'!$B$10,Paramètres!$A$1:$I$89,3,0)*VLOOKUP('Données projet'!$B$10,Paramètres!$A$1:$I$89,5,0)</f>
        <v>3.3741269409002839</v>
      </c>
      <c r="AK8" s="14">
        <f t="shared" si="35"/>
        <v>1.3496945474003106</v>
      </c>
      <c r="AL8" s="22">
        <f t="shared" si="4"/>
        <v>8.2273224254568689</v>
      </c>
      <c r="AM8" s="62">
        <f t="shared" si="5"/>
        <v>217.38797183422528</v>
      </c>
      <c r="AN8" s="62">
        <f ca="1">AVERAGE(OFFSET($AM$3,0,0,'Données projet'!$E$10+1,1))-AVERAGE(OFFSET($H$3,0,0,'Données projet'!$E$10+1,1))</f>
        <v>215.34313023683225</v>
      </c>
      <c r="AO8" s="62">
        <f t="shared" si="36"/>
        <v>363.61374855311703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55.37714680845199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55.37714680845199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55.37714680845199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55.37714680845199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55.37714680845199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55.37714680845199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55.37714680845199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55.37714680845199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2.1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7.7</v>
      </c>
      <c r="H9" s="70">
        <f t="shared" si="1"/>
        <v>205.84666666666666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55.630820619523192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4.0909090909090908</v>
      </c>
      <c r="N9" s="14">
        <f>IF('Données projet'!$A$36&gt;35,N8+M9-V8,IF(A9&lt;'Données projet'!$A$36,$K$205^A9,IF(A9='Données projet'!$A$36,'Données projet'!$B$36,N8+M9-V8)))</f>
        <v>7.9753964422037642</v>
      </c>
      <c r="O9" s="14">
        <f>N9*VLOOKUP('Données projet'!$B$9,Paramètres!$A$1:$I$89,3,0)*VLOOKUP('Données projet'!$B$9,Paramètres!$A$1:$I$89,5,0)</f>
        <v>4.7692870724378515</v>
      </c>
      <c r="P9" s="14">
        <f t="shared" si="33"/>
        <v>1.8324559598409356</v>
      </c>
      <c r="Q9" s="22">
        <f t="shared" si="2"/>
        <v>11.498035781218887</v>
      </c>
      <c r="R9" s="62">
        <f t="shared" si="0"/>
        <v>222.8110447194706</v>
      </c>
      <c r="S9" s="62">
        <f ca="1">AVERAGE(OFFSET($R$3,0,0,'Données projet'!$E$9+1,1))-AVERAGE(OFFSET($H$3,0,0,'Données projet'!$E$9+1,1))</f>
        <v>215.34313023683225</v>
      </c>
      <c r="T9" s="62">
        <f t="shared" si="34"/>
        <v>363.61374855311703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55.630820619523192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4.0909090909090908</v>
      </c>
      <c r="AI9" s="14">
        <f>IF('Données projet'!$A$62&gt;35,AI8+AH9-AQ8,IF(A9&lt;'Données projet'!$A$62,$AF$205^A9,IF(A9='Données projet'!$A$62,'Données projet'!$B$62,AI8+AH9-AQ8)))</f>
        <v>7.9753964422037642</v>
      </c>
      <c r="AJ9" s="14">
        <f>AI9*VLOOKUP('Données projet'!$B$10,Paramètres!$A$1:$I$89,3,0)*VLOOKUP('Données projet'!$B$10,Paramètres!$A$1:$I$89,5,0)</f>
        <v>4.7692870724378515</v>
      </c>
      <c r="AK9" s="14">
        <f t="shared" si="35"/>
        <v>1.8324559598409356</v>
      </c>
      <c r="AL9" s="22">
        <f t="shared" si="4"/>
        <v>11.498035781218887</v>
      </c>
      <c r="AM9" s="62">
        <f t="shared" si="5"/>
        <v>222.8110447194706</v>
      </c>
      <c r="AN9" s="62">
        <f ca="1">AVERAGE(OFFSET($AM$3,0,0,'Données projet'!$E$10+1,1))-AVERAGE(OFFSET($H$3,0,0,'Données projet'!$E$10+1,1))</f>
        <v>215.34313023683225</v>
      </c>
      <c r="AO9" s="62">
        <f t="shared" si="36"/>
        <v>363.61374855311703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55.630820619523192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55.630820619523192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55.630820619523192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55.630820619523192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55.630820619523192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55.630820619523192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55.630820619523192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55.630820619523192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2.1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7.7</v>
      </c>
      <c r="H10" s="70">
        <f t="shared" si="1"/>
        <v>205.84666666666666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55.880093757101996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4.0909090909090908</v>
      </c>
      <c r="N10" s="14">
        <f>IF('Données projet'!$A$36&gt;35,N9+M10-V9,IF(A10&lt;'Données projet'!$A$36,$K$205^A10,IF(A10='Données projet'!$A$36,'Données projet'!$B$36,N9+M10-V9)))</f>
        <v>11.27312511224614</v>
      </c>
      <c r="O10" s="14">
        <f>N10*VLOOKUP('Données projet'!$B$9,Paramètres!$A$1:$I$89,3,0)*VLOOKUP('Données projet'!$B$9,Paramètres!$A$1:$I$89,5,0)</f>
        <v>6.7413288171231915</v>
      </c>
      <c r="P10" s="14">
        <f t="shared" si="33"/>
        <v>2.4878924281233195</v>
      </c>
      <c r="Q10" s="22">
        <f t="shared" si="2"/>
        <v>16.074227002137672</v>
      </c>
      <c r="R10" s="62">
        <f t="shared" si="0"/>
        <v>229.52345966706721</v>
      </c>
      <c r="S10" s="62">
        <f ca="1">AVERAGE(OFFSET($R$3,0,0,'Données projet'!$E$9+1,1))-AVERAGE(OFFSET($H$3,0,0,'Données projet'!$E$9+1,1))</f>
        <v>215.34313023683225</v>
      </c>
      <c r="T10" s="62">
        <f t="shared" si="34"/>
        <v>363.61374855311703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55.880093757101996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4.0909090909090908</v>
      </c>
      <c r="AI10" s="14">
        <f>IF('Données projet'!$A$62&gt;35,AI9+AH10-AQ9,IF(A10&lt;'Données projet'!$A$62,$AF$205^A10,IF(A10='Données projet'!$A$62,'Données projet'!$B$62,AI9+AH10-AQ9)))</f>
        <v>11.27312511224614</v>
      </c>
      <c r="AJ10" s="14">
        <f>AI10*VLOOKUP('Données projet'!$B$10,Paramètres!$A$1:$I$89,3,0)*VLOOKUP('Données projet'!$B$10,Paramètres!$A$1:$I$89,5,0)</f>
        <v>6.7413288171231915</v>
      </c>
      <c r="AK10" s="14">
        <f t="shared" si="35"/>
        <v>2.4878924281233195</v>
      </c>
      <c r="AL10" s="22">
        <f t="shared" si="4"/>
        <v>16.074227002137672</v>
      </c>
      <c r="AM10" s="62">
        <f t="shared" si="5"/>
        <v>229.52345966706721</v>
      </c>
      <c r="AN10" s="62">
        <f ca="1">AVERAGE(OFFSET($AM$3,0,0,'Données projet'!$E$10+1,1))-AVERAGE(OFFSET($H$3,0,0,'Données projet'!$E$10+1,1))</f>
        <v>215.34313023683225</v>
      </c>
      <c r="AO10" s="62">
        <f t="shared" si="36"/>
        <v>363.61374855311703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55.880093757101996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55.880093757101996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55.880093757101996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55.880093757101996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55.880093757101996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55.880093757101996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55.880093757101996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55.880093757101996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2.1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7.7</v>
      </c>
      <c r="H11" s="70">
        <f t="shared" si="1"/>
        <v>205.84666666666666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56.125042563035052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4.0909090909090908</v>
      </c>
      <c r="N11" s="14">
        <f>IF('Données projet'!$A$36&gt;35,N10+M11-V10,IF(A11&lt;'Données projet'!$A$36,$K$205^A11,IF(A11='Données projet'!$A$36,'Données projet'!$B$36,N10+M11-V10)))</f>
        <v>15.934424165281852</v>
      </c>
      <c r="O11" s="14">
        <f>N11*VLOOKUP('Données projet'!$B$9,Paramètres!$A$1:$I$89,3,0)*VLOOKUP('Données projet'!$B$9,Paramètres!$A$1:$I$89,5,0)</f>
        <v>9.5287856508385484</v>
      </c>
      <c r="P11" s="14">
        <f t="shared" si="33"/>
        <v>3.3777667073923183</v>
      </c>
      <c r="Q11" s="22">
        <f t="shared" si="2"/>
        <v>22.478912023918756</v>
      </c>
      <c r="R11" s="62">
        <f t="shared" si="0"/>
        <v>238.04851253282504</v>
      </c>
      <c r="S11" s="62">
        <f ca="1">AVERAGE(OFFSET($R$3,0,0,'Données projet'!$E$9+1,1))-AVERAGE(OFFSET($H$3,0,0,'Données projet'!$E$9+1,1))</f>
        <v>215.34313023683225</v>
      </c>
      <c r="T11" s="62">
        <f t="shared" si="34"/>
        <v>363.61374855311703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56.125042563035052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4.0909090909090908</v>
      </c>
      <c r="AI11" s="14">
        <f>IF('Données projet'!$A$62&gt;35,AI10+AH11-AQ10,IF(A11&lt;'Données projet'!$A$62,$AF$205^A11,IF(A11='Données projet'!$A$62,'Données projet'!$B$62,AI10+AH11-AQ10)))</f>
        <v>15.934424165281852</v>
      </c>
      <c r="AJ11" s="14">
        <f>AI11*VLOOKUP('Données projet'!$B$10,Paramètres!$A$1:$I$89,3,0)*VLOOKUP('Données projet'!$B$10,Paramètres!$A$1:$I$89,5,0)</f>
        <v>9.5287856508385484</v>
      </c>
      <c r="AK11" s="14">
        <f t="shared" si="35"/>
        <v>3.3777667073923183</v>
      </c>
      <c r="AL11" s="22">
        <f t="shared" si="4"/>
        <v>22.478912023918756</v>
      </c>
      <c r="AM11" s="62">
        <f t="shared" si="5"/>
        <v>238.04851253282504</v>
      </c>
      <c r="AN11" s="62">
        <f ca="1">AVERAGE(OFFSET($AM$3,0,0,'Données projet'!$E$10+1,1))-AVERAGE(OFFSET($H$3,0,0,'Données projet'!$E$10+1,1))</f>
        <v>215.34313023683225</v>
      </c>
      <c r="AO11" s="62">
        <f t="shared" si="36"/>
        <v>363.61374855311703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56.125042563035052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56.125042563035052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56.125042563035052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56.125042563035052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56.125042563035052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56.125042563035052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56.125042563035052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56.125042563035052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2.1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7.7</v>
      </c>
      <c r="H12" s="70">
        <f t="shared" si="1"/>
        <v>205.84666666666666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56.365742054808663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4.0909090909090908</v>
      </c>
      <c r="N12" s="14">
        <f>IF('Données projet'!$A$36&gt;35,N11+M12-V11,IF(A12&lt;'Données projet'!$A$36,$K$205^A12,IF(A12='Données projet'!$A$36,'Données projet'!$B$36,N11+M12-V11)))</f>
        <v>22.52311324064851</v>
      </c>
      <c r="O12" s="14">
        <f>N12*VLOOKUP('Données projet'!$B$9,Paramètres!$A$1:$I$89,3,0)*VLOOKUP('Données projet'!$B$9,Paramètres!$A$1:$I$89,5,0)</f>
        <v>13.46882171790781</v>
      </c>
      <c r="P12" s="14">
        <f t="shared" si="33"/>
        <v>4.5859329770838491</v>
      </c>
      <c r="Q12" s="22">
        <f t="shared" si="2"/>
        <v>31.445364427110473</v>
      </c>
      <c r="R12" s="62">
        <f t="shared" si="0"/>
        <v>249.11975196140892</v>
      </c>
      <c r="S12" s="62">
        <f ca="1">AVERAGE(OFFSET($R$3,0,0,'Données projet'!$E$9+1,1))-AVERAGE(OFFSET($H$3,0,0,'Données projet'!$E$9+1,1))</f>
        <v>215.34313023683225</v>
      </c>
      <c r="T12" s="62">
        <f t="shared" si="34"/>
        <v>363.61374855311703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56.365742054808663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4.0909090909090908</v>
      </c>
      <c r="AI12" s="14">
        <f>IF('Données projet'!$A$62&gt;35,AI11+AH12-AQ11,IF(A12&lt;'Données projet'!$A$62,$AF$205^A12,IF(A12='Données projet'!$A$62,'Données projet'!$B$62,AI11+AH12-AQ11)))</f>
        <v>22.52311324064851</v>
      </c>
      <c r="AJ12" s="14">
        <f>AI12*VLOOKUP('Données projet'!$B$10,Paramètres!$A$1:$I$89,3,0)*VLOOKUP('Données projet'!$B$10,Paramètres!$A$1:$I$89,5,0)</f>
        <v>13.46882171790781</v>
      </c>
      <c r="AK12" s="14">
        <f t="shared" si="35"/>
        <v>4.5859329770838491</v>
      </c>
      <c r="AL12" s="22">
        <f t="shared" si="4"/>
        <v>31.445364427110473</v>
      </c>
      <c r="AM12" s="62">
        <f t="shared" si="5"/>
        <v>249.11975196140892</v>
      </c>
      <c r="AN12" s="62">
        <f ca="1">AVERAGE(OFFSET($AM$3,0,0,'Données projet'!$E$10+1,1))-AVERAGE(OFFSET($H$3,0,0,'Données projet'!$E$10+1,1))</f>
        <v>215.34313023683225</v>
      </c>
      <c r="AO12" s="62">
        <f t="shared" si="36"/>
        <v>363.61374855311703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56.365742054808663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56.365742054808663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56.365742054808663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56.365742054808663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56.365742054808663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56.365742054808663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56.365742054808663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56.365742054808663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2.1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7.7</v>
      </c>
      <c r="H13" s="70">
        <f t="shared" si="1"/>
        <v>205.84666666666666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56.602265948523446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4.0909090909090908</v>
      </c>
      <c r="N13" s="14">
        <f>IF('Données projet'!$A$36&gt;35,N12+M13-V12,IF(A13&lt;'Données projet'!$A$36,$K$205^A13,IF(A13='Données projet'!$A$36,'Données projet'!$B$36,N12+M13-V12)))</f>
        <v>31.836144487503233</v>
      </c>
      <c r="O13" s="14">
        <f>N13*VLOOKUP('Données projet'!$B$9,Paramètres!$A$1:$I$89,3,0)*VLOOKUP('Données projet'!$B$9,Paramètres!$A$1:$I$89,5,0)</f>
        <v>19.038014403526933</v>
      </c>
      <c r="P13" s="14">
        <f t="shared" si="33"/>
        <v>6.2262385452135582</v>
      </c>
      <c r="Q13" s="22">
        <f t="shared" si="2"/>
        <v>44.001907219056356</v>
      </c>
      <c r="R13" s="62">
        <f t="shared" si="0"/>
        <v>263.76577125253124</v>
      </c>
      <c r="S13" s="62">
        <f ca="1">AVERAGE(OFFSET($R$3,0,0,'Données projet'!$E$9+1,1))-AVERAGE(OFFSET($H$3,0,0,'Données projet'!$E$9+1,1))</f>
        <v>215.34313023683225</v>
      </c>
      <c r="T13" s="62">
        <f t="shared" si="34"/>
        <v>363.61374855311703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56.602265948523446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4.0909090909090908</v>
      </c>
      <c r="AI13" s="14">
        <f>IF('Données projet'!$A$62&gt;35,AI12+AH13-AQ12,IF(A13&lt;'Données projet'!$A$62,$AF$205^A13,IF(A13='Données projet'!$A$62,'Données projet'!$B$62,AI12+AH13-AQ12)))</f>
        <v>31.836144487503233</v>
      </c>
      <c r="AJ13" s="14">
        <f>AI13*VLOOKUP('Données projet'!$B$10,Paramètres!$A$1:$I$89,3,0)*VLOOKUP('Données projet'!$B$10,Paramètres!$A$1:$I$89,5,0)</f>
        <v>19.038014403526933</v>
      </c>
      <c r="AK13" s="14">
        <f t="shared" si="35"/>
        <v>6.2262385452135582</v>
      </c>
      <c r="AL13" s="22">
        <f t="shared" si="4"/>
        <v>44.001907219056356</v>
      </c>
      <c r="AM13" s="62">
        <f t="shared" si="5"/>
        <v>263.76577125253124</v>
      </c>
      <c r="AN13" s="62">
        <f ca="1">AVERAGE(OFFSET($AM$3,0,0,'Données projet'!$E$10+1,1))-AVERAGE(OFFSET($H$3,0,0,'Données projet'!$E$10+1,1))</f>
        <v>215.34313023683225</v>
      </c>
      <c r="AO13" s="62">
        <f t="shared" si="36"/>
        <v>363.61374855311703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56.602265948523446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56.602265948523446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56.602265948523446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56.602265948523446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56.602265948523446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56.602265948523446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56.602265948523446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56.602265948523446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2.1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7.7</v>
      </c>
      <c r="H14" s="70">
        <f t="shared" si="1"/>
        <v>205.84666666666666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56.834686681470487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>
        <f>VLOOKUP(A14,'Données projet'!$A$35:$I$55,2,0)</f>
        <v>45</v>
      </c>
      <c r="L14" s="13">
        <f>VLOOKUP(A14,'Données projet'!$A$35:$I$55,9,0)</f>
        <v>4.0909090909090908</v>
      </c>
      <c r="M14" s="13">
        <f t="array" ref="M14">INDEX(L:L,MIN(IF(ISNUMBER(L14:L210),ROW(L14:L210),"")))</f>
        <v>4.0909090909090908</v>
      </c>
      <c r="N14" s="14">
        <f>IF('Données projet'!$A$36&gt;35,N13+M14-V13,IF(A14&lt;'Données projet'!$A$36,$K$205^A14,IF(A14='Données projet'!$A$36,'Données projet'!$B$36,N13+M14-V13)))</f>
        <v>45</v>
      </c>
      <c r="O14" s="14">
        <f>N14*VLOOKUP('Données projet'!$B$9,Paramètres!$A$1:$I$89,3,0)*VLOOKUP('Données projet'!$B$9,Paramètres!$A$1:$I$89,5,0)</f>
        <v>26.91</v>
      </c>
      <c r="P14" s="14">
        <f t="shared" si="33"/>
        <v>8.4532518498676374</v>
      </c>
      <c r="Q14" s="22">
        <f t="shared" si="2"/>
        <v>61.590996971852803</v>
      </c>
      <c r="R14" s="62">
        <f t="shared" si="0"/>
        <v>283.42929258168903</v>
      </c>
      <c r="S14" s="62">
        <f ca="1">AVERAGE(OFFSET($R$3,0,0,'Données projet'!$E$9+1,1))-AVERAGE(OFFSET($H$3,0,0,'Données projet'!$E$9+1,1))</f>
        <v>215.34313023683225</v>
      </c>
      <c r="T14" s="62">
        <f t="shared" si="34"/>
        <v>363.61374855311703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56.834686681470487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>
        <f>VLOOKUP(A14,'Données projet'!$A$61:$I$81,2,0)</f>
        <v>45</v>
      </c>
      <c r="AG14" s="13">
        <f>VLOOKUP(A14,'Données projet'!$A$61:$I$81,9,0)</f>
        <v>4.0909090909090908</v>
      </c>
      <c r="AH14" s="13">
        <f t="array" ref="AH14">INDEX(AG:AG,MIN(IF(ISNUMBER(AG14:AG210),ROW(AG14:AG210),"")))</f>
        <v>4.0909090909090908</v>
      </c>
      <c r="AI14" s="14">
        <f>IF('Données projet'!$A$62&gt;35,AI13+AH14-AQ13,IF(A14&lt;'Données projet'!$A$62,$AF$205^A14,IF(A14='Données projet'!$A$62,'Données projet'!$B$62,AI13+AH14-AQ13)))</f>
        <v>45</v>
      </c>
      <c r="AJ14" s="14">
        <f>AI14*VLOOKUP('Données projet'!$B$10,Paramètres!$A$1:$I$89,3,0)*VLOOKUP('Données projet'!$B$10,Paramètres!$A$1:$I$89,5,0)</f>
        <v>26.91</v>
      </c>
      <c r="AK14" s="14">
        <f t="shared" si="35"/>
        <v>8.4532518498676374</v>
      </c>
      <c r="AL14" s="22">
        <f t="shared" si="4"/>
        <v>61.590996971852803</v>
      </c>
      <c r="AM14" s="62">
        <f t="shared" si="5"/>
        <v>283.42929258168903</v>
      </c>
      <c r="AN14" s="62">
        <f ca="1">AVERAGE(OFFSET($AM$3,0,0,'Données projet'!$E$10+1,1))-AVERAGE(OFFSET($H$3,0,0,'Données projet'!$E$10+1,1))</f>
        <v>215.34313023683225</v>
      </c>
      <c r="AO14" s="62">
        <f t="shared" si="36"/>
        <v>363.61374855311703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56.834686681470487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56.834686681470487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56.834686681470487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56.834686681470487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56.834686681470487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56.834686681470487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56.834686681470487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56.834686681470487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2.1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7.7</v>
      </c>
      <c r="H15" s="70">
        <f t="shared" si="1"/>
        <v>205.84666666666666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57.063075434315806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15</v>
      </c>
      <c r="N15" s="14">
        <f>IF('Données projet'!$A$36&gt;35,N14+M15-V14,IF(A15&lt;'Données projet'!$A$36,$K$205^A15,IF(A15='Données projet'!$A$36,'Données projet'!$B$36,N14+M15-V14)))</f>
        <v>60</v>
      </c>
      <c r="O15" s="14">
        <f>N15*VLOOKUP('Données projet'!$B$9,Paramètres!$A$1:$I$89,3,0)*VLOOKUP('Données projet'!$B$9,Paramètres!$A$1:$I$89,5,0)</f>
        <v>35.880000000000003</v>
      </c>
      <c r="P15" s="14">
        <f t="shared" si="33"/>
        <v>10.899828780073781</v>
      </c>
      <c r="Q15" s="22">
        <f t="shared" si="2"/>
        <v>81.474868458628507</v>
      </c>
      <c r="R15" s="62">
        <f t="shared" si="0"/>
        <v>305.37281171778648</v>
      </c>
      <c r="S15" s="62">
        <f ca="1">AVERAGE(OFFSET($R$3,0,0,'Données projet'!$E$9+1,1))-AVERAGE(OFFSET($H$3,0,0,'Données projet'!$E$9+1,1))</f>
        <v>215.34313023683225</v>
      </c>
      <c r="T15" s="62">
        <f t="shared" si="34"/>
        <v>363.61374855311703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57.063075434315806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15</v>
      </c>
      <c r="AI15" s="14">
        <f>IF('Données projet'!$A$62&gt;35,AI14+AH15-AQ14,IF(A15&lt;'Données projet'!$A$62,$AF$205^A15,IF(A15='Données projet'!$A$62,'Données projet'!$B$62,AI14+AH15-AQ14)))</f>
        <v>60</v>
      </c>
      <c r="AJ15" s="14">
        <f>AI15*VLOOKUP('Données projet'!$B$10,Paramètres!$A$1:$I$89,3,0)*VLOOKUP('Données projet'!$B$10,Paramètres!$A$1:$I$89,5,0)</f>
        <v>35.880000000000003</v>
      </c>
      <c r="AK15" s="14">
        <f t="shared" si="35"/>
        <v>10.899828780073781</v>
      </c>
      <c r="AL15" s="22">
        <f t="shared" si="4"/>
        <v>81.474868458628507</v>
      </c>
      <c r="AM15" s="62">
        <f t="shared" si="5"/>
        <v>305.37281171778648</v>
      </c>
      <c r="AN15" s="62">
        <f ca="1">AVERAGE(OFFSET($AM$3,0,0,'Données projet'!$E$10+1,1))-AVERAGE(OFFSET($H$3,0,0,'Données projet'!$E$10+1,1))</f>
        <v>215.34313023683225</v>
      </c>
      <c r="AO15" s="62">
        <f t="shared" si="36"/>
        <v>363.61374855311703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57.063075434315806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57.063075434315806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57.063075434315806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57.063075434315806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57.063075434315806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57.063075434315806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57.063075434315806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57.063075434315806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2.1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7.7</v>
      </c>
      <c r="H16" s="70">
        <f t="shared" si="1"/>
        <v>205.84666666666666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57.287502152900025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75</v>
      </c>
      <c r="L16" s="13">
        <f>VLOOKUP(A16,'Données projet'!$A$35:$I$55,9,0)</f>
        <v>15</v>
      </c>
      <c r="M16" s="13">
        <f t="array" ref="M16">INDEX(L:L,MIN(IF(ISNUMBER(L16:L212),ROW(L16:L212),"")))</f>
        <v>15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327.17822816355852</v>
      </c>
      <c r="S16" s="62">
        <f ca="1">AVERAGE(OFFSET($R$3,0,0,'Données projet'!$E$9+1,1))-AVERAGE(OFFSET($H$3,0,0,'Données projet'!$E$9+1,1))</f>
        <v>215.34313023683225</v>
      </c>
      <c r="T16" s="62">
        <f t="shared" si="34"/>
        <v>363.61374855311703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57.287502152900025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>
        <f>VLOOKUP(A16,'Données projet'!$A$61:$I$81,2,0)</f>
        <v>75</v>
      </c>
      <c r="AG16" s="13">
        <f>VLOOKUP(A16,'Données projet'!$A$61:$I$81,9,0)</f>
        <v>15</v>
      </c>
      <c r="AH16" s="13">
        <f t="array" ref="AH16">INDEX(AG:AG,MIN(IF(ISNUMBER(AG16:AG212),ROW(AG16:AG212),"")))</f>
        <v>15</v>
      </c>
      <c r="AI16" s="14">
        <f>IF('Données projet'!$A$62&gt;35,AI15+AH16-AQ15,IF(A16&lt;'Données projet'!$A$62,$AF$205^A16,IF(A16='Données projet'!$A$62,'Données projet'!$B$62,AI15+AH16-AQ15)))</f>
        <v>75</v>
      </c>
      <c r="AJ16" s="14">
        <f>AI16*VLOOKUP('Données projet'!$B$10,Paramètres!$A$1:$I$89,3,0)*VLOOKUP('Données projet'!$B$10,Paramètres!$A$1:$I$89,5,0)</f>
        <v>44.85</v>
      </c>
      <c r="AK16" s="14">
        <f t="shared" si="35"/>
        <v>13.275453424327006</v>
      </c>
      <c r="AL16" s="22">
        <f t="shared" si="4"/>
        <v>101.2351647140362</v>
      </c>
      <c r="AM16" s="62">
        <f t="shared" si="5"/>
        <v>327.17822816355852</v>
      </c>
      <c r="AN16" s="62">
        <f ca="1">AVERAGE(OFFSET($AM$3,0,0,'Données projet'!$E$10+1,1))-AVERAGE(OFFSET($H$3,0,0,'Données projet'!$E$10+1,1))</f>
        <v>215.34313023683225</v>
      </c>
      <c r="AO16" s="62">
        <f t="shared" si="36"/>
        <v>363.61374855311703</v>
      </c>
      <c r="AP16" s="16">
        <f>IF(ISNA(VLOOKUP(A16,'Données projet'!$A$61:$I$81,3,0)),0,VLOOKUP(A16,'Données projet'!$A$61:$I$81,3,0))</f>
        <v>1</v>
      </c>
      <c r="AQ16" s="16">
        <f>IF(ISNA(VLOOKUP(A16,'Données projet'!$A$61:$I$81,4,0)),0,VLOOKUP(A16,'Données projet'!$A$61:$I$81,4,0))</f>
        <v>15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1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10.1561237088124</v>
      </c>
      <c r="AX16" s="23">
        <f t="shared" si="6"/>
        <v>10.1561237088124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57.287502152900025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57.287502152900025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57.287502152900025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57.287502152900025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57.287502152900025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57.287502152900025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57.287502152900025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57.287502152900025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2.1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7.7</v>
      </c>
      <c r="H17" s="70">
        <f t="shared" si="1"/>
        <v>205.84666666666666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57.508035569659782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15.5</v>
      </c>
      <c r="N17" s="14">
        <f>IF('Données projet'!$A$36&gt;35,N16+M17-V16,IF(A17&lt;'Données projet'!$A$36,$K$205^A17,IF(A17='Données projet'!$A$36,'Données projet'!$B$36,N16+M17-V16)))</f>
        <v>75.5</v>
      </c>
      <c r="O17" s="14">
        <f>N17*VLOOKUP('Données projet'!$B$9,Paramètres!$A$1:$I$89,3,0)*VLOOKUP('Données projet'!$B$9,Paramètres!$A$1:$I$89,5,0)</f>
        <v>45.149000000000008</v>
      </c>
      <c r="P17" s="14">
        <f t="shared" si="33"/>
        <v>13.35362442821638</v>
      </c>
      <c r="Q17" s="22">
        <f t="shared" si="2"/>
        <v>101.89207087914353</v>
      </c>
      <c r="R17" s="62">
        <f t="shared" si="0"/>
        <v>329.86597907900716</v>
      </c>
      <c r="S17" s="62">
        <f ca="1">AVERAGE(OFFSET($R$3,0,0,'Données projet'!$E$9+1,1))-AVERAGE(OFFSET($H$3,0,0,'Données projet'!$E$9+1,1))</f>
        <v>215.34313023683225</v>
      </c>
      <c r="T17" s="62">
        <f t="shared" si="34"/>
        <v>363.61374855311703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57.508035569659782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15.5</v>
      </c>
      <c r="AI17" s="14">
        <f>IF('Données projet'!$A$62&gt;35,AI16+AH17-AQ16,IF(A17&lt;'Données projet'!$A$62,$AF$205^A17,IF(A17='Données projet'!$A$62,'Données projet'!$B$62,AI16+AH17-AQ16)))</f>
        <v>75.5</v>
      </c>
      <c r="AJ17" s="14">
        <f>AI17*VLOOKUP('Données projet'!$B$10,Paramètres!$A$1:$I$89,3,0)*VLOOKUP('Données projet'!$B$10,Paramètres!$A$1:$I$89,5,0)</f>
        <v>45.149000000000008</v>
      </c>
      <c r="AK17" s="14">
        <f t="shared" si="35"/>
        <v>13.35362442821638</v>
      </c>
      <c r="AL17" s="22">
        <f t="shared" si="4"/>
        <v>101.89207087914353</v>
      </c>
      <c r="AM17" s="62">
        <f t="shared" si="5"/>
        <v>329.86597907900716</v>
      </c>
      <c r="AN17" s="62">
        <f ca="1">AVERAGE(OFFSET($AM$3,0,0,'Données projet'!$E$10+1,1))-AVERAGE(OFFSET($H$3,0,0,'Données projet'!$E$10+1,1))</f>
        <v>215.34313023683225</v>
      </c>
      <c r="AO17" s="62">
        <f t="shared" si="36"/>
        <v>363.61374855311703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7.1814639450707176</v>
      </c>
      <c r="AX17" s="23">
        <f t="shared" si="6"/>
        <v>7.1814639450707176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57.508035569659782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57.508035569659782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57.508035569659782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57.508035569659782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57.508035569659782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57.508035569659782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57.508035569659782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57.508035569659782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2.1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7.7</v>
      </c>
      <c r="H18" s="70">
        <f t="shared" si="1"/>
        <v>205.84666666666666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57.72474322467761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91</v>
      </c>
      <c r="L18" s="13">
        <f>VLOOKUP(A18,'Données projet'!$A$35:$I$55,9,0)</f>
        <v>15.5</v>
      </c>
      <c r="M18" s="13">
        <f t="array" ref="M18">INDEX(L:L,MIN(IF(ISNUMBER(L18:L214),ROW(L18:L214),"")))</f>
        <v>15.5</v>
      </c>
      <c r="N18" s="14">
        <f>IF('Données projet'!$A$36&gt;35,N17+M18-V17,IF(A18&lt;'Données projet'!$A$36,$K$205^A18,IF(A18='Données projet'!$A$36,'Données projet'!$B$36,N17+M18-V17)))</f>
        <v>91</v>
      </c>
      <c r="O18" s="14">
        <f>N18*VLOOKUP('Données projet'!$B$9,Paramètres!$A$1:$I$89,3,0)*VLOOKUP('Données projet'!$B$9,Paramètres!$A$1:$I$89,5,0)</f>
        <v>54.417999999999999</v>
      </c>
      <c r="P18" s="14">
        <f t="shared" si="33"/>
        <v>15.749044324804036</v>
      </c>
      <c r="Q18" s="22">
        <f t="shared" si="2"/>
        <v>122.20760219903367</v>
      </c>
      <c r="R18" s="62">
        <f t="shared" si="0"/>
        <v>352.1983273561849</v>
      </c>
      <c r="S18" s="62">
        <f ca="1">AVERAGE(OFFSET($R$3,0,0,'Données projet'!$E$9+1,1))-AVERAGE(OFFSET($H$3,0,0,'Données projet'!$E$9+1,1))</f>
        <v>215.34313023683225</v>
      </c>
      <c r="T18" s="62">
        <f t="shared" si="34"/>
        <v>363.61374855311703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57.72474322467761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91</v>
      </c>
      <c r="AG18" s="13">
        <f>VLOOKUP(A18,'Données projet'!$A$61:$I$81,9,0)</f>
        <v>15.5</v>
      </c>
      <c r="AH18" s="13">
        <f t="array" ref="AH18">INDEX(AG:AG,MIN(IF(ISNUMBER(AG18:AG214),ROW(AG18:AG214),"")))</f>
        <v>15.5</v>
      </c>
      <c r="AI18" s="14">
        <f>IF('Données projet'!$A$62&gt;35,AI17+AH18-AQ17,IF(A18&lt;'Données projet'!$A$62,$AF$205^A18,IF(A18='Données projet'!$A$62,'Données projet'!$B$62,AI17+AH18-AQ17)))</f>
        <v>91</v>
      </c>
      <c r="AJ18" s="14">
        <f>AI18*VLOOKUP('Données projet'!$B$10,Paramètres!$A$1:$I$89,3,0)*VLOOKUP('Données projet'!$B$10,Paramètres!$A$1:$I$89,5,0)</f>
        <v>54.417999999999999</v>
      </c>
      <c r="AK18" s="14">
        <f t="shared" si="35"/>
        <v>15.749044324804036</v>
      </c>
      <c r="AL18" s="22">
        <f t="shared" si="4"/>
        <v>122.20760219903367</v>
      </c>
      <c r="AM18" s="62">
        <f t="shared" si="5"/>
        <v>352.1983273561849</v>
      </c>
      <c r="AN18" s="62">
        <f ca="1">AVERAGE(OFFSET($AM$3,0,0,'Données projet'!$E$10+1,1))-AVERAGE(OFFSET($H$3,0,0,'Données projet'!$E$10+1,1))</f>
        <v>215.34313023683225</v>
      </c>
      <c r="AO18" s="62">
        <f t="shared" si="36"/>
        <v>363.61374855311703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5.0780618544062008</v>
      </c>
      <c r="AX18" s="23">
        <f t="shared" si="6"/>
        <v>5.0780618544062008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57.72474322467761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57.72474322467761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57.72474322467761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57.72474322467761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57.72474322467761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57.72474322467761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57.72474322467761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57.72474322467761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2.1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7.7</v>
      </c>
      <c r="H19" s="70">
        <f t="shared" si="1"/>
        <v>205.84666666666666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57.937691486366617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17.5</v>
      </c>
      <c r="N19" s="14">
        <f>IF('Données projet'!$A$36&gt;35,N18+M19-V18,IF(A19&lt;'Données projet'!$A$36,$K$205^A19,IF(A19='Données projet'!$A$36,'Données projet'!$B$36,N18+M19-V18)))</f>
        <v>108.5</v>
      </c>
      <c r="O19" s="14">
        <f>N19*VLOOKUP('Données projet'!$B$9,Paramètres!$A$1:$I$89,3,0)*VLOOKUP('Données projet'!$B$9,Paramètres!$A$1:$I$89,5,0)</f>
        <v>64.88300000000001</v>
      </c>
      <c r="P19" s="14">
        <f t="shared" si="33"/>
        <v>18.397166874132186</v>
      </c>
      <c r="Q19" s="22">
        <f t="shared" si="2"/>
        <v>145.04629063911355</v>
      </c>
      <c r="R19" s="62">
        <f t="shared" si="0"/>
        <v>377.04004831134671</v>
      </c>
      <c r="S19" s="62">
        <f ca="1">AVERAGE(OFFSET($R$3,0,0,'Données projet'!$E$9+1,1))-AVERAGE(OFFSET($H$3,0,0,'Données projet'!$E$9+1,1))</f>
        <v>215.34313023683225</v>
      </c>
      <c r="T19" s="62">
        <f t="shared" si="34"/>
        <v>363.61374855311703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57.937691486366617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17.5</v>
      </c>
      <c r="AI19" s="14">
        <f>IF('Données projet'!$A$62&gt;35,AI18+AH19-AQ18,IF(A19&lt;'Données projet'!$A$62,$AF$205^A19,IF(A19='Données projet'!$A$62,'Données projet'!$B$62,AI18+AH19-AQ18)))</f>
        <v>108.5</v>
      </c>
      <c r="AJ19" s="14">
        <f>AI19*VLOOKUP('Données projet'!$B$10,Paramètres!$A$1:$I$89,3,0)*VLOOKUP('Données projet'!$B$10,Paramètres!$A$1:$I$89,5,0)</f>
        <v>64.88300000000001</v>
      </c>
      <c r="AK19" s="14">
        <f t="shared" si="35"/>
        <v>18.397166874132186</v>
      </c>
      <c r="AL19" s="22">
        <f t="shared" si="4"/>
        <v>145.04629063911355</v>
      </c>
      <c r="AM19" s="62">
        <f t="shared" si="5"/>
        <v>377.04004831134671</v>
      </c>
      <c r="AN19" s="62">
        <f ca="1">AVERAGE(OFFSET($AM$3,0,0,'Données projet'!$E$10+1,1))-AVERAGE(OFFSET($H$3,0,0,'Données projet'!$E$10+1,1))</f>
        <v>215.34313023683225</v>
      </c>
      <c r="AO19" s="62">
        <f t="shared" si="36"/>
        <v>363.61374855311703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3.5907319725353593</v>
      </c>
      <c r="AX19" s="23">
        <f t="shared" si="6"/>
        <v>3.5907319725353593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57.937691486366617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57.937691486366617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57.937691486366617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57.937691486366617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57.937691486366617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57.937691486366617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57.937691486366617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57.937691486366617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2.1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7.7</v>
      </c>
      <c r="H20" s="70">
        <f t="shared" si="1"/>
        <v>205.84666666666666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58.146945571796309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126</v>
      </c>
      <c r="L20" s="13">
        <f>VLOOKUP(A20,'Données projet'!$A$35:$I$55,9,0)</f>
        <v>17.5</v>
      </c>
      <c r="M20" s="13">
        <f t="array" ref="M20">INDEX(L:L,MIN(IF(ISNUMBER(L20:L216),ROW(L20:L216),"")))</f>
        <v>17.5</v>
      </c>
      <c r="N20" s="14">
        <f>IF('Données projet'!$A$36&gt;35,N19+M20-V19,IF(A20&lt;'Données projet'!$A$36,$K$205^A20,IF(A20='Données projet'!$A$36,'Données projet'!$B$36,N19+M20-V19)))</f>
        <v>126</v>
      </c>
      <c r="O20" s="14">
        <f>N20*VLOOKUP('Données projet'!$B$9,Paramètres!$A$1:$I$89,3,0)*VLOOKUP('Données projet'!$B$9,Paramètres!$A$1:$I$89,5,0)</f>
        <v>75.347999999999999</v>
      </c>
      <c r="P20" s="14">
        <f t="shared" si="33"/>
        <v>20.99581051771704</v>
      </c>
      <c r="Q20" s="22">
        <f t="shared" si="2"/>
        <v>167.79880331835713</v>
      </c>
      <c r="R20" s="62">
        <f t="shared" si="0"/>
        <v>401.78204819272139</v>
      </c>
      <c r="S20" s="62">
        <f ca="1">AVERAGE(OFFSET($R$3,0,0,'Données projet'!$E$9+1,1))-AVERAGE(OFFSET($H$3,0,0,'Données projet'!$E$9+1,1))</f>
        <v>215.34313023683225</v>
      </c>
      <c r="T20" s="62">
        <f t="shared" si="34"/>
        <v>363.61374855311703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58.146945571796309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>
        <f>VLOOKUP(A20,'Données projet'!$A$61:$I$81,2,0)</f>
        <v>126</v>
      </c>
      <c r="AG20" s="13">
        <f>VLOOKUP(A20,'Données projet'!$A$61:$I$81,9,0)</f>
        <v>17.5</v>
      </c>
      <c r="AH20" s="13">
        <f t="array" ref="AH20">INDEX(AG:AG,MIN(IF(ISNUMBER(AG20:AG216),ROW(AG20:AG216),"")))</f>
        <v>17.5</v>
      </c>
      <c r="AI20" s="14">
        <f>IF('Données projet'!$A$62&gt;35,AI19+AH20-AQ19,IF(A20&lt;'Données projet'!$A$62,$AF$205^A20,IF(A20='Données projet'!$A$62,'Données projet'!$B$62,AI19+AH20-AQ19)))</f>
        <v>126</v>
      </c>
      <c r="AJ20" s="14">
        <f>AI20*VLOOKUP('Données projet'!$B$10,Paramètres!$A$1:$I$89,3,0)*VLOOKUP('Données projet'!$B$10,Paramètres!$A$1:$I$89,5,0)</f>
        <v>75.347999999999999</v>
      </c>
      <c r="AK20" s="14">
        <f t="shared" si="35"/>
        <v>20.99581051771704</v>
      </c>
      <c r="AL20" s="22">
        <f t="shared" si="4"/>
        <v>167.79880331835713</v>
      </c>
      <c r="AM20" s="62">
        <f t="shared" si="5"/>
        <v>401.78204819272139</v>
      </c>
      <c r="AN20" s="62">
        <f ca="1">AVERAGE(OFFSET($AM$3,0,0,'Données projet'!$E$10+1,1))-AVERAGE(OFFSET($H$3,0,0,'Données projet'!$E$10+1,1))</f>
        <v>215.34313023683225</v>
      </c>
      <c r="AO20" s="62">
        <f t="shared" si="36"/>
        <v>363.61374855311703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2.5390309272031004</v>
      </c>
      <c r="AX20" s="23">
        <f t="shared" si="6"/>
        <v>2.5390309272031004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58.146945571796309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58.146945571796309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58.146945571796309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58.146945571796309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58.146945571796309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58.146945571796309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58.146945571796309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58.146945571796309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2.1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7.7</v>
      </c>
      <c r="H21" s="70">
        <f t="shared" si="1"/>
        <v>205.84666666666666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58.352569566665849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18.5</v>
      </c>
      <c r="N21" s="14">
        <f>IF('Données projet'!$A$36&gt;35,N20+M21-V20,IF(A21&lt;'Données projet'!$A$36,$K$205^A21,IF(A21='Données projet'!$A$36,'Données projet'!$B$36,N20+M21-V20)))</f>
        <v>144.5</v>
      </c>
      <c r="O21" s="14">
        <f>N21*VLOOKUP('Données projet'!$B$9,Paramètres!$A$1:$I$89,3,0)*VLOOKUP('Données projet'!$B$9,Paramètres!$A$1:$I$89,5,0)</f>
        <v>86.411000000000001</v>
      </c>
      <c r="P21" s="14">
        <f t="shared" si="33"/>
        <v>23.697605245819052</v>
      </c>
      <c r="Q21" s="22">
        <f t="shared" si="2"/>
        <v>191.77248746980149</v>
      </c>
      <c r="R21" s="62">
        <f t="shared" si="0"/>
        <v>427.73190921424293</v>
      </c>
      <c r="S21" s="62">
        <f ca="1">AVERAGE(OFFSET($R$3,0,0,'Données projet'!$E$9+1,1))-AVERAGE(OFFSET($H$3,0,0,'Données projet'!$E$9+1,1))</f>
        <v>215.34313023683225</v>
      </c>
      <c r="T21" s="62">
        <f t="shared" si="34"/>
        <v>363.61374855311703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58.352569566665849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18.5</v>
      </c>
      <c r="AI21" s="14">
        <f>IF('Données projet'!$A$62&gt;35,AI20+AH21-AQ20,IF(A21&lt;'Données projet'!$A$62,$AF$205^A21,IF(A21='Données projet'!$A$62,'Données projet'!$B$62,AI20+AH21-AQ20)))</f>
        <v>144.5</v>
      </c>
      <c r="AJ21" s="14">
        <f>AI21*VLOOKUP('Données projet'!$B$10,Paramètres!$A$1:$I$89,3,0)*VLOOKUP('Données projet'!$B$10,Paramètres!$A$1:$I$89,5,0)</f>
        <v>86.411000000000001</v>
      </c>
      <c r="AK21" s="14">
        <f t="shared" si="35"/>
        <v>23.697605245819052</v>
      </c>
      <c r="AL21" s="22">
        <f t="shared" si="4"/>
        <v>191.77248746980149</v>
      </c>
      <c r="AM21" s="62">
        <f t="shared" si="5"/>
        <v>427.73190921424293</v>
      </c>
      <c r="AN21" s="62">
        <f ca="1">AVERAGE(OFFSET($AM$3,0,0,'Données projet'!$E$10+1,1))-AVERAGE(OFFSET($H$3,0,0,'Données projet'!$E$10+1,1))</f>
        <v>215.34313023683225</v>
      </c>
      <c r="AO21" s="62">
        <f t="shared" si="36"/>
        <v>363.61374855311703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1.7953659862676796</v>
      </c>
      <c r="AX21" s="23">
        <f t="shared" si="6"/>
        <v>1.7953659862676796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58.352569566665849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58.352569566665849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58.352569566665849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58.352569566665849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58.352569566665849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58.352569566665849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58.352569566665849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58.352569566665849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2.1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7.7</v>
      </c>
      <c r="H22" s="70">
        <f t="shared" si="1"/>
        <v>205.84666666666666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58.554626444930783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>
        <f>VLOOKUP(A22,'Données projet'!$A$35:$I$55,2,0)</f>
        <v>163</v>
      </c>
      <c r="L22" s="13">
        <f>VLOOKUP(A22,'Données projet'!$A$35:$I$55,9,0)</f>
        <v>18.5</v>
      </c>
      <c r="M22" s="13">
        <f t="array" ref="M22">INDEX(L:L,MIN(IF(ISNUMBER(L22:L218),ROW(L22:L218),"")))</f>
        <v>18.5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453.59888441635314</v>
      </c>
      <c r="S22" s="62">
        <f ca="1">AVERAGE(OFFSET($R$3,0,0,'Données projet'!$E$9+1,1))-AVERAGE(OFFSET($H$3,0,0,'Données projet'!$E$9+1,1))</f>
        <v>215.34313023683225</v>
      </c>
      <c r="T22" s="62">
        <f t="shared" si="34"/>
        <v>363.61374855311703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9.0000000000000011E-2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0.8</v>
      </c>
      <c r="Z22" s="23">
        <f>EXP(-LN(2)/35)*Z21+(1-EXP(-LN(2)/35))/(LN(2)/35)*V22*W22*VLOOKUP('Données projet'!$B$9,Paramètres!$A$1:$I$89,3,0)*0.475*44/12</f>
        <v>2.8558279596702421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22.935912709068003</v>
      </c>
      <c r="AC22" s="24">
        <f t="shared" si="3"/>
        <v>25.791740668738246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58.554626444930783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>
        <f>VLOOKUP(A22,'Données projet'!$A$61:$I$81,2,0)</f>
        <v>163</v>
      </c>
      <c r="AG22" s="13">
        <f>VLOOKUP(A22,'Données projet'!$A$61:$I$81,9,0)</f>
        <v>18.5</v>
      </c>
      <c r="AH22" s="13">
        <f t="array" ref="AH22">INDEX(AG:AG,MIN(IF(ISNUMBER(AG22:AG218),ROW(AG22:AG218),"")))</f>
        <v>18.5</v>
      </c>
      <c r="AI22" s="14">
        <f>IF('Données projet'!$A$62&gt;35,AI21+AH22-AQ21,IF(A22&lt;'Données projet'!$A$62,$AF$205^A22,IF(A22='Données projet'!$A$62,'Données projet'!$B$62,AI21+AH22-AQ21)))</f>
        <v>163</v>
      </c>
      <c r="AJ22" s="14">
        <f>AI22*VLOOKUP('Données projet'!$B$10,Paramètres!$A$1:$I$89,3,0)*VLOOKUP('Données projet'!$B$10,Paramètres!$A$1:$I$89,5,0)</f>
        <v>97.474000000000004</v>
      </c>
      <c r="AK22" s="14">
        <f t="shared" si="35"/>
        <v>26.359319748929014</v>
      </c>
      <c r="AL22" s="22">
        <f t="shared" si="4"/>
        <v>215.67636522938469</v>
      </c>
      <c r="AM22" s="62">
        <f t="shared" si="5"/>
        <v>453.59888441635314</v>
      </c>
      <c r="AN22" s="62">
        <f ca="1">AVERAGE(OFFSET($AM$3,0,0,'Données projet'!$E$10+1,1))-AVERAGE(OFFSET($H$3,0,0,'Données projet'!$E$10+1,1))</f>
        <v>215.34313023683225</v>
      </c>
      <c r="AO22" s="62">
        <f t="shared" si="36"/>
        <v>363.61374855311703</v>
      </c>
      <c r="AP22" s="16">
        <f>IF(ISNA(VLOOKUP(A22,'Données projet'!$A$61:$I$81,3,0)),0,VLOOKUP(A22,'Données projet'!$A$61:$I$81,3,0))</f>
        <v>2</v>
      </c>
      <c r="AQ22" s="16">
        <f>IF(ISNA(VLOOKUP(A22,'Données projet'!$A$61:$I$81,4,0)),0,VLOOKUP(A22,'Données projet'!$A$61:$I$81,4,0))</f>
        <v>40</v>
      </c>
      <c r="AR22" s="17">
        <f>IF(ISNA(VLOOKUP(A22,'Données projet'!$A$61:$I$81,5,0)),0%,VLOOKUP(A22,'Données projet'!$A$61:$I$81,5,0)*VLOOKUP('Données projet'!$B$10,Paramètres!$A$1:$I$89,7,0))</f>
        <v>9.0000000000000011E-2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0.8</v>
      </c>
      <c r="AU22" s="23">
        <f>EXP(-LN(2)/35)*AU21+(1-EXP(-LN(2)/35))/(LN(2)/35)*AQ22*AR22*VLOOKUP('Données projet'!$B$10,Paramètres!$A$1:$I$89,3,0)*0.475*44/12</f>
        <v>2.8558279596702421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22.935912709068003</v>
      </c>
      <c r="AX22" s="23">
        <f t="shared" si="6"/>
        <v>25.791740668738246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58.554626444930783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58.554626444930783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58.554626444930783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58.554626444930783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58.554626444930783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58.554626444930783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58.554626444930783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58.554626444930783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2.1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7.7</v>
      </c>
      <c r="H23" s="70">
        <f t="shared" si="1"/>
        <v>205.84666666666666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58.753178088089328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</v>
      </c>
      <c r="N23" s="14">
        <f>IF('Données projet'!$A$36&gt;35,N22+M23-V22,IF(A23&lt;'Données projet'!$A$36,$K$205^A23,IF(A23='Données projet'!$A$36,'Données projet'!$B$36,N22+M23-V22)))</f>
        <v>139</v>
      </c>
      <c r="O23" s="14">
        <f>N23*VLOOKUP('Données projet'!$B$9,Paramètres!$A$1:$I$89,3,0)*VLOOKUP('Données projet'!$B$9,Paramètres!$A$1:$I$89,5,0)</f>
        <v>83.122000000000014</v>
      </c>
      <c r="P23" s="14">
        <f t="shared" si="33"/>
        <v>22.898820278178533</v>
      </c>
      <c r="Q23" s="22">
        <f t="shared" si="2"/>
        <v>184.65292865116098</v>
      </c>
      <c r="R23" s="62">
        <f t="shared" si="0"/>
        <v>424.52569275193298</v>
      </c>
      <c r="S23" s="62">
        <f ca="1">AVERAGE(OFFSET($R$3,0,0,'Données projet'!$E$9+1,1))-AVERAGE(OFFSET($H$3,0,0,'Données projet'!$E$9+1,1))</f>
        <v>215.34313023683225</v>
      </c>
      <c r="T23" s="62">
        <f t="shared" si="34"/>
        <v>363.61374855311703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2.7998269152641675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16.218139409284703</v>
      </c>
      <c r="AC23" s="24">
        <f t="shared" si="3"/>
        <v>19.017966324548869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58.753178088089328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16</v>
      </c>
      <c r="AI23" s="14">
        <f>IF('Données projet'!$A$62&gt;35,AI22+AH23-AQ22,IF(A23&lt;'Données projet'!$A$62,$AF$205^A23,IF(A23='Données projet'!$A$62,'Données projet'!$B$62,AI22+AH23-AQ22)))</f>
        <v>139</v>
      </c>
      <c r="AJ23" s="14">
        <f>AI23*VLOOKUP('Données projet'!$B$10,Paramètres!$A$1:$I$89,3,0)*VLOOKUP('Données projet'!$B$10,Paramètres!$A$1:$I$89,5,0)</f>
        <v>83.122000000000014</v>
      </c>
      <c r="AK23" s="14">
        <f t="shared" si="35"/>
        <v>22.898820278178533</v>
      </c>
      <c r="AL23" s="22">
        <f t="shared" si="4"/>
        <v>184.65292865116098</v>
      </c>
      <c r="AM23" s="62">
        <f t="shared" si="5"/>
        <v>424.52569275193298</v>
      </c>
      <c r="AN23" s="62">
        <f ca="1">AVERAGE(OFFSET($AM$3,0,0,'Données projet'!$E$10+1,1))-AVERAGE(OFFSET($H$3,0,0,'Données projet'!$E$10+1,1))</f>
        <v>215.34313023683225</v>
      </c>
      <c r="AO23" s="62">
        <f t="shared" si="36"/>
        <v>363.61374855311703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2.7998269152641675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16.218139409284703</v>
      </c>
      <c r="AX23" s="23">
        <f t="shared" si="6"/>
        <v>19.017966324548869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58.753178088089328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58.753178088089328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58.753178088089328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58.753178088089328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58.753178088089328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58.753178088089328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58.753178088089328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58.753178088089328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2.1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7.7</v>
      </c>
      <c r="H24" s="70">
        <f t="shared" si="1"/>
        <v>205.84666666666666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58.948285304134046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>
        <f>VLOOKUP(A24,'Données projet'!$A$35:$I$55,2,0)</f>
        <v>155</v>
      </c>
      <c r="L24" s="13">
        <f>VLOOKUP(A24,'Données projet'!$A$35:$I$55,9,0)</f>
        <v>16</v>
      </c>
      <c r="M24" s="13">
        <f t="array" ref="M24">INDEX(L:L,MIN(IF(ISNUMBER(L24:L220),ROW(L24:L220),"")))</f>
        <v>16</v>
      </c>
      <c r="N24" s="14">
        <f>IF('Données projet'!$A$36&gt;35,N23+M24-V23,IF(A24&lt;'Données projet'!$A$36,$K$205^A24,IF(A24='Données projet'!$A$36,'Données projet'!$B$36,N23+M24-V23)))</f>
        <v>155</v>
      </c>
      <c r="O24" s="14">
        <f>N24*VLOOKUP('Données projet'!$B$9,Paramètres!$A$1:$I$89,3,0)*VLOOKUP('Données projet'!$B$9,Paramètres!$A$1:$I$89,5,0)</f>
        <v>92.69</v>
      </c>
      <c r="P24" s="14">
        <f t="shared" si="33"/>
        <v>25.212872031125478</v>
      </c>
      <c r="Q24" s="22">
        <f t="shared" si="2"/>
        <v>205.34750212087684</v>
      </c>
      <c r="R24" s="62">
        <f t="shared" si="0"/>
        <v>447.15788156936833</v>
      </c>
      <c r="S24" s="62">
        <f ca="1">AVERAGE(OFFSET($R$3,0,0,'Données projet'!$E$9+1,1))-AVERAGE(OFFSET($H$3,0,0,'Données projet'!$E$9+1,1))</f>
        <v>215.34313023683225</v>
      </c>
      <c r="T24" s="62">
        <f t="shared" si="34"/>
        <v>363.61374855311703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2.7449240171816314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11.467956354534003</v>
      </c>
      <c r="AC24" s="24">
        <f t="shared" si="3"/>
        <v>14.212880371715634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58.948285304134046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>
        <f>VLOOKUP(A24,'Données projet'!$A$61:$I$81,2,0)</f>
        <v>155</v>
      </c>
      <c r="AG24" s="13">
        <f>VLOOKUP(A24,'Données projet'!$A$61:$I$81,9,0)</f>
        <v>16</v>
      </c>
      <c r="AH24" s="13">
        <f t="array" ref="AH24">INDEX(AG:AG,MIN(IF(ISNUMBER(AG24:AG220),ROW(AG24:AG220),"")))</f>
        <v>16</v>
      </c>
      <c r="AI24" s="14">
        <f>IF('Données projet'!$A$62&gt;35,AI23+AH24-AQ23,IF(A24&lt;'Données projet'!$A$62,$AF$205^A24,IF(A24='Données projet'!$A$62,'Données projet'!$B$62,AI23+AH24-AQ23)))</f>
        <v>155</v>
      </c>
      <c r="AJ24" s="14">
        <f>AI24*VLOOKUP('Données projet'!$B$10,Paramètres!$A$1:$I$89,3,0)*VLOOKUP('Données projet'!$B$10,Paramètres!$A$1:$I$89,5,0)</f>
        <v>92.69</v>
      </c>
      <c r="AK24" s="14">
        <f t="shared" si="35"/>
        <v>25.212872031125478</v>
      </c>
      <c r="AL24" s="22">
        <f t="shared" si="4"/>
        <v>205.34750212087684</v>
      </c>
      <c r="AM24" s="62">
        <f t="shared" si="5"/>
        <v>447.15788156936833</v>
      </c>
      <c r="AN24" s="62">
        <f ca="1">AVERAGE(OFFSET($AM$3,0,0,'Données projet'!$E$10+1,1))-AVERAGE(OFFSET($H$3,0,0,'Données projet'!$E$10+1,1))</f>
        <v>215.34313023683225</v>
      </c>
      <c r="AO24" s="62">
        <f t="shared" si="36"/>
        <v>363.61374855311703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2.7449240171816314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11.467956354534003</v>
      </c>
      <c r="AX24" s="23">
        <f t="shared" si="6"/>
        <v>14.212880371715634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58.948285304134046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58.948285304134046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58.948285304134046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58.948285304134046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58.948285304134046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58.948285304134046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58.948285304134046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58.948285304134046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2.1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7.7</v>
      </c>
      <c r="H25" s="70">
        <f t="shared" si="1"/>
        <v>205.84666666666666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59.140007846174775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171.5</v>
      </c>
      <c r="O25" s="14">
        <f>N25*VLOOKUP('Données projet'!$B$9,Paramètres!$A$1:$I$89,3,0)*VLOOKUP('Données projet'!$B$9,Paramètres!$A$1:$I$89,5,0)</f>
        <v>102.557</v>
      </c>
      <c r="P25" s="14">
        <f t="shared" si="33"/>
        <v>27.570269498605164</v>
      </c>
      <c r="Q25" s="22">
        <f t="shared" si="2"/>
        <v>226.63832771007063</v>
      </c>
      <c r="R25" s="62">
        <f t="shared" si="0"/>
        <v>470.37391203493371</v>
      </c>
      <c r="S25" s="62">
        <f ca="1">AVERAGE(OFFSET($R$3,0,0,'Données projet'!$E$9+1,1))-AVERAGE(OFFSET($H$3,0,0,'Données projet'!$E$9+1,1))</f>
        <v>215.34313023683225</v>
      </c>
      <c r="T25" s="62">
        <f t="shared" si="34"/>
        <v>363.61374855311703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2.6910977314430329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8.1090697046423532</v>
      </c>
      <c r="AC25" s="24">
        <f t="shared" si="3"/>
        <v>10.800167436085387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59.140007846174775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16.5</v>
      </c>
      <c r="AI25" s="14">
        <f>IF('Données projet'!$A$62&gt;35,AI24+AH25-AQ24,IF(A25&lt;'Données projet'!$A$62,$AF$205^A25,IF(A25='Données projet'!$A$62,'Données projet'!$B$62,AI24+AH25-AQ24)))</f>
        <v>171.5</v>
      </c>
      <c r="AJ25" s="14">
        <f>AI25*VLOOKUP('Données projet'!$B$10,Paramètres!$A$1:$I$89,3,0)*VLOOKUP('Données projet'!$B$10,Paramètres!$A$1:$I$89,5,0)</f>
        <v>102.557</v>
      </c>
      <c r="AK25" s="14">
        <f t="shared" si="35"/>
        <v>27.570269498605164</v>
      </c>
      <c r="AL25" s="22">
        <f t="shared" si="4"/>
        <v>226.63832771007063</v>
      </c>
      <c r="AM25" s="62">
        <f t="shared" si="5"/>
        <v>470.37391203493371</v>
      </c>
      <c r="AN25" s="62">
        <f ca="1">AVERAGE(OFFSET($AM$3,0,0,'Données projet'!$E$10+1,1))-AVERAGE(OFFSET($H$3,0,0,'Données projet'!$E$10+1,1))</f>
        <v>215.34313023683225</v>
      </c>
      <c r="AO25" s="62">
        <f t="shared" si="36"/>
        <v>363.61374855311703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2.6910977314430329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8.1090697046423532</v>
      </c>
      <c r="AX25" s="23">
        <f t="shared" si="6"/>
        <v>10.800167436085387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59.140007846174775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59.140007846174775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59.140007846174775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59.140007846174775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59.140007846174775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59.140007846174775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59.140007846174775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59.140007846174775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2.1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7.7</v>
      </c>
      <c r="H26" s="70">
        <f t="shared" si="1"/>
        <v>205.84666666666666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59.328404430738487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>
        <f>VLOOKUP(A26,'Données projet'!$A$35:$I$55,2,0)</f>
        <v>188</v>
      </c>
      <c r="L26" s="13">
        <f>VLOOKUP(A26,'Données projet'!$A$35:$I$55,9,0)</f>
        <v>16.5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188</v>
      </c>
      <c r="O26" s="14">
        <f>N26*VLOOKUP('Données projet'!$B$9,Paramètres!$A$1:$I$89,3,0)*VLOOKUP('Données projet'!$B$9,Paramètres!$A$1:$I$89,5,0)</f>
        <v>112.42400000000001</v>
      </c>
      <c r="P26" s="14">
        <f t="shared" si="33"/>
        <v>29.901371354345123</v>
      </c>
      <c r="Q26" s="22">
        <f t="shared" si="2"/>
        <v>247.88335510881771</v>
      </c>
      <c r="R26" s="62">
        <f t="shared" si="0"/>
        <v>493.53194913263661</v>
      </c>
      <c r="S26" s="62">
        <f ca="1">AVERAGE(OFFSET($R$3,0,0,'Données projet'!$E$9+1,1))-AVERAGE(OFFSET($H$3,0,0,'Données projet'!$E$9+1,1))</f>
        <v>215.34313023683225</v>
      </c>
      <c r="T26" s="62">
        <f t="shared" si="34"/>
        <v>363.61374855311703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2.6383269463369756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5.7339781772670024</v>
      </c>
      <c r="AC26" s="24">
        <f t="shared" si="3"/>
        <v>8.3723051236039776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59.328404430738487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>
        <f>VLOOKUP(A26,'Données projet'!$A$61:$I$81,2,0)</f>
        <v>188</v>
      </c>
      <c r="AG26" s="13">
        <f>VLOOKUP(A26,'Données projet'!$A$61:$I$81,9,0)</f>
        <v>16.5</v>
      </c>
      <c r="AH26" s="13">
        <f t="array" ref="AH26">INDEX(AG:AG,MIN(IF(ISNUMBER(AG26:AG222),ROW(AG26:AG222),"")))</f>
        <v>16.5</v>
      </c>
      <c r="AI26" s="14">
        <f>IF('Données projet'!$A$62&gt;35,AI25+AH26-AQ25,IF(A26&lt;'Données projet'!$A$62,$AF$205^A26,IF(A26='Données projet'!$A$62,'Données projet'!$B$62,AI25+AH26-AQ25)))</f>
        <v>188</v>
      </c>
      <c r="AJ26" s="14">
        <f>AI26*VLOOKUP('Données projet'!$B$10,Paramètres!$A$1:$I$89,3,0)*VLOOKUP('Données projet'!$B$10,Paramètres!$A$1:$I$89,5,0)</f>
        <v>112.42400000000001</v>
      </c>
      <c r="AK26" s="14">
        <f t="shared" si="35"/>
        <v>29.901371354345123</v>
      </c>
      <c r="AL26" s="22">
        <f t="shared" si="4"/>
        <v>247.88335510881771</v>
      </c>
      <c r="AM26" s="62">
        <f t="shared" si="5"/>
        <v>493.53194913263661</v>
      </c>
      <c r="AN26" s="62">
        <f ca="1">AVERAGE(OFFSET($AM$3,0,0,'Données projet'!$E$10+1,1))-AVERAGE(OFFSET($H$3,0,0,'Données projet'!$E$10+1,1))</f>
        <v>215.34313023683225</v>
      </c>
      <c r="AO26" s="62">
        <f t="shared" si="36"/>
        <v>363.61374855311703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2.6383269463369756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5.7339781772670024</v>
      </c>
      <c r="AX26" s="23">
        <f t="shared" si="6"/>
        <v>8.3723051236039776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59.328404430738487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59.328404430738487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59.328404430738487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59.328404430738487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59.328404430738487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59.328404430738487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59.328404430738487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59.328404430738487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2.1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7.7</v>
      </c>
      <c r="H27" s="70">
        <f t="shared" si="1"/>
        <v>205.84666666666666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59.513532755751683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17</v>
      </c>
      <c r="N27" s="14">
        <f>IF('Données projet'!$A$36&gt;35,N26+M27-V26,IF(A27&lt;'Données projet'!$A$36,$K$205^A27,IF(A27='Données projet'!$A$36,'Données projet'!$B$36,N26+M27-V26)))</f>
        <v>205</v>
      </c>
      <c r="O27" s="14">
        <f>N27*VLOOKUP('Données projet'!$B$9,Paramètres!$A$1:$I$89,3,0)*VLOOKUP('Données projet'!$B$9,Paramètres!$A$1:$I$89,5,0)</f>
        <v>122.59</v>
      </c>
      <c r="P27" s="14">
        <f t="shared" si="33"/>
        <v>32.278321478706822</v>
      </c>
      <c r="Q27" s="22">
        <f t="shared" si="2"/>
        <v>269.72899324208106</v>
      </c>
      <c r="R27" s="62">
        <f t="shared" si="0"/>
        <v>517.2786133465039</v>
      </c>
      <c r="S27" s="62">
        <f ca="1">AVERAGE(OFFSET($R$3,0,0,'Données projet'!$E$9+1,1))-AVERAGE(OFFSET($H$3,0,0,'Données projet'!$E$9+1,1))</f>
        <v>215.34313023683225</v>
      </c>
      <c r="T27" s="62">
        <f t="shared" si="34"/>
        <v>363.61374855311703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2.5865909641398477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4.0545348523211775</v>
      </c>
      <c r="AC27" s="24">
        <f t="shared" si="3"/>
        <v>6.6411258164610256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59.513532755751683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17</v>
      </c>
      <c r="AI27" s="14">
        <f>IF('Données projet'!$A$62&gt;35,AI26+AH27-AQ26,IF(A27&lt;'Données projet'!$A$62,$AF$205^A27,IF(A27='Données projet'!$A$62,'Données projet'!$B$62,AI26+AH27-AQ26)))</f>
        <v>205</v>
      </c>
      <c r="AJ27" s="14">
        <f>AI27*VLOOKUP('Données projet'!$B$10,Paramètres!$A$1:$I$89,3,0)*VLOOKUP('Données projet'!$B$10,Paramètres!$A$1:$I$89,5,0)</f>
        <v>122.59</v>
      </c>
      <c r="AK27" s="14">
        <f t="shared" si="35"/>
        <v>32.278321478706822</v>
      </c>
      <c r="AL27" s="22">
        <f t="shared" si="4"/>
        <v>269.72899324208106</v>
      </c>
      <c r="AM27" s="62">
        <f t="shared" si="5"/>
        <v>517.2786133465039</v>
      </c>
      <c r="AN27" s="62">
        <f ca="1">AVERAGE(OFFSET($AM$3,0,0,'Données projet'!$E$10+1,1))-AVERAGE(OFFSET($H$3,0,0,'Données projet'!$E$10+1,1))</f>
        <v>215.34313023683225</v>
      </c>
      <c r="AO27" s="62">
        <f t="shared" si="36"/>
        <v>363.61374855311703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2.5865909641398477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4.0545348523211775</v>
      </c>
      <c r="AX27" s="23">
        <f t="shared" si="6"/>
        <v>6.6411258164610256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59.513532755751683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59.513532755751683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59.513532755751683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59.513532755751683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59.513532755751683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59.513532755751683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59.513532755751683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59.513532755751683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2.1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7.7</v>
      </c>
      <c r="H28" s="70">
        <f t="shared" si="1"/>
        <v>205.84666666666666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59.695449518210836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222</v>
      </c>
      <c r="L28" s="13">
        <f>VLOOKUP(A28,'Données projet'!$A$35:$I$55,9,0)</f>
        <v>17</v>
      </c>
      <c r="M28" s="13">
        <f t="array" ref="M28">INDEX(L:L,MIN(IF(ISNUMBER(L28:L224),ROW(L28:L224),"")))</f>
        <v>17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540.97368523102909</v>
      </c>
      <c r="S28" s="62">
        <f ca="1">AVERAGE(OFFSET($R$3,0,0,'Données projet'!$E$9+1,1))-AVERAGE(OFFSET($H$3,0,0,'Données projet'!$E$9+1,1))</f>
        <v>215.34313023683225</v>
      </c>
      <c r="T28" s="62">
        <f t="shared" si="34"/>
        <v>363.61374855311703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0.6</v>
      </c>
      <c r="Z28" s="23">
        <f>EXP(-LN(2)/35)*Z27+(1-EXP(-LN(2)/35))/(LN(2)/35)*V28*W28*VLOOKUP('Données projet'!$B$9,Paramètres!$A$1:$I$89,3,0)*0.475*44/12</f>
        <v>10.246604984107426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24.804216299668287</v>
      </c>
      <c r="AC28" s="24">
        <f t="shared" si="3"/>
        <v>35.050821283775711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59.695449518210836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222</v>
      </c>
      <c r="AG28" s="13">
        <f>VLOOKUP(A28,'Données projet'!$A$61:$I$81,9,0)</f>
        <v>17</v>
      </c>
      <c r="AH28" s="13">
        <f t="array" ref="AH28">INDEX(AG:AG,MIN(IF(ISNUMBER(AG28:AG224),ROW(AG28:AG224),"")))</f>
        <v>17</v>
      </c>
      <c r="AI28" s="14">
        <f>IF('Données projet'!$A$62&gt;35,AI27+AH28-AQ27,IF(A28&lt;'Données projet'!$A$62,$AF$205^A28,IF(A28='Données projet'!$A$62,'Données projet'!$B$62,AI27+AH28-AQ27)))</f>
        <v>222</v>
      </c>
      <c r="AJ28" s="14">
        <f>AI28*VLOOKUP('Données projet'!$B$10,Paramètres!$A$1:$I$89,3,0)*VLOOKUP('Données projet'!$B$10,Paramètres!$A$1:$I$89,5,0)</f>
        <v>132.756</v>
      </c>
      <c r="AK28" s="14">
        <f t="shared" si="35"/>
        <v>34.632410397339967</v>
      </c>
      <c r="AL28" s="22">
        <f t="shared" si="4"/>
        <v>291.53481477536712</v>
      </c>
      <c r="AM28" s="62">
        <f t="shared" si="5"/>
        <v>540.97368523102909</v>
      </c>
      <c r="AN28" s="62">
        <f ca="1">AVERAGE(OFFSET($AM$3,0,0,'Données projet'!$E$10+1,1))-AVERAGE(OFFSET($H$3,0,0,'Données projet'!$E$10+1,1))</f>
        <v>215.34313023683225</v>
      </c>
      <c r="AO28" s="62">
        <f t="shared" si="36"/>
        <v>363.61374855311703</v>
      </c>
      <c r="AP28" s="16">
        <f>IF(ISNA(VLOOKUP(A28,'Données projet'!$A$61:$I$81,3,0)),0,VLOOKUP(A28,'Données projet'!$A$61:$I$81,3,0))</f>
        <v>3</v>
      </c>
      <c r="AQ28" s="16">
        <f>IF(ISNA(VLOOKUP(A28,'Données projet'!$A$61:$I$81,4,0)),0,VLOOKUP(A28,'Données projet'!$A$61:$I$81,4,0))</f>
        <v>54</v>
      </c>
      <c r="AR28" s="17">
        <f>IF(ISNA(VLOOKUP(A28,'Données projet'!$A$61:$I$81,5,0)),0%,VLOOKUP(A28,'Données projet'!$A$61:$I$81,5,0)*VLOOKUP('Données projet'!$B$10,Paramètres!$A$1:$I$89,7,0))</f>
        <v>0.18000000000000002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0.6</v>
      </c>
      <c r="AU28" s="23">
        <f>EXP(-LN(2)/35)*AU27+(1-EXP(-LN(2)/35))/(LN(2)/35)*AQ28*AR28*VLOOKUP('Données projet'!$B$10,Paramètres!$A$1:$I$89,3,0)*0.475*44/12</f>
        <v>10.246604984107426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24.804216299668287</v>
      </c>
      <c r="AX28" s="23">
        <f t="shared" si="6"/>
        <v>35.050821283775711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59.695449518210836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59.695449518210836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59.695449518210836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59.695449518210836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59.695449518210836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59.695449518210836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59.695449518210836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59.695449518210836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2.1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7.7</v>
      </c>
      <c r="H29" s="70">
        <f t="shared" si="1"/>
        <v>205.84666666666666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59.874210431546274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13.5</v>
      </c>
      <c r="N29" s="14">
        <f>IF('Données projet'!$A$36&gt;35,N28+M29-V28,IF(A29&lt;'Données projet'!$A$36,$K$205^A29,IF(A29='Données projet'!$A$36,'Données projet'!$B$36,N28+M29-V28)))</f>
        <v>181.5</v>
      </c>
      <c r="O29" s="14">
        <f>N29*VLOOKUP('Données projet'!$B$9,Paramètres!$A$1:$I$89,3,0)*VLOOKUP('Données projet'!$B$9,Paramètres!$A$1:$I$89,5,0)</f>
        <v>108.53700000000002</v>
      </c>
      <c r="P29" s="14">
        <f t="shared" si="33"/>
        <v>28.986022217646841</v>
      </c>
      <c r="Q29" s="22">
        <f t="shared" si="2"/>
        <v>239.51926369573494</v>
      </c>
      <c r="R29" s="62">
        <f t="shared" si="0"/>
        <v>490.83581305584903</v>
      </c>
      <c r="S29" s="62">
        <f ca="1">AVERAGE(OFFSET($R$3,0,0,'Données projet'!$E$9+1,1))-AVERAGE(OFFSET($H$3,0,0,'Données projet'!$E$9+1,1))</f>
        <v>215.34313023683225</v>
      </c>
      <c r="T29" s="62">
        <f t="shared" si="34"/>
        <v>363.61374855311703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10.045675310181002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17.53922954751334</v>
      </c>
      <c r="AC29" s="24">
        <f t="shared" si="3"/>
        <v>27.58490485769434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59.874210431546274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13.5</v>
      </c>
      <c r="AI29" s="14">
        <f>IF('Données projet'!$A$62&gt;35,AI28+AH29-AQ28,IF(A29&lt;'Données projet'!$A$62,$AF$205^A29,IF(A29='Données projet'!$A$62,'Données projet'!$B$62,AI28+AH29-AQ28)))</f>
        <v>181.5</v>
      </c>
      <c r="AJ29" s="14">
        <f>AI29*VLOOKUP('Données projet'!$B$10,Paramètres!$A$1:$I$89,3,0)*VLOOKUP('Données projet'!$B$10,Paramètres!$A$1:$I$89,5,0)</f>
        <v>108.53700000000002</v>
      </c>
      <c r="AK29" s="14">
        <f t="shared" si="35"/>
        <v>28.986022217646841</v>
      </c>
      <c r="AL29" s="22">
        <f t="shared" si="4"/>
        <v>239.51926369573494</v>
      </c>
      <c r="AM29" s="62">
        <f t="shared" si="5"/>
        <v>490.83581305584903</v>
      </c>
      <c r="AN29" s="62">
        <f ca="1">AVERAGE(OFFSET($AM$3,0,0,'Données projet'!$E$10+1,1))-AVERAGE(OFFSET($H$3,0,0,'Données projet'!$E$10+1,1))</f>
        <v>215.34313023683225</v>
      </c>
      <c r="AO29" s="62">
        <f t="shared" si="36"/>
        <v>363.61374855311703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10.045675310181002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17.53922954751334</v>
      </c>
      <c r="AX29" s="23">
        <f t="shared" si="6"/>
        <v>27.58490485769434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59.874210431546274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59.874210431546274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59.874210431546274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59.874210431546274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59.874210431546274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59.874210431546274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59.874210431546274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59.874210431546274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2.1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7.7</v>
      </c>
      <c r="H30" s="70">
        <f t="shared" si="1"/>
        <v>205.84666666666666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60.049870242684868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>
        <f>VLOOKUP(A30,'Données projet'!$A$35:$I$55,2,0)</f>
        <v>195</v>
      </c>
      <c r="L30" s="13">
        <f>VLOOKUP(A30,'Données projet'!$A$35:$I$55,9,0)</f>
        <v>13.5</v>
      </c>
      <c r="M30" s="13">
        <f t="array" ref="M30">INDEX(L:L,MIN(IF(ISNUMBER(L30:L226),ROW(L30:L226),"")))</f>
        <v>13.5</v>
      </c>
      <c r="N30" s="14">
        <f>IF('Données projet'!$A$36&gt;35,N29+M30-V29,IF(A30&lt;'Données projet'!$A$36,$K$205^A30,IF(A30='Données projet'!$A$36,'Données projet'!$B$36,N29+M30-V29)))</f>
        <v>195</v>
      </c>
      <c r="O30" s="14">
        <f>N30*VLOOKUP('Données projet'!$B$9,Paramètres!$A$1:$I$89,3,0)*VLOOKUP('Données projet'!$B$9,Paramètres!$A$1:$I$89,5,0)</f>
        <v>116.61000000000001</v>
      </c>
      <c r="P30" s="14">
        <f t="shared" si="33"/>
        <v>30.883023623410974</v>
      </c>
      <c r="Q30" s="22">
        <f t="shared" si="2"/>
        <v>256.88368281077413</v>
      </c>
      <c r="R30" s="62">
        <f t="shared" si="0"/>
        <v>510.06654036728537</v>
      </c>
      <c r="S30" s="62">
        <f ca="1">AVERAGE(OFFSET($R$3,0,0,'Données projet'!$E$9+1,1))-AVERAGE(OFFSET($H$3,0,0,'Données projet'!$E$9+1,1))</f>
        <v>215.34313023683225</v>
      </c>
      <c r="T30" s="62">
        <f t="shared" si="34"/>
        <v>363.61374855311703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9.8486857446052749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12.402108149834145</v>
      </c>
      <c r="AC30" s="24">
        <f t="shared" si="3"/>
        <v>22.250793894439418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60.049870242684868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>
        <f>VLOOKUP(A30,'Données projet'!$A$61:$I$81,2,0)</f>
        <v>195</v>
      </c>
      <c r="AG30" s="13">
        <f>VLOOKUP(A30,'Données projet'!$A$61:$I$81,9,0)</f>
        <v>13.5</v>
      </c>
      <c r="AH30" s="13">
        <f t="array" ref="AH30">INDEX(AG:AG,MIN(IF(ISNUMBER(AG30:AG226),ROW(AG30:AG226),"")))</f>
        <v>13.5</v>
      </c>
      <c r="AI30" s="14">
        <f>IF('Données projet'!$A$62&gt;35,AI29+AH30-AQ29,IF(A30&lt;'Données projet'!$A$62,$AF$205^A30,IF(A30='Données projet'!$A$62,'Données projet'!$B$62,AI29+AH30-AQ29)))</f>
        <v>195</v>
      </c>
      <c r="AJ30" s="14">
        <f>AI30*VLOOKUP('Données projet'!$B$10,Paramètres!$A$1:$I$89,3,0)*VLOOKUP('Données projet'!$B$10,Paramètres!$A$1:$I$89,5,0)</f>
        <v>116.61000000000001</v>
      </c>
      <c r="AK30" s="14">
        <f t="shared" si="35"/>
        <v>30.883023623410974</v>
      </c>
      <c r="AL30" s="22">
        <f t="shared" si="4"/>
        <v>256.88368281077413</v>
      </c>
      <c r="AM30" s="62">
        <f t="shared" si="5"/>
        <v>510.06654036728537</v>
      </c>
      <c r="AN30" s="62">
        <f ca="1">AVERAGE(OFFSET($AM$3,0,0,'Données projet'!$E$10+1,1))-AVERAGE(OFFSET($H$3,0,0,'Données projet'!$E$10+1,1))</f>
        <v>215.34313023683225</v>
      </c>
      <c r="AO30" s="62">
        <f t="shared" si="36"/>
        <v>363.61374855311703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9.8486857446052749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12.402108149834145</v>
      </c>
      <c r="AX30" s="23">
        <f t="shared" si="6"/>
        <v>22.250793894439418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60.049870242684868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60.049870242684868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60.049870242684868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60.049870242684868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60.049870242684868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60.049870242684868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60.049870242684868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60.049870242684868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2.1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7.7</v>
      </c>
      <c r="H31" s="70">
        <f t="shared" si="1"/>
        <v>205.84666666666666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60.222482748816716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14</v>
      </c>
      <c r="N31" s="14">
        <f>IF('Données projet'!$A$36&gt;35,N30+M31-V30,IF(A31&lt;'Données projet'!$A$36,$K$205^A31,IF(A31='Données projet'!$A$36,'Données projet'!$B$36,N30+M31-V30)))</f>
        <v>209</v>
      </c>
      <c r="O31" s="14">
        <f>N31*VLOOKUP('Données projet'!$B$9,Paramètres!$A$1:$I$89,3,0)*VLOOKUP('Données projet'!$B$9,Paramètres!$A$1:$I$89,5,0)</f>
        <v>124.982</v>
      </c>
      <c r="P31" s="14">
        <f t="shared" si="33"/>
        <v>32.834203796212122</v>
      </c>
      <c r="Q31" s="22">
        <f t="shared" si="2"/>
        <v>274.86322161173604</v>
      </c>
      <c r="R31" s="62">
        <f t="shared" si="0"/>
        <v>529.90121391295293</v>
      </c>
      <c r="S31" s="62">
        <f ca="1">AVERAGE(OFFSET($R$3,0,0,'Données projet'!$E$9+1,1))-AVERAGE(OFFSET($H$3,0,0,'Données projet'!$E$9+1,1))</f>
        <v>215.34313023683225</v>
      </c>
      <c r="T31" s="62">
        <f t="shared" si="34"/>
        <v>363.61374855311703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9.6555590242587179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8.7696147737566719</v>
      </c>
      <c r="AC31" s="24">
        <f t="shared" si="3"/>
        <v>18.42517379801539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60.222482748816716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14</v>
      </c>
      <c r="AI31" s="14">
        <f>IF('Données projet'!$A$62&gt;35,AI30+AH31-AQ30,IF(A31&lt;'Données projet'!$A$62,$AF$205^A31,IF(A31='Données projet'!$A$62,'Données projet'!$B$62,AI30+AH31-AQ30)))</f>
        <v>209</v>
      </c>
      <c r="AJ31" s="14">
        <f>AI31*VLOOKUP('Données projet'!$B$10,Paramètres!$A$1:$I$89,3,0)*VLOOKUP('Données projet'!$B$10,Paramètres!$A$1:$I$89,5,0)</f>
        <v>124.982</v>
      </c>
      <c r="AK31" s="14">
        <f t="shared" si="35"/>
        <v>32.834203796212122</v>
      </c>
      <c r="AL31" s="22">
        <f t="shared" si="4"/>
        <v>274.86322161173604</v>
      </c>
      <c r="AM31" s="62">
        <f t="shared" si="5"/>
        <v>529.90121391295293</v>
      </c>
      <c r="AN31" s="62">
        <f ca="1">AVERAGE(OFFSET($AM$3,0,0,'Données projet'!$E$10+1,1))-AVERAGE(OFFSET($H$3,0,0,'Données projet'!$E$10+1,1))</f>
        <v>215.34313023683225</v>
      </c>
      <c r="AO31" s="62">
        <f t="shared" si="36"/>
        <v>363.61374855311703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9.6555590242587179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8.7696147737566719</v>
      </c>
      <c r="AX31" s="23">
        <f t="shared" si="6"/>
        <v>18.42517379801539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60.222482748816716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60.222482748816716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60.222482748816716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60.222482748816716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60.222482748816716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60.222482748816716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60.222482748816716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60.222482748816716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2.1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7.7</v>
      </c>
      <c r="H32" s="70">
        <f t="shared" si="1"/>
        <v>205.84666666666666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60.392100813870925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>
        <f>VLOOKUP(A32,'Données projet'!$A$35:$I$55,2,0)</f>
        <v>223</v>
      </c>
      <c r="L32" s="13">
        <f>VLOOKUP(A32,'Données projet'!$A$35:$I$55,9,0)</f>
        <v>14</v>
      </c>
      <c r="M32" s="13">
        <f t="array" ref="M32">INDEX(L:L,MIN(IF(ISNUMBER(L32:L228),ROW(L32:L228),"")))</f>
        <v>14</v>
      </c>
      <c r="N32" s="14">
        <f>IF('Données projet'!$A$36&gt;35,N31+M32-V31,IF(A32&lt;'Données projet'!$A$36,$K$205^A32,IF(A32='Données projet'!$A$36,'Données projet'!$B$36,N31+M32-V31)))</f>
        <v>223</v>
      </c>
      <c r="O32" s="14">
        <f>N32*VLOOKUP('Données projet'!$B$9,Paramètres!$A$1:$I$89,3,0)*VLOOKUP('Données projet'!$B$9,Paramètres!$A$1:$I$89,5,0)</f>
        <v>133.35400000000001</v>
      </c>
      <c r="P32" s="14">
        <f t="shared" si="33"/>
        <v>34.770217553947298</v>
      </c>
      <c r="Q32" s="22">
        <f t="shared" si="2"/>
        <v>292.81634557312492</v>
      </c>
      <c r="R32" s="62">
        <f t="shared" si="0"/>
        <v>549.6984930017627</v>
      </c>
      <c r="S32" s="62">
        <f ca="1">AVERAGE(OFFSET($R$3,0,0,'Données projet'!$E$9+1,1))-AVERAGE(OFFSET($H$3,0,0,'Données projet'!$E$9+1,1))</f>
        <v>215.34313023683225</v>
      </c>
      <c r="T32" s="62">
        <f t="shared" si="34"/>
        <v>363.61374855311703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9.4662194011024887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6.2010540749170735</v>
      </c>
      <c r="AC32" s="24">
        <f t="shared" si="3"/>
        <v>15.667273476019563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60.392100813870925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>
        <f>VLOOKUP(A32,'Données projet'!$A$61:$I$81,2,0)</f>
        <v>223</v>
      </c>
      <c r="AG32" s="13">
        <f>VLOOKUP(A32,'Données projet'!$A$61:$I$81,9,0)</f>
        <v>14</v>
      </c>
      <c r="AH32" s="13">
        <f t="array" ref="AH32">INDEX(AG:AG,MIN(IF(ISNUMBER(AG32:AG228),ROW(AG32:AG228),"")))</f>
        <v>14</v>
      </c>
      <c r="AI32" s="14">
        <f>IF('Données projet'!$A$62&gt;35,AI31+AH32-AQ31,IF(A32&lt;'Données projet'!$A$62,$AF$205^A32,IF(A32='Données projet'!$A$62,'Données projet'!$B$62,AI31+AH32-AQ31)))</f>
        <v>223</v>
      </c>
      <c r="AJ32" s="14">
        <f>AI32*VLOOKUP('Données projet'!$B$10,Paramètres!$A$1:$I$89,3,0)*VLOOKUP('Données projet'!$B$10,Paramètres!$A$1:$I$89,5,0)</f>
        <v>133.35400000000001</v>
      </c>
      <c r="AK32" s="14">
        <f t="shared" si="35"/>
        <v>34.770217553947298</v>
      </c>
      <c r="AL32" s="22">
        <f t="shared" si="4"/>
        <v>292.81634557312492</v>
      </c>
      <c r="AM32" s="62">
        <f t="shared" si="5"/>
        <v>549.6984930017627</v>
      </c>
      <c r="AN32" s="62">
        <f ca="1">AVERAGE(OFFSET($AM$3,0,0,'Données projet'!$E$10+1,1))-AVERAGE(OFFSET($H$3,0,0,'Données projet'!$E$10+1,1))</f>
        <v>215.34313023683225</v>
      </c>
      <c r="AO32" s="62">
        <f t="shared" si="36"/>
        <v>363.61374855311703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9.4662194011024887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6.2010540749170735</v>
      </c>
      <c r="AX32" s="23">
        <f t="shared" si="6"/>
        <v>15.667273476019563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60.392100813870925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60.392100813870925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60.392100813870925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60.392100813870925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60.392100813870925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60.392100813870925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60.392100813870925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60.392100813870925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2.1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7.7</v>
      </c>
      <c r="H33" s="70">
        <f t="shared" si="1"/>
        <v>205.84666666666666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60.558776384705624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237</v>
      </c>
      <c r="L33" s="13">
        <f>VLOOKUP(A33,'Données projet'!$A$35:$I$55,9,0)</f>
        <v>14</v>
      </c>
      <c r="M33" s="13">
        <f t="array" ref="M33">INDEX(L:L,MIN(IF(ISNUMBER(L33:L229),ROW(L33:L229),"")))</f>
        <v>14</v>
      </c>
      <c r="N33" s="14">
        <f>IF('Données projet'!$A$36&gt;35,N32+M33-V32,IF(A33&lt;'Données projet'!$A$36,$K$205^A33,IF(A33='Données projet'!$A$36,'Données projet'!$B$36,N32+M33-V32)))</f>
        <v>237</v>
      </c>
      <c r="O33" s="14">
        <f>N33*VLOOKUP('Données projet'!$B$9,Paramètres!$A$1:$I$89,3,0)*VLOOKUP('Données projet'!$B$9,Paramètres!$A$1:$I$89,5,0)</f>
        <v>141.72600000000003</v>
      </c>
      <c r="P33" s="14">
        <f t="shared" si="33"/>
        <v>36.692125440686915</v>
      </c>
      <c r="Q33" s="22">
        <f t="shared" si="2"/>
        <v>310.74490180919639</v>
      </c>
      <c r="R33" s="62">
        <f t="shared" si="0"/>
        <v>569.46041521978373</v>
      </c>
      <c r="S33" s="62">
        <f ca="1">AVERAGE(OFFSET($R$3,0,0,'Données projet'!$E$9+1,1))-AVERAGE(OFFSET($H$3,0,0,'Données projet'!$E$9+1,1))</f>
        <v>215.34313023683225</v>
      </c>
      <c r="T33" s="62">
        <f t="shared" si="34"/>
        <v>363.61374855311703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9.2805926124705866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4.3848073868783359</v>
      </c>
      <c r="AC33" s="24">
        <f t="shared" si="3"/>
        <v>13.665399999348923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60.558776384705624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237</v>
      </c>
      <c r="AG33" s="13">
        <f>VLOOKUP(A33,'Données projet'!$A$61:$I$81,9,0)</f>
        <v>14</v>
      </c>
      <c r="AH33" s="13">
        <f t="array" ref="AH33">INDEX(AG:AG,MIN(IF(ISNUMBER(AG33:AG229),ROW(AG33:AG229),"")))</f>
        <v>14</v>
      </c>
      <c r="AI33" s="14">
        <f>IF('Données projet'!$A$62&gt;35,AI32+AH33-AQ32,IF(A33&lt;'Données projet'!$A$62,$AF$205^A33,IF(A33='Données projet'!$A$62,'Données projet'!$B$62,AI32+AH33-AQ32)))</f>
        <v>237</v>
      </c>
      <c r="AJ33" s="14">
        <f>AI33*VLOOKUP('Données projet'!$B$10,Paramètres!$A$1:$I$89,3,0)*VLOOKUP('Données projet'!$B$10,Paramètres!$A$1:$I$89,5,0)</f>
        <v>141.72600000000003</v>
      </c>
      <c r="AK33" s="14">
        <f t="shared" si="35"/>
        <v>36.692125440686915</v>
      </c>
      <c r="AL33" s="22">
        <f t="shared" si="4"/>
        <v>310.74490180919639</v>
      </c>
      <c r="AM33" s="62">
        <f t="shared" si="5"/>
        <v>569.46041521978373</v>
      </c>
      <c r="AN33" s="62">
        <f ca="1">AVERAGE(OFFSET($AM$3,0,0,'Données projet'!$E$10+1,1))-AVERAGE(OFFSET($H$3,0,0,'Données projet'!$E$10+1,1))</f>
        <v>215.34313023683225</v>
      </c>
      <c r="AO33" s="62">
        <f t="shared" si="36"/>
        <v>363.61374855311703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9.2805926124705866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4.3848073868783359</v>
      </c>
      <c r="AX33" s="23">
        <f t="shared" si="6"/>
        <v>13.665399999348923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60.558776384705624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60.558776384705624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60.558776384705624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60.558776384705624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60.558776384705624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60.558776384705624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60.558776384705624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60.558776384705624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2.1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7.7</v>
      </c>
      <c r="H34" s="70">
        <f t="shared" si="1"/>
        <v>205.84666666666666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60.7225605070171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13.5</v>
      </c>
      <c r="N34" s="14">
        <f>IF('Données projet'!$A$36&gt;35,N33+M34-V33,IF(A34&lt;'Données projet'!$A$36,$K$205^A34,IF(A34='Données projet'!$A$36,'Données projet'!$B$36,N33+M34-V33)))</f>
        <v>250.5</v>
      </c>
      <c r="O34" s="14">
        <f>N34*VLOOKUP('Données projet'!$B$9,Paramètres!$A$1:$I$89,3,0)*VLOOKUP('Données projet'!$B$9,Paramètres!$A$1:$I$89,5,0)</f>
        <v>149.79900000000001</v>
      </c>
      <c r="P34" s="14">
        <f t="shared" si="33"/>
        <v>38.532904085481292</v>
      </c>
      <c r="Q34" s="22">
        <f t="shared" si="2"/>
        <v>328.01139961554662</v>
      </c>
      <c r="R34" s="62">
        <f t="shared" si="0"/>
        <v>587.32745480794267</v>
      </c>
      <c r="S34" s="62">
        <f ca="1">AVERAGE(OFFSET($R$3,0,0,'Données projet'!$E$9+1,1))-AVERAGE(OFFSET($H$3,0,0,'Données projet'!$E$9+1,1))</f>
        <v>215.34313023683225</v>
      </c>
      <c r="T34" s="62">
        <f t="shared" si="34"/>
        <v>363.61374855311703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9.0986058519425939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3.1005270374585367</v>
      </c>
      <c r="AC34" s="24">
        <f t="shared" si="3"/>
        <v>12.199132889401131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60.7225605070171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13.5</v>
      </c>
      <c r="AI34" s="14">
        <f>IF('Données projet'!$A$62&gt;35,AI33+AH34-AQ33,IF(A34&lt;'Données projet'!$A$62,$AF$205^A34,IF(A34='Données projet'!$A$62,'Données projet'!$B$62,AI33+AH34-AQ33)))</f>
        <v>250.5</v>
      </c>
      <c r="AJ34" s="14">
        <f>AI34*VLOOKUP('Données projet'!$B$10,Paramètres!$A$1:$I$89,3,0)*VLOOKUP('Données projet'!$B$10,Paramètres!$A$1:$I$89,5,0)</f>
        <v>149.79900000000001</v>
      </c>
      <c r="AK34" s="14">
        <f t="shared" si="35"/>
        <v>38.532904085481292</v>
      </c>
      <c r="AL34" s="22">
        <f t="shared" si="4"/>
        <v>328.01139961554662</v>
      </c>
      <c r="AM34" s="62">
        <f t="shared" si="5"/>
        <v>587.32745480794267</v>
      </c>
      <c r="AN34" s="62">
        <f ca="1">AVERAGE(OFFSET($AM$3,0,0,'Données projet'!$E$10+1,1))-AVERAGE(OFFSET($H$3,0,0,'Données projet'!$E$10+1,1))</f>
        <v>215.34313023683225</v>
      </c>
      <c r="AO34" s="62">
        <f t="shared" si="36"/>
        <v>363.61374855311703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9.0986058519425939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3.1005270374585367</v>
      </c>
      <c r="AX34" s="23">
        <f t="shared" si="6"/>
        <v>12.199132889401131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60.7225605070171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60.7225605070171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60.7225605070171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60.7225605070171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60.7225605070171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60.7225605070171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60.7225605070171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60.7225605070171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2.1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7.7</v>
      </c>
      <c r="H35" s="70">
        <f t="shared" si="1"/>
        <v>205.84666666666666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60.883503340972908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>
        <f>VLOOKUP(A35,'Données projet'!$A$35:$I$55,2,0)</f>
        <v>264</v>
      </c>
      <c r="L35" s="13">
        <f>VLOOKUP(A35,'Données projet'!$A$35:$I$55,9,0)</f>
        <v>13.5</v>
      </c>
      <c r="M35" s="13">
        <f t="array" ref="M35">INDEX(L:L,MIN(IF(ISNUMBER(L35:L231),ROW(L35:L231),"")))</f>
        <v>13.5</v>
      </c>
      <c r="N35" s="14">
        <f>IF('Données projet'!$A$36&gt;35,N34+M35-V34,IF(A35&lt;'Données projet'!$A$36,$K$205^A35,IF(A35='Données projet'!$A$36,'Données projet'!$B$36,N34+M35-V34)))</f>
        <v>264</v>
      </c>
      <c r="O35" s="14">
        <f>N35*VLOOKUP('Données projet'!$B$9,Paramètres!$A$1:$I$89,3,0)*VLOOKUP('Données projet'!$B$9,Paramètres!$A$1:$I$89,5,0)</f>
        <v>157.87200000000001</v>
      </c>
      <c r="P35" s="14">
        <f t="shared" si="33"/>
        <v>40.362165684361159</v>
      </c>
      <c r="Q35" s="22">
        <f t="shared" ref="Q35:Q66" si="53">(O35+P35)*0.475*44/12</f>
        <v>345.25783856692902</v>
      </c>
      <c r="R35" s="62">
        <f t="shared" si="0"/>
        <v>605.16401748382964</v>
      </c>
      <c r="S35" s="62">
        <f ca="1">AVERAGE(OFFSET($R$3,0,0,'Données projet'!$E$9+1,1))-AVERAGE(OFFSET($H$3,0,0,'Données projet'!$E$9+1,1))</f>
        <v>215.34313023683225</v>
      </c>
      <c r="T35" s="62">
        <f t="shared" si="34"/>
        <v>363.61374855311703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8.9201877407875916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2.192403693439168</v>
      </c>
      <c r="AC35" s="24">
        <f t="shared" si="3"/>
        <v>11.11259143422676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60.883503340972908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>
        <f>VLOOKUP(A35,'Données projet'!$A$61:$I$81,2,0)</f>
        <v>264</v>
      </c>
      <c r="AG35" s="13">
        <f>VLOOKUP(A35,'Données projet'!$A$61:$I$81,9,0)</f>
        <v>13.5</v>
      </c>
      <c r="AH35" s="13">
        <f t="array" ref="AH35">INDEX(AG:AG,MIN(IF(ISNUMBER(AG35:AG231),ROW(AG35:AG231),"")))</f>
        <v>13.5</v>
      </c>
      <c r="AI35" s="14">
        <f>IF('Données projet'!$A$62&gt;35,AI34+AH35-AQ34,IF(A35&lt;'Données projet'!$A$62,$AF$205^A35,IF(A35='Données projet'!$A$62,'Données projet'!$B$62,AI34+AH35-AQ34)))</f>
        <v>264</v>
      </c>
      <c r="AJ35" s="14">
        <f>AI35*VLOOKUP('Données projet'!$B$10,Paramètres!$A$1:$I$89,3,0)*VLOOKUP('Données projet'!$B$10,Paramètres!$A$1:$I$89,5,0)</f>
        <v>157.87200000000001</v>
      </c>
      <c r="AK35" s="14">
        <f t="shared" si="35"/>
        <v>40.362165684361159</v>
      </c>
      <c r="AL35" s="22">
        <f t="shared" si="4"/>
        <v>345.25783856692902</v>
      </c>
      <c r="AM35" s="62">
        <f t="shared" si="5"/>
        <v>605.16401748382964</v>
      </c>
      <c r="AN35" s="62">
        <f ca="1">AVERAGE(OFFSET($AM$3,0,0,'Données projet'!$E$10+1,1))-AVERAGE(OFFSET($H$3,0,0,'Données projet'!$E$10+1,1))</f>
        <v>215.34313023683225</v>
      </c>
      <c r="AO35" s="62">
        <f t="shared" si="36"/>
        <v>363.61374855311703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8.9201877407875916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2.192403693439168</v>
      </c>
      <c r="AX35" s="23">
        <f t="shared" si="6"/>
        <v>11.11259143422676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60.883503340972908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60.883503340972908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60.883503340972908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60.883503340972908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60.883503340972908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60.883503340972908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60.883503340972908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60.883503340972908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2.1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7.7</v>
      </c>
      <c r="H36" s="70">
        <f t="shared" si="1"/>
        <v>205.84666666666666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61.041654176573857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13.5</v>
      </c>
      <c r="N36" s="14">
        <f>IF('Données projet'!$A$36&gt;35,N35+M36-V35,IF(A36&lt;'Données projet'!$A$36,$K$205^A36,IF(A36='Données projet'!$A$36,'Données projet'!$B$36,N35+M36-V35)))</f>
        <v>277.5</v>
      </c>
      <c r="O36" s="14">
        <f>N36*VLOOKUP('Données projet'!$B$9,Paramètres!$A$1:$I$89,3,0)*VLOOKUP('Données projet'!$B$9,Paramètres!$A$1:$I$89,5,0)</f>
        <v>165.94500000000002</v>
      </c>
      <c r="P36" s="14">
        <f t="shared" si="33"/>
        <v>42.180566362892314</v>
      </c>
      <c r="Q36" s="22">
        <f t="shared" si="53"/>
        <v>362.48536141537079</v>
      </c>
      <c r="R36" s="62">
        <f t="shared" si="0"/>
        <v>622.97142672947484</v>
      </c>
      <c r="S36" s="62">
        <f ca="1">AVERAGE(OFFSET($R$3,0,0,'Données projet'!$E$9+1,1))-AVERAGE(OFFSET($H$3,0,0,'Données projet'!$E$9+1,1))</f>
        <v>215.34313023683225</v>
      </c>
      <c r="T36" s="62">
        <f t="shared" si="34"/>
        <v>363.61374855311703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8.7452682999680373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1.5502635187292684</v>
      </c>
      <c r="AC36" s="24">
        <f t="shared" si="3"/>
        <v>10.295531818697306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61.041654176573857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13.5</v>
      </c>
      <c r="AI36" s="14">
        <f>IF('Données projet'!$A$62&gt;35,AI35+AH36-AQ35,IF(A36&lt;'Données projet'!$A$62,$AF$205^A36,IF(A36='Données projet'!$A$62,'Données projet'!$B$62,AI35+AH36-AQ35)))</f>
        <v>277.5</v>
      </c>
      <c r="AJ36" s="14">
        <f>AI36*VLOOKUP('Données projet'!$B$10,Paramètres!$A$1:$I$89,3,0)*VLOOKUP('Données projet'!$B$10,Paramètres!$A$1:$I$89,5,0)</f>
        <v>165.94500000000002</v>
      </c>
      <c r="AK36" s="14">
        <f t="shared" si="35"/>
        <v>42.180566362892314</v>
      </c>
      <c r="AL36" s="22">
        <f t="shared" si="4"/>
        <v>362.48536141537079</v>
      </c>
      <c r="AM36" s="62">
        <f t="shared" si="5"/>
        <v>622.97142672947484</v>
      </c>
      <c r="AN36" s="62">
        <f ca="1">AVERAGE(OFFSET($AM$3,0,0,'Données projet'!$E$10+1,1))-AVERAGE(OFFSET($H$3,0,0,'Données projet'!$E$10+1,1))</f>
        <v>215.34313023683225</v>
      </c>
      <c r="AO36" s="62">
        <f t="shared" si="36"/>
        <v>363.61374855311703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8.7452682999680373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1.5502635187292684</v>
      </c>
      <c r="AX36" s="23">
        <f t="shared" si="6"/>
        <v>10.295531818697306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61.041654176573857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61.041654176573857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61.041654176573857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61.041654176573857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61.041654176573857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61.041654176573857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61.041654176573857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61.041654176573857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2.1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7.7</v>
      </c>
      <c r="H37" s="70">
        <f t="shared" si="1"/>
        <v>205.84666666666666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61.19706144874943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291</v>
      </c>
      <c r="L37" s="13">
        <f>VLOOKUP(A37,'Données projet'!$A$35:$I$55,9,0)</f>
        <v>13.5</v>
      </c>
      <c r="M37" s="13">
        <f t="array" ref="M37">INDEX(L:L,MIN(IF(ISNUMBER(L37:L233),ROW(L37:L233),"")))</f>
        <v>13.5</v>
      </c>
      <c r="N37" s="14">
        <f>IF('Données projet'!$A$36&gt;35,N36+M37-V36,IF(A37&lt;'Données projet'!$A$36,$K$205^A37,IF(A37='Données projet'!$A$36,'Données projet'!$B$36,N36+M37-V36)))</f>
        <v>291</v>
      </c>
      <c r="O37" s="14">
        <f>N37*VLOOKUP('Données projet'!$B$9,Paramètres!$A$1:$I$89,3,0)*VLOOKUP('Données projet'!$B$9,Paramètres!$A$1:$I$89,5,0)</f>
        <v>174.01800000000003</v>
      </c>
      <c r="P37" s="14">
        <f t="shared" si="33"/>
        <v>43.988694800618951</v>
      </c>
      <c r="Q37" s="22">
        <f t="shared" si="53"/>
        <v>379.69499344441141</v>
      </c>
      <c r="R37" s="62">
        <f t="shared" si="0"/>
        <v>640.75088542315927</v>
      </c>
      <c r="S37" s="62">
        <f ca="1">AVERAGE(OFFSET($R$3,0,0,'Données projet'!$E$9+1,1))-AVERAGE(OFFSET($H$3,0,0,'Données projet'!$E$9+1,1))</f>
        <v>215.34313023683225</v>
      </c>
      <c r="T37" s="62">
        <f t="shared" si="34"/>
        <v>363.61374855311703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8.5737789226926306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1.096201846719584</v>
      </c>
      <c r="AC37" s="24">
        <f t="shared" si="3"/>
        <v>9.6699807694122146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61.19706144874943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>
        <f>VLOOKUP(A37,'Données projet'!$A$61:$I$81,2,0)</f>
        <v>291</v>
      </c>
      <c r="AG37" s="13">
        <f>VLOOKUP(A37,'Données projet'!$A$61:$I$81,9,0)</f>
        <v>13.5</v>
      </c>
      <c r="AH37" s="13">
        <f t="array" ref="AH37">INDEX(AG:AG,MIN(IF(ISNUMBER(AG37:AG233),ROW(AG37:AG233),"")))</f>
        <v>13.5</v>
      </c>
      <c r="AI37" s="14">
        <f>IF('Données projet'!$A$62&gt;35,AI36+AH37-AQ36,IF(A37&lt;'Données projet'!$A$62,$AF$205^A37,IF(A37='Données projet'!$A$62,'Données projet'!$B$62,AI36+AH37-AQ36)))</f>
        <v>291</v>
      </c>
      <c r="AJ37" s="14">
        <f>AI37*VLOOKUP('Données projet'!$B$10,Paramètres!$A$1:$I$89,3,0)*VLOOKUP('Données projet'!$B$10,Paramètres!$A$1:$I$89,5,0)</f>
        <v>174.01800000000003</v>
      </c>
      <c r="AK37" s="14">
        <f t="shared" si="35"/>
        <v>43.988694800618951</v>
      </c>
      <c r="AL37" s="22">
        <f t="shared" si="4"/>
        <v>379.69499344441141</v>
      </c>
      <c r="AM37" s="62">
        <f t="shared" si="5"/>
        <v>640.75088542315927</v>
      </c>
      <c r="AN37" s="62">
        <f ca="1">AVERAGE(OFFSET($AM$3,0,0,'Données projet'!$E$10+1,1))-AVERAGE(OFFSET($H$3,0,0,'Données projet'!$E$10+1,1))</f>
        <v>215.34313023683225</v>
      </c>
      <c r="AO37" s="62">
        <f t="shared" si="36"/>
        <v>363.61374855311703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8.5737789226926306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1.096201846719584</v>
      </c>
      <c r="AX37" s="23">
        <f t="shared" si="6"/>
        <v>9.6699807694122146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61.19706144874943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61.19706144874943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61.19706144874943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61.19706144874943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61.19706144874943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61.19706144874943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61.19706144874943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61.19706144874943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2.1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7.7</v>
      </c>
      <c r="H38" s="70">
        <f t="shared" si="1"/>
        <v>205.84666666666666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61.34977275219137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12</v>
      </c>
      <c r="N38" s="14">
        <f>IF('Données projet'!$A$36&gt;35,N37+M38-V37,IF(A38&lt;'Données projet'!$A$36,$K$205^A38,IF(A38='Données projet'!$A$36,'Données projet'!$B$36,N37+M38-V37)))</f>
        <v>303</v>
      </c>
      <c r="O38" s="14">
        <f>N38*VLOOKUP('Données projet'!$B$9,Paramètres!$A$1:$I$89,3,0)*VLOOKUP('Données projet'!$B$9,Paramètres!$A$1:$I$89,5,0)</f>
        <v>181.19399999999999</v>
      </c>
      <c r="P38" s="14">
        <f t="shared" si="33"/>
        <v>45.587726866550426</v>
      </c>
      <c r="Q38" s="22">
        <f t="shared" si="53"/>
        <v>394.97817429257526</v>
      </c>
      <c r="R38" s="62">
        <f t="shared" si="0"/>
        <v>656.59400771727701</v>
      </c>
      <c r="S38" s="62">
        <f ca="1">AVERAGE(OFFSET($R$3,0,0,'Données projet'!$E$9+1,1))-AVERAGE(OFFSET($H$3,0,0,'Données projet'!$E$9+1,1))</f>
        <v>215.34313023683225</v>
      </c>
      <c r="T38" s="62">
        <f t="shared" si="34"/>
        <v>363.61374855311703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8.4056523475074023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0.77513175936463419</v>
      </c>
      <c r="AC38" s="24">
        <f t="shared" si="3"/>
        <v>9.1807841068720357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61.34977275219137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12</v>
      </c>
      <c r="AI38" s="14">
        <f>IF('Données projet'!$A$62&gt;35,AI37+AH38-AQ37,IF(A38&lt;'Données projet'!$A$62,$AF$205^A38,IF(A38='Données projet'!$A$62,'Données projet'!$B$62,AI37+AH38-AQ37)))</f>
        <v>303</v>
      </c>
      <c r="AJ38" s="14">
        <f>AI38*VLOOKUP('Données projet'!$B$10,Paramètres!$A$1:$I$89,3,0)*VLOOKUP('Données projet'!$B$10,Paramètres!$A$1:$I$89,5,0)</f>
        <v>181.19399999999999</v>
      </c>
      <c r="AK38" s="14">
        <f t="shared" si="35"/>
        <v>45.587726866550426</v>
      </c>
      <c r="AL38" s="22">
        <f t="shared" si="4"/>
        <v>394.97817429257526</v>
      </c>
      <c r="AM38" s="62">
        <f t="shared" si="5"/>
        <v>656.59400771727701</v>
      </c>
      <c r="AN38" s="62">
        <f ca="1">AVERAGE(OFFSET($AM$3,0,0,'Données projet'!$E$10+1,1))-AVERAGE(OFFSET($H$3,0,0,'Données projet'!$E$10+1,1))</f>
        <v>215.34313023683225</v>
      </c>
      <c r="AO38" s="62">
        <f t="shared" si="36"/>
        <v>363.61374855311703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8.4056523475074023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0.77513175936463419</v>
      </c>
      <c r="AX38" s="23">
        <f t="shared" si="6"/>
        <v>9.1807841068720357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61.34977275219137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61.34977275219137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61.34977275219137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61.34977275219137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61.34977275219137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61.34977275219137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61.34977275219137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61.34977275219137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2.1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7.7</v>
      </c>
      <c r="H39" s="70">
        <f t="shared" si="1"/>
        <v>205.84666666666666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61.499834855929919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>
        <f>VLOOKUP(A39,'Données projet'!$A$35:$I$55,2,0)</f>
        <v>315</v>
      </c>
      <c r="L39" s="13">
        <f>VLOOKUP(A39,'Données projet'!$A$35:$I$55,9,0)</f>
        <v>12</v>
      </c>
      <c r="M39" s="13">
        <f t="array" ref="M39">INDEX(L:L,MIN(IF(ISNUMBER(L39:L235),ROW(L39:L235),"")))</f>
        <v>12</v>
      </c>
      <c r="N39" s="14">
        <f>IF('Données projet'!$A$36&gt;35,N38+M39-V38,IF(A39&lt;'Données projet'!$A$36,$K$205^A39,IF(A39='Données projet'!$A$36,'Données projet'!$B$36,N38+M39-V38)))</f>
        <v>315</v>
      </c>
      <c r="O39" s="14">
        <f>N39*VLOOKUP('Données projet'!$B$9,Paramètres!$A$1:$I$89,3,0)*VLOOKUP('Données projet'!$B$9,Paramètres!$A$1:$I$89,5,0)</f>
        <v>188.37</v>
      </c>
      <c r="P39" s="14">
        <f t="shared" si="33"/>
        <v>47.179402486491298</v>
      </c>
      <c r="Q39" s="22">
        <f t="shared" si="53"/>
        <v>410.24854266397239</v>
      </c>
      <c r="R39" s="62">
        <f t="shared" si="0"/>
        <v>672.41460380238209</v>
      </c>
      <c r="S39" s="62">
        <f ca="1">AVERAGE(OFFSET($R$3,0,0,'Données projet'!$E$9+1,1))-AVERAGE(OFFSET($H$3,0,0,'Données projet'!$E$9+1,1))</f>
        <v>215.34313023683225</v>
      </c>
      <c r="T39" s="62">
        <f t="shared" si="34"/>
        <v>363.61374855311703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8.2408226319144706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0.54810092335979199</v>
      </c>
      <c r="AC39" s="24">
        <f t="shared" si="3"/>
        <v>8.7889235552742626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61.499834855929919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>
        <f>VLOOKUP(A39,'Données projet'!$A$61:$I$81,2,0)</f>
        <v>315</v>
      </c>
      <c r="AG39" s="13">
        <f>VLOOKUP(A39,'Données projet'!$A$61:$I$81,9,0)</f>
        <v>12</v>
      </c>
      <c r="AH39" s="13">
        <f t="array" ref="AH39">INDEX(AG:AG,MIN(IF(ISNUMBER(AG39:AG235),ROW(AG39:AG235),"")))</f>
        <v>12</v>
      </c>
      <c r="AI39" s="14">
        <f>IF('Données projet'!$A$62&gt;35,AI38+AH39-AQ38,IF(A39&lt;'Données projet'!$A$62,$AF$205^A39,IF(A39='Données projet'!$A$62,'Données projet'!$B$62,AI38+AH39-AQ38)))</f>
        <v>315</v>
      </c>
      <c r="AJ39" s="14">
        <f>AI39*VLOOKUP('Données projet'!$B$10,Paramètres!$A$1:$I$89,3,0)*VLOOKUP('Données projet'!$B$10,Paramètres!$A$1:$I$89,5,0)</f>
        <v>188.37</v>
      </c>
      <c r="AK39" s="14">
        <f t="shared" si="35"/>
        <v>47.179402486491298</v>
      </c>
      <c r="AL39" s="22">
        <f t="shared" si="4"/>
        <v>410.24854266397239</v>
      </c>
      <c r="AM39" s="62">
        <f t="shared" si="5"/>
        <v>672.41460380238209</v>
      </c>
      <c r="AN39" s="62">
        <f ca="1">AVERAGE(OFFSET($AM$3,0,0,'Données projet'!$E$10+1,1))-AVERAGE(OFFSET($H$3,0,0,'Données projet'!$E$10+1,1))</f>
        <v>215.34313023683225</v>
      </c>
      <c r="AO39" s="62">
        <f t="shared" si="36"/>
        <v>363.61374855311703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8.2408226319144706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0.54810092335979199</v>
      </c>
      <c r="AX39" s="23">
        <f t="shared" si="6"/>
        <v>8.7889235552742626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61.499834855929919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61.499834855929919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61.499834855929919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61.499834855929919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61.499834855929919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61.499834855929919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61.499834855929919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61.499834855929919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2.1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7.7</v>
      </c>
      <c r="H40" s="70">
        <f t="shared" si="1"/>
        <v>205.84666666666666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61.647293717657206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11.5</v>
      </c>
      <c r="N40" s="14">
        <f>IF('Données projet'!$A$36&gt;35,N39+M40-V39,IF(A40&lt;'Données projet'!$A$36,$K$205^A40,IF(A40='Données projet'!$A$36,'Données projet'!$B$36,N39+M40-V39)))</f>
        <v>326.5</v>
      </c>
      <c r="O40" s="14">
        <f>N40*VLOOKUP('Données projet'!$B$9,Paramètres!$A$1:$I$89,3,0)*VLOOKUP('Données projet'!$B$9,Paramètres!$A$1:$I$89,5,0)</f>
        <v>195.24700000000001</v>
      </c>
      <c r="P40" s="14">
        <f t="shared" si="33"/>
        <v>48.698144481561314</v>
      </c>
      <c r="Q40" s="22">
        <f t="shared" si="53"/>
        <v>424.87112663871932</v>
      </c>
      <c r="R40" s="62">
        <f t="shared" si="0"/>
        <v>687.5778702701291</v>
      </c>
      <c r="S40" s="62">
        <f ca="1">AVERAGE(OFFSET($R$3,0,0,'Données projet'!$E$9+1,1))-AVERAGE(OFFSET($H$3,0,0,'Données projet'!$E$9+1,1))</f>
        <v>215.34313023683225</v>
      </c>
      <c r="T40" s="62">
        <f t="shared" si="34"/>
        <v>363.61374855311703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8.079225126508117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0.38756587968231709</v>
      </c>
      <c r="AC40" s="24">
        <f t="shared" si="3"/>
        <v>8.4667910061904337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61.647293717657206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11.5</v>
      </c>
      <c r="AI40" s="14">
        <f>IF('Données projet'!$A$62&gt;35,AI39+AH40-AQ39,IF(A40&lt;'Données projet'!$A$62,$AF$205^A40,IF(A40='Données projet'!$A$62,'Données projet'!$B$62,AI39+AH40-AQ39)))</f>
        <v>326.5</v>
      </c>
      <c r="AJ40" s="14">
        <f>AI40*VLOOKUP('Données projet'!$B$10,Paramètres!$A$1:$I$89,3,0)*VLOOKUP('Données projet'!$B$10,Paramètres!$A$1:$I$89,5,0)</f>
        <v>195.24700000000001</v>
      </c>
      <c r="AK40" s="14">
        <f t="shared" si="35"/>
        <v>48.698144481561314</v>
      </c>
      <c r="AL40" s="22">
        <f t="shared" si="4"/>
        <v>424.87112663871932</v>
      </c>
      <c r="AM40" s="62">
        <f t="shared" si="5"/>
        <v>687.5778702701291</v>
      </c>
      <c r="AN40" s="62">
        <f ca="1">AVERAGE(OFFSET($AM$3,0,0,'Données projet'!$E$10+1,1))-AVERAGE(OFFSET($H$3,0,0,'Données projet'!$E$10+1,1))</f>
        <v>215.34313023683225</v>
      </c>
      <c r="AO40" s="62">
        <f t="shared" si="36"/>
        <v>363.61374855311703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8.079225126508117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0.38756587968231709</v>
      </c>
      <c r="AX40" s="23">
        <f t="shared" si="6"/>
        <v>8.4667910061904337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61.647293717657206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61.647293717657206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61.647293717657206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61.647293717657206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61.647293717657206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61.647293717657206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61.647293717657206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61.647293717657206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2.1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7.7</v>
      </c>
      <c r="H41" s="70">
        <f t="shared" si="1"/>
        <v>205.84666666666666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61.792194497802143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11.5</v>
      </c>
      <c r="M41" s="13">
        <f t="array" ref="M41">INDEX(L:L,MIN(IF(ISNUMBER(L41:L237),ROW(L41:L237),"")))</f>
        <v>11.5</v>
      </c>
      <c r="N41" s="14">
        <f>IF('Données projet'!$A$36&gt;35,N40+M41-V40,IF(A41&lt;'Données projet'!$A$36,$K$205^A41,IF(A41='Données projet'!$A$36,'Données projet'!$B$36,N40+M41-V40)))</f>
        <v>338</v>
      </c>
      <c r="O41" s="14">
        <f>N41*VLOOKUP('Données projet'!$B$9,Paramètres!$A$1:$I$89,3,0)*VLOOKUP('Données projet'!$B$9,Paramètres!$A$1:$I$89,5,0)</f>
        <v>202.12400000000002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702.7209322631038</v>
      </c>
      <c r="S41" s="62">
        <f ca="1">AVERAGE(OFFSET($R$3,0,0,'Données projet'!$E$9+1,1))-AVERAGE(OFFSET($H$3,0,0,'Données projet'!$E$9+1,1))</f>
        <v>215.34313023683225</v>
      </c>
      <c r="T41" s="62">
        <f t="shared" si="34"/>
        <v>363.61374855311703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92.381908356865452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68.929446733251709</v>
      </c>
      <c r="AC41" s="24">
        <f t="shared" si="3"/>
        <v>161.31135509011716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61.792194497802143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>
        <f>VLOOKUP(A41,'Données projet'!$A$61:$I$81,2,0)</f>
        <v>338</v>
      </c>
      <c r="AG41" s="13">
        <f>VLOOKUP(A41,'Données projet'!$A$61:$I$81,9,0)</f>
        <v>11.5</v>
      </c>
      <c r="AH41" s="13">
        <f t="array" ref="AH41">INDEX(AG:AG,MIN(IF(ISNUMBER(AG41:AG237),ROW(AG41:AG237),"")))</f>
        <v>11.5</v>
      </c>
      <c r="AI41" s="14">
        <f>IF('Données projet'!$A$62&gt;35,AI40+AH41-AQ40,IF(A41&lt;'Données projet'!$A$62,$AF$205^A41,IF(A41='Données projet'!$A$62,'Données projet'!$B$62,AI40+AH41-AQ40)))</f>
        <v>338</v>
      </c>
      <c r="AJ41" s="14">
        <f>AI41*VLOOKUP('Données projet'!$B$10,Paramètres!$A$1:$I$89,3,0)*VLOOKUP('Données projet'!$B$10,Paramètres!$A$1:$I$89,5,0)</f>
        <v>202.12400000000002</v>
      </c>
      <c r="AK41" s="14">
        <f t="shared" si="35"/>
        <v>50.210671256169846</v>
      </c>
      <c r="AL41" s="22">
        <f t="shared" si="4"/>
        <v>439.48288577116256</v>
      </c>
      <c r="AM41" s="62">
        <f t="shared" si="5"/>
        <v>702.7209322631038</v>
      </c>
      <c r="AN41" s="62">
        <f ca="1">AVERAGE(OFFSET($AM$3,0,0,'Données projet'!$E$10+1,1))-AVERAGE(OFFSET($H$3,0,0,'Données projet'!$E$10+1,1))</f>
        <v>215.34313023683225</v>
      </c>
      <c r="AO41" s="62">
        <f t="shared" si="36"/>
        <v>363.61374855311703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338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7.9207964496180363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0.274050461679896</v>
      </c>
      <c r="AX41" s="23">
        <f t="shared" si="6"/>
        <v>8.1948469112979332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61.792194497802143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61.792194497802143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61.792194497802143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61.792194497802143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61.792194497802143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61.792194497802143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61.792194497802143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61.792194497802143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2.1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7.7</v>
      </c>
      <c r="H42" s="70">
        <f t="shared" si="1"/>
        <v>205.84666666666666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61.934581573361193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215.34313023683225</v>
      </c>
      <c r="T42" s="62">
        <f t="shared" si="34"/>
        <v>363.61374855311703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90.57035548138758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48.740479208519204</v>
      </c>
      <c r="AC42" s="24">
        <f t="shared" si="3"/>
        <v>139.31083468990678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61.934581573361193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215.34313023683225</v>
      </c>
      <c r="AO42" s="62">
        <f t="shared" si="36"/>
        <v>363.61374855311703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7.7654744624498182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0.19378293984115855</v>
      </c>
      <c r="AX42" s="23">
        <f t="shared" si="6"/>
        <v>7.9592574022909766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61.934581573361193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61.934581573361193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61.934581573361193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61.934581573361193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61.934581573361193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61.934581573361193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61.934581573361193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61.934581573361193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2.1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7.7</v>
      </c>
      <c r="H43" s="70">
        <f t="shared" si="1"/>
        <v>205.84666666666666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62.0744985514891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215.34313023683225</v>
      </c>
      <c r="T43" s="62">
        <f t="shared" si="34"/>
        <v>363.61374855311703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88.794326052859674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34.464723366625861</v>
      </c>
      <c r="AC43" s="24">
        <f t="shared" si="3"/>
        <v>123.25904941948554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62.0744985514891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215.34313023683225</v>
      </c>
      <c r="AO43" s="62">
        <f t="shared" si="36"/>
        <v>363.61374855311703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7.6131982447129118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0.137025230839948</v>
      </c>
      <c r="AX43" s="23">
        <f t="shared" si="6"/>
        <v>7.7502234755528594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62.0744985514891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62.0744985514891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62.0744985514891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62.0744985514891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62.0744985514891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62.0744985514891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62.0744985514891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62.0744985514891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2.1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7.7</v>
      </c>
      <c r="H44" s="70">
        <f t="shared" si="1"/>
        <v>205.84666666666666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62.211988282853987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215.34313023683225</v>
      </c>
      <c r="T44" s="62">
        <f t="shared" si="34"/>
        <v>363.61374855311703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87.053123478154205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24.370239604259606</v>
      </c>
      <c r="AC44" s="24">
        <f t="shared" si="3"/>
        <v>111.42336308241381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62.211988282853987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215.34313023683225</v>
      </c>
      <c r="AO44" s="62">
        <f t="shared" si="36"/>
        <v>363.61374855311703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7.4639080707265046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9.6891469920579273E-2</v>
      </c>
      <c r="AX44" s="23">
        <f t="shared" si="6"/>
        <v>7.5607995406470838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62.211988282853987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62.211988282853987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62.211988282853987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62.211988282853987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62.211988282853987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62.211988282853987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62.211988282853987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62.211988282853987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2.1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7.7</v>
      </c>
      <c r="H45" s="70">
        <f t="shared" si="1"/>
        <v>205.84666666666666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62.347092874760683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215.34313023683225</v>
      </c>
      <c r="T45" s="62">
        <f t="shared" si="34"/>
        <v>363.61374855311703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85.346064823910012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17.232361683312934</v>
      </c>
      <c r="AC45" s="24">
        <f t="shared" si="3"/>
        <v>102.57842650722294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62.347092874760683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215.34313023683225</v>
      </c>
      <c r="AO45" s="62">
        <f t="shared" si="36"/>
        <v>363.61374855311703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7.3175453859939559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6.8512615419973999E-2</v>
      </c>
      <c r="AX45" s="23">
        <f t="shared" si="6"/>
        <v>7.3860580014139297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62.347092874760683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62.347092874760683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62.347092874760683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62.347092874760683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62.347092874760683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62.347092874760683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62.347092874760683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62.347092874760683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2.1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7.7</v>
      </c>
      <c r="H46" s="70">
        <f t="shared" si="1"/>
        <v>205.84666666666666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62.47985370404642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215.34313023683225</v>
      </c>
      <c r="T46" s="62">
        <f t="shared" si="34"/>
        <v>363.61374855311703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83.672480548672581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12.185119802129806</v>
      </c>
      <c r="AC46" s="24">
        <f t="shared" si="3"/>
        <v>95.857600350802386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62.47985370404642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215.34313023683225</v>
      </c>
      <c r="AO46" s="62">
        <f t="shared" si="36"/>
        <v>363.61374855311703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7.1740527842365891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4.8445734960289637E-2</v>
      </c>
      <c r="AX46" s="23">
        <f t="shared" si="6"/>
        <v>7.2224985191968791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62.47985370404642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62.47985370404642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62.47985370404642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62.47985370404642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62.47985370404642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62.47985370404642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62.47985370404642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62.47985370404642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2.1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7.7</v>
      </c>
      <c r="H47" s="70">
        <f t="shared" si="1"/>
        <v>205.84666666666666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62.610311429752791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215.34313023683225</v>
      </c>
      <c r="T47" s="62">
        <f t="shared" si="34"/>
        <v>363.61374855311703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82.031714240286945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8.6161808416564689</v>
      </c>
      <c r="AC47" s="24">
        <f t="shared" si="3"/>
        <v>90.647895081943417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62.610311429752791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215.34313023683225</v>
      </c>
      <c r="AO47" s="62">
        <f t="shared" si="36"/>
        <v>363.61374855311703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7.0333739848778398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3.4256307709986999E-2</v>
      </c>
      <c r="AX47" s="23">
        <f t="shared" si="6"/>
        <v>7.0676302925878272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62.610311429752791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62.610311429752791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62.610311429752791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62.610311429752791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62.610311429752791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62.610311429752791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62.610311429752791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62.610311429752791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2.1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7.7</v>
      </c>
      <c r="H48" s="70">
        <f t="shared" si="1"/>
        <v>205.84666666666666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62.738506005577946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215.34313023683225</v>
      </c>
      <c r="T48" s="62">
        <f t="shared" si="34"/>
        <v>363.61374855311703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80.423122358440111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6.0925599010649041</v>
      </c>
      <c r="AC48" s="24">
        <f t="shared" si="3"/>
        <v>86.515682259505013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62.738506005577946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215.34313023683225</v>
      </c>
      <c r="AO48" s="62">
        <f t="shared" si="36"/>
        <v>363.61374855311703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6.8954538109689203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2.4222867480144818E-2</v>
      </c>
      <c r="AX48" s="23">
        <f t="shared" si="6"/>
        <v>6.9196766784490649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62.738506005577946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62.738506005577946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62.738506005577946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62.738506005577946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62.738506005577946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62.738506005577946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62.738506005577946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62.738506005577946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2.1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7.7</v>
      </c>
      <c r="H49" s="70">
        <f t="shared" si="1"/>
        <v>205.84666666666666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62.864476692112667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215.34313023683225</v>
      </c>
      <c r="T49" s="62">
        <f t="shared" si="34"/>
        <v>363.61374855311703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78.846073982252136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4.3080904208282353</v>
      </c>
      <c r="AC49" s="24">
        <f t="shared" si="3"/>
        <v>83.154164403080372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62.864476692112667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215.34313023683225</v>
      </c>
      <c r="AO49" s="62">
        <f t="shared" si="36"/>
        <v>363.61374855311703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6.7602381675473548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1.71281538549935E-2</v>
      </c>
      <c r="AX49" s="23">
        <f t="shared" si="6"/>
        <v>6.7773663214023481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62.864476692112667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62.864476692112667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62.864476692112667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62.864476692112667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62.864476692112667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62.864476692112667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62.864476692112667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62.864476692112667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2.1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7.7</v>
      </c>
      <c r="H50" s="70">
        <f t="shared" si="1"/>
        <v>205.84666666666666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62.988262068864273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215.34313023683225</v>
      </c>
      <c r="T50" s="62">
        <f t="shared" si="34"/>
        <v>363.61374855311703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77.299950562816676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3.0462799505324525</v>
      </c>
      <c r="AC50" s="24">
        <f t="shared" si="3"/>
        <v>80.346230513349127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62.988262068864273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215.34313023683225</v>
      </c>
      <c r="AO50" s="62">
        <f t="shared" si="36"/>
        <v>363.61374855311703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6.6276740204198878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1.2111433740072409E-2</v>
      </c>
      <c r="AX50" s="23">
        <f t="shared" si="6"/>
        <v>6.6397854541599601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62.988262068864273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62.988262068864273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62.988262068864273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62.988262068864273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62.988262068864273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62.988262068864273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62.988262068864273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62.988262068864273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2.1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7.7</v>
      </c>
      <c r="H51" s="70">
        <f t="shared" si="1"/>
        <v>205.84666666666666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63.109900046071886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215.34313023683225</v>
      </c>
      <c r="T51" s="62">
        <f t="shared" si="34"/>
        <v>363.61374855311703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75.784145680594179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2.1540452104141177</v>
      </c>
      <c r="AC51" s="24">
        <f t="shared" si="3"/>
        <v>77.93819089100829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63.109900046071886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215.34313023683225</v>
      </c>
      <c r="AO51" s="62">
        <f t="shared" si="36"/>
        <v>363.61374855311703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6.4977093753614446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8.5640769274967499E-3</v>
      </c>
      <c r="AX51" s="23">
        <f t="shared" si="6"/>
        <v>6.5062734522889416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63.109900046071886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63.109900046071886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63.109900046071886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63.109900046071886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63.109900046071886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63.109900046071886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63.109900046071886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63.109900046071886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2.1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7.7</v>
      </c>
      <c r="H52" s="70">
        <f t="shared" si="1"/>
        <v>205.84666666666666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63.22942787631672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215.34313023683225</v>
      </c>
      <c r="T52" s="62">
        <f t="shared" si="34"/>
        <v>363.61374855311703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74.298064807562369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1.5231399752662262</v>
      </c>
      <c r="AC52" s="24">
        <f t="shared" si="3"/>
        <v>75.821204782828602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63.22942787631672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215.34313023683225</v>
      </c>
      <c r="AO52" s="62">
        <f t="shared" si="36"/>
        <v>363.61374855311703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6.3702932577219906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6.0557168700362046E-3</v>
      </c>
      <c r="AX52" s="23">
        <f t="shared" si="6"/>
        <v>6.3763489745920268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63.22942787631672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63.22942787631672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63.22942787631672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63.22942787631672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63.22942787631672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63.22942787631672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63.22942787631672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63.22942787631672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2.1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7.7</v>
      </c>
      <c r="H53" s="70">
        <f t="shared" si="1"/>
        <v>205.84666666666666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63.346882165931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215.34313023683225</v>
      </c>
      <c r="T53" s="62">
        <f t="shared" si="34"/>
        <v>363.61374855311703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72.841125074030884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1.0770226052070588</v>
      </c>
      <c r="AC53" s="24">
        <f t="shared" si="3"/>
        <v>73.918147679237947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63.346882165931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215.34313023683225</v>
      </c>
      <c r="AO53" s="62">
        <f t="shared" si="36"/>
        <v>363.61374855311703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6.2453756924332886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4.2820384637483749E-3</v>
      </c>
      <c r="AX53" s="23">
        <f t="shared" si="6"/>
        <v>6.2496577308970371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63.346882165931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63.346882165931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63.346882165931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63.346882165931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63.346882165931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63.346882165931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63.346882165931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63.346882165931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2.1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7.7</v>
      </c>
      <c r="H54" s="70">
        <f t="shared" si="1"/>
        <v>205.84666666666666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63.462298886208927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215.34313023683225</v>
      </c>
      <c r="T54" s="62">
        <f t="shared" si="34"/>
        <v>363.61374855311703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71.412755040028458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0.76156998763311312</v>
      </c>
      <c r="AC54" s="24">
        <f t="shared" si="3"/>
        <v>72.174325027661567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63.462298886208927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215.34313023683225</v>
      </c>
      <c r="AO54" s="62">
        <f t="shared" si="36"/>
        <v>363.61374855311703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6.1229076844077071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3.0278584350181023E-3</v>
      </c>
      <c r="AX54" s="23">
        <f t="shared" si="6"/>
        <v>6.1259355428427256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63.462298886208927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63.462298886208927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63.462298886208927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63.462298886208927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63.462298886208927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63.462298886208927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63.462298886208927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63.462298886208927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2.1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7.7</v>
      </c>
      <c r="H55" s="70">
        <f t="shared" si="1"/>
        <v>205.84666666666666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63.575713384423167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215.34313023683225</v>
      </c>
      <c r="T55" s="62">
        <f t="shared" si="34"/>
        <v>363.61374855311703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70.012394471173124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0.53851130260352942</v>
      </c>
      <c r="AC55" s="24">
        <f t="shared" si="3"/>
        <v>70.550905773776648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63.575713384423167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215.34313023683225</v>
      </c>
      <c r="AO55" s="62">
        <f t="shared" si="36"/>
        <v>363.61374855311703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6.0028411993213977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2.1410192318741875E-3</v>
      </c>
      <c r="AX55" s="23">
        <f t="shared" si="6"/>
        <v>6.0049822185532715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63.575713384423167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63.575713384423167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63.575713384423167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63.575713384423167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63.575713384423167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63.575713384423167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63.575713384423167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63.575713384423167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2.1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7.7</v>
      </c>
      <c r="H56" s="70">
        <f t="shared" si="1"/>
        <v>205.84666666666666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63.68716039465022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215.34313023683225</v>
      </c>
      <c r="T56" s="62">
        <f t="shared" si="34"/>
        <v>363.61374855311703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68.639494118937435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0.38078499381655656</v>
      </c>
      <c r="AC56" s="24">
        <f t="shared" si="3"/>
        <v>69.020279112753997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63.68716039465022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215.34313023683225</v>
      </c>
      <c r="AO56" s="62">
        <f t="shared" si="36"/>
        <v>363.61374855311703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5.8851291447743064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1.5139292175090511E-3</v>
      </c>
      <c r="AX56" s="23">
        <f t="shared" si="6"/>
        <v>5.8866430739918156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63.68716039465022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63.68716039465022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63.68716039465022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63.68716039465022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63.68716039465022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63.68716039465022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63.68716039465022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63.68716039465022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2.1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7.7</v>
      </c>
      <c r="H57" s="70">
        <f t="shared" si="1"/>
        <v>205.84666666666666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63.796674048408015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215.34313023683225</v>
      </c>
      <c r="T57" s="62">
        <f t="shared" si="34"/>
        <v>363.61374855311703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67.293515505222558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0.26925565130176471</v>
      </c>
      <c r="AC57" s="24">
        <f t="shared" si="3"/>
        <v>67.56277115652432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63.796674048408015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215.34313023683225</v>
      </c>
      <c r="AO57" s="62">
        <f t="shared" si="36"/>
        <v>363.61374855311703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5.7697253518196199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1.0705096159370937E-3</v>
      </c>
      <c r="AX57" s="23">
        <f t="shared" si="6"/>
        <v>5.7707958614355572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63.796674048408015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63.796674048408015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63.796674048408015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63.796674048408015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63.796674048408015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63.796674048408015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63.796674048408015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63.796674048408015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2.1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7.7</v>
      </c>
      <c r="H58" s="70">
        <f t="shared" si="1"/>
        <v>205.84666666666666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63.904287885108971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215.34313023683225</v>
      </c>
      <c r="T58" s="62">
        <f t="shared" si="34"/>
        <v>363.61374855311703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65.97393071115674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0.19039249690827828</v>
      </c>
      <c r="AC58" s="24">
        <f t="shared" si="3"/>
        <v>66.164323208065014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63.904287885108971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215.34313023683225</v>
      </c>
      <c r="AO58" s="62">
        <f t="shared" si="36"/>
        <v>363.61374855311703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5.6565845568554112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7.5696460875452557E-4</v>
      </c>
      <c r="AX58" s="23">
        <f t="shared" si="6"/>
        <v>5.6573415214641658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63.904287885108971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63.904287885108971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63.904287885108971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63.904287885108971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63.904287885108971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63.904287885108971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63.904287885108971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63.904287885108971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2.1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7.7</v>
      </c>
      <c r="H59" s="70">
        <f t="shared" si="1"/>
        <v>205.84666666666666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64.010034862331651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215.34313023683225</v>
      </c>
      <c r="T59" s="62">
        <f t="shared" si="34"/>
        <v>363.61374855311703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64.680222170035307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0.13462782565088235</v>
      </c>
      <c r="AC59" s="24">
        <f t="shared" si="3"/>
        <v>64.814849995686188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64.010034862331651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215.34313023683225</v>
      </c>
      <c r="AO59" s="62">
        <f t="shared" si="36"/>
        <v>363.61374855311703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5.5456623838713801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5.3525480796854687E-4</v>
      </c>
      <c r="AX59" s="23">
        <f t="shared" si="6"/>
        <v>5.5461976386793488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64.010034862331651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64.010034862331651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64.010034862331651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64.010034862331651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64.010034862331651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64.010034862331651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64.010034862331651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64.010034862331651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2.1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7.7</v>
      </c>
      <c r="H60" s="70">
        <f t="shared" si="1"/>
        <v>205.84666666666666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64.113947365914356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215.34313023683225</v>
      </c>
      <c r="T60" s="62">
        <f t="shared" si="34"/>
        <v>363.61374855311703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63.411882464320975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9.519624845413914E-2</v>
      </c>
      <c r="AC60" s="24">
        <f t="shared" si="3"/>
        <v>63.507078712775112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64.113947365914356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215.34313023683225</v>
      </c>
      <c r="AO60" s="62">
        <f t="shared" si="36"/>
        <v>363.61374855311703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5.43691532704372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3.7848230437726279E-4</v>
      </c>
      <c r="AX60" s="23">
        <f t="shared" si="6"/>
        <v>5.4372938093480974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64.113947365914356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64.113947365914356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64.113947365914356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64.113947365914356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64.113947365914356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64.113947365914356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64.113947365914356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64.113947365914356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2.1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7.7</v>
      </c>
      <c r="H61" s="70">
        <f t="shared" si="1"/>
        <v>205.84666666666666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64.216057219873449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215.34313023683225</v>
      </c>
      <c r="T61" s="62">
        <f t="shared" si="34"/>
        <v>363.61374855311703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62.168414126624867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6.7313912825441177E-2</v>
      </c>
      <c r="AC61" s="24">
        <f t="shared" si="3"/>
        <v>62.235728039450308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64.216057219873449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215.34313023683225</v>
      </c>
      <c r="AO61" s="62">
        <f t="shared" si="36"/>
        <v>363.61374855311703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5.3303007336712955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2.6762740398427343E-4</v>
      </c>
      <c r="AX61" s="23">
        <f t="shared" si="6"/>
        <v>5.3305683610752794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64.216057219873449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64.216057219873449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64.216057219873449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64.216057219873449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64.216057219873449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64.216057219873449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64.216057219873449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64.216057219873449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2.1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7.7</v>
      </c>
      <c r="H62" s="70">
        <f t="shared" si="1"/>
        <v>205.84666666666666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64.316395696149783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215.34313023683225</v>
      </c>
      <c r="T62" s="62">
        <f t="shared" si="34"/>
        <v>363.61374855311703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60.949329444590184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4.759812422706957E-2</v>
      </c>
      <c r="AC62" s="24">
        <f t="shared" si="3"/>
        <v>60.996927568817256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64.316395696149783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215.34313023683225</v>
      </c>
      <c r="AO62" s="62">
        <f t="shared" si="36"/>
        <v>363.61374855311703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5.2257767874464234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1.8924115218863139E-4</v>
      </c>
      <c r="AX62" s="23">
        <f t="shared" si="6"/>
        <v>5.225966028598612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64.316395696149783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64.316395696149783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64.316395696149783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64.316395696149783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64.316395696149783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64.316395696149783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64.316395696149783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64.316395696149783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2.1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7.7</v>
      </c>
      <c r="H63" s="70">
        <f t="shared" si="1"/>
        <v>205.84666666666666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64.414993524185959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215.34313023683225</v>
      </c>
      <c r="T63" s="62">
        <f t="shared" si="34"/>
        <v>363.61374855311703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59.754150269601965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3.3656956412720589E-2</v>
      </c>
      <c r="AC63" s="24">
        <f t="shared" si="3"/>
        <v>59.787807226014685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64.414993524185959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215.34313023683225</v>
      </c>
      <c r="AO63" s="62">
        <f t="shared" si="36"/>
        <v>363.61374855311703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5.1233024920537087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1.3381370199213672E-4</v>
      </c>
      <c r="AX63" s="23">
        <f t="shared" si="6"/>
        <v>5.1234363057557006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64.414993524185959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64.414993524185959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64.414993524185959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64.414993524185959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64.414993524185959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64.414993524185959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64.414993524185959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64.414993524185959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2.1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7.7</v>
      </c>
      <c r="H64" s="70">
        <f t="shared" si="1"/>
        <v>205.84666666666666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64.511880900337417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215.34313023683225</v>
      </c>
      <c r="T64" s="62">
        <f t="shared" si="34"/>
        <v>363.61374855311703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58.582407829247948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2.3799062113534785E-2</v>
      </c>
      <c r="AC64" s="24">
        <f t="shared" si="3"/>
        <v>58.606206891361481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64.511880900337417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215.34313023683225</v>
      </c>
      <c r="AO64" s="62">
        <f t="shared" si="36"/>
        <v>363.61374855311703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5.0228376550904965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9.4620576094315697E-5</v>
      </c>
      <c r="AX64" s="23">
        <f t="shared" si="6"/>
        <v>5.0229322756665908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64.511880900337417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64.511880900337417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64.511880900337417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64.511880900337417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64.511880900337417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64.511880900337417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64.511880900337417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64.511880900337417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2.1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7.7</v>
      </c>
      <c r="H65" s="70">
        <f t="shared" si="1"/>
        <v>205.84666666666666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64.607087497120375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215.34313023683225</v>
      </c>
      <c r="T65" s="62">
        <f t="shared" si="34"/>
        <v>363.61374855311703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57.433642543456955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1.6828478206360294E-2</v>
      </c>
      <c r="AC65" s="24">
        <f t="shared" si="3"/>
        <v>57.450471021663319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64.607087497120375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215.34313023683225</v>
      </c>
      <c r="AO65" s="62">
        <f t="shared" si="36"/>
        <v>363.61374855311703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4.924342872302633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6.6906850996068358E-5</v>
      </c>
      <c r="AX65" s="23">
        <f t="shared" si="6"/>
        <v>4.9244097791536294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64.607087497120375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64.607087497120375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64.607087497120375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64.607087497120375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64.607087497120375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64.607087497120375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64.607087497120375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64.607087497120375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2.1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7.7</v>
      </c>
      <c r="H66" s="70">
        <f t="shared" si="1"/>
        <v>205.84666666666666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64.700642472299208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215.34313023683225</v>
      </c>
      <c r="T66" s="62">
        <f t="shared" si="34"/>
        <v>363.61374855311703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56.307403844242685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1.1899531056767393E-2</v>
      </c>
      <c r="AC66" s="24">
        <f t="shared" si="3"/>
        <v>56.319303375299455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64.700642472299208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215.34313023683225</v>
      </c>
      <c r="AO66" s="62">
        <f t="shared" si="36"/>
        <v>363.61374855311703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4.8277795121293545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4.7310288047157848E-5</v>
      </c>
      <c r="AX66" s="23">
        <f t="shared" si="6"/>
        <v>4.8278268224174017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64.700642472299208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64.700642472299208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64.700642472299208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64.700642472299208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64.700642472299208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64.700642472299208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64.700642472299208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64.700642472299208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2.1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7.7</v>
      </c>
      <c r="H67" s="70">
        <f t="shared" si="1"/>
        <v>205.84666666666666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64.792574477816288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215.34313023683225</v>
      </c>
      <c r="T67" s="62">
        <f t="shared" si="34"/>
        <v>363.61374855311703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55.20324999898223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8.4142391031801472E-3</v>
      </c>
      <c r="AC67" s="24">
        <f t="shared" si="3"/>
        <v>55.211664238085412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64.792574477816288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215.34313023683225</v>
      </c>
      <c r="AO67" s="62">
        <f t="shared" si="36"/>
        <v>363.61374855311703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4.7331097005512399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3.3453425498034179E-5</v>
      </c>
      <c r="AX67" s="23">
        <f t="shared" si="6"/>
        <v>4.7331431539767381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64.792574477816288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64.792574477816288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64.792574477816288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64.792574477816288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64.792574477816288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64.792574477816288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64.792574477816288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64.792574477816288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2.1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7.7</v>
      </c>
      <c r="H68" s="70">
        <f t="shared" ref="H68:H131" si="56">(B68+E68+F68)*44/12+(C68+D68)*0.475*44/12</f>
        <v>205.84666666666666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64.882911668566805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215.34313023683225</v>
      </c>
      <c r="T68" s="62">
        <f t="shared" si="34"/>
        <v>363.61374855311703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54.120747937159983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5.9497655283836963E-3</v>
      </c>
      <c r="AC68" s="24">
        <f t="shared" ref="AC68:AC131" si="57">SUM(Z68:AB68)</f>
        <v>54.126697702688368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64.882911668566805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215.34313023683225</v>
      </c>
      <c r="AO68" s="62">
        <f t="shared" si="36"/>
        <v>363.61374855311703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4.6402963062352889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2.3655144023578924E-5</v>
      </c>
      <c r="AX68" s="23">
        <f t="shared" ref="AX68:AX131" si="60">SUM(AU68:AW68)</f>
        <v>4.640319961379312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64.882911668566805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64.882911668566805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64.882911668566805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64.882911668566805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64.882911668566805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64.882911668566805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64.882911668566805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64.882911668566805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2.1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7.7</v>
      </c>
      <c r="H69" s="70">
        <f t="shared" si="56"/>
        <v>205.84666666666666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64.971681711021517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215.34313023683225</v>
      </c>
      <c r="T69" s="62">
        <f t="shared" ref="T69:T132" si="88">$T$3</f>
        <v>363.61374855311703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53.059473080509008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4.2071195515900736E-3</v>
      </c>
      <c r="AC69" s="24">
        <f t="shared" si="57"/>
        <v>53.063680200060595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64.971681711021517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215.34313023683225</v>
      </c>
      <c r="AO69" s="62">
        <f t="shared" ref="AO69:AO132" si="90">$AO$3</f>
        <v>363.61374855311703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4.5493029259712925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1.672671274901709E-5</v>
      </c>
      <c r="AX69" s="23">
        <f t="shared" si="60"/>
        <v>4.5493196526840416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64.971681711021517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64.971681711021517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64.971681711021517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64.971681711021517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64.971681711021517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64.971681711021517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64.971681711021517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64.971681711021517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2.1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7.7</v>
      </c>
      <c r="H70" s="70">
        <f t="shared" si="56"/>
        <v>205.84666666666666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65.058911791699714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215.34313023683225</v>
      </c>
      <c r="T70" s="62">
        <f t="shared" si="88"/>
        <v>363.61374855311703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52.019009176483216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2.9748827641918481E-3</v>
      </c>
      <c r="AC70" s="24">
        <f t="shared" si="57"/>
        <v>52.021984059247409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65.058911791699714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215.34313023683225</v>
      </c>
      <c r="AO70" s="62">
        <f t="shared" si="90"/>
        <v>363.61374855311703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4.4600938703937913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1.1827572011789462E-5</v>
      </c>
      <c r="AX70" s="23">
        <f t="shared" si="60"/>
        <v>4.4601056979658029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65.058911791699714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65.058911791699714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65.058911791699714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65.058911791699714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65.058911791699714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65.058911791699714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65.058911791699714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65.058911791699714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2.1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7.7</v>
      </c>
      <c r="H71" s="70">
        <f t="shared" si="56"/>
        <v>205.84666666666666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65.1446286254954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215.34313023683225</v>
      </c>
      <c r="T71" s="62">
        <f t="shared" si="88"/>
        <v>363.61374855311703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50.998948134995054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2.1035597757950368E-3</v>
      </c>
      <c r="AC71" s="24">
        <f t="shared" si="57"/>
        <v>51.001051694770851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65.1446286254954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215.34313023683225</v>
      </c>
      <c r="AO71" s="62">
        <f t="shared" si="90"/>
        <v>363.61374855311703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4.3726341499840142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8.3633563745085448E-6</v>
      </c>
      <c r="AX71" s="23">
        <f t="shared" si="60"/>
        <v>4.3726425133403888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65.1446286254954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65.1446286254954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65.1446286254954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65.1446286254954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65.1446286254954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65.1446286254954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65.1446286254954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65.1446286254954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2.1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7.7</v>
      </c>
      <c r="H72" s="70">
        <f t="shared" si="56"/>
        <v>205.84666666666666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65.228858463858856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215.34313023683225</v>
      </c>
      <c r="T72" s="62">
        <f t="shared" si="88"/>
        <v>363.61374855311703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49.998889868354674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1.4874413820959241E-3</v>
      </c>
      <c r="AC72" s="24">
        <f t="shared" si="57"/>
        <v>50.00037730973677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65.228858463858856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215.34313023683225</v>
      </c>
      <c r="AO72" s="62">
        <f t="shared" si="90"/>
        <v>363.61374855311703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4.2868894613463109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5.913786005894731E-6</v>
      </c>
      <c r="AX72" s="23">
        <f t="shared" si="60"/>
        <v>4.2868953751323167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65.228858463858856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65.228858463858856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65.228858463858856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65.228858463858856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65.228858463858856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65.228858463858856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65.228858463858856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65.228858463858856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2.1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7.7</v>
      </c>
      <c r="H73" s="70">
        <f t="shared" si="56"/>
        <v>205.84666666666666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65.311627102836411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215.34313023683225</v>
      </c>
      <c r="T73" s="62">
        <f t="shared" si="88"/>
        <v>363.61374855311703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49.018442134347801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1.0517798878975184E-3</v>
      </c>
      <c r="AC73" s="24">
        <f t="shared" si="57"/>
        <v>49.019493914235696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65.311627102836411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215.34313023683225</v>
      </c>
      <c r="AO73" s="62">
        <f t="shared" si="90"/>
        <v>363.61374855311703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4.2028261737536967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4.1816781872542724E-6</v>
      </c>
      <c r="AX73" s="23">
        <f t="shared" si="60"/>
        <v>4.2028303554318835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65.311627102836411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65.311627102836411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65.311627102836411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65.311627102836411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65.311627102836411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65.311627102836411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65.311627102836411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65.311627102836411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2.1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7.7</v>
      </c>
      <c r="H74" s="70">
        <f t="shared" si="56"/>
        <v>205.84666666666666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65.392959890970658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215.34313023683225</v>
      </c>
      <c r="T74" s="62">
        <f t="shared" si="88"/>
        <v>363.61374855311703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48.057220382390732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7.4372069104796203E-4</v>
      </c>
      <c r="AC74" s="24">
        <f t="shared" si="57"/>
        <v>48.05796410308178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65.392959890970658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215.34313023683225</v>
      </c>
      <c r="AO74" s="62">
        <f t="shared" si="90"/>
        <v>363.61374855311703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4.1204113159572309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2.9568930029473655E-6</v>
      </c>
      <c r="AX74" s="23">
        <f t="shared" si="60"/>
        <v>4.1204142728502342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65.392959890970658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65.392959890970658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65.392959890970658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65.392959890970658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65.392959890970658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65.392959890970658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65.392959890970658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65.392959890970658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2.1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7.7</v>
      </c>
      <c r="H75" s="70">
        <f t="shared" si="56"/>
        <v>205.84666666666666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65.472881737063659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215.34313023683225</v>
      </c>
      <c r="T75" s="62">
        <f t="shared" si="88"/>
        <v>363.61374855311703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47.114847602702163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5.258899439487592E-4</v>
      </c>
      <c r="AC75" s="24">
        <f t="shared" si="57"/>
        <v>47.115373492646114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65.472881737063659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215.34313023683225</v>
      </c>
      <c r="AO75" s="62">
        <f t="shared" si="90"/>
        <v>363.61374855311703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4.039612563254054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2.0908390936271362E-6</v>
      </c>
      <c r="AX75" s="23">
        <f t="shared" si="60"/>
        <v>4.0396146540931479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65.472881737063659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65.472881737063659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65.472881737063659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65.472881737063659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65.472881737063659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65.472881737063659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65.472881737063659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65.472881737063659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2.1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7.7</v>
      </c>
      <c r="H76" s="70">
        <f t="shared" si="56"/>
        <v>205.84666666666666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65.551417117805414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215.34313023683225</v>
      </c>
      <c r="T76" s="62">
        <f t="shared" si="88"/>
        <v>363.61374855311703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46.190954178432648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3.7186034552398102E-4</v>
      </c>
      <c r="AC76" s="24">
        <f t="shared" si="57"/>
        <v>46.191326038778172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65.551417117805414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215.34313023683225</v>
      </c>
      <c r="AO76" s="62">
        <f t="shared" si="90"/>
        <v>363.61374855311703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3.9603982248090137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1.4784465014736828E-6</v>
      </c>
      <c r="AX76" s="23">
        <f t="shared" si="60"/>
        <v>3.9603997032555154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65.551417117805414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65.551417117805414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65.551417117805414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65.551417117805414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65.551417117805414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65.551417117805414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65.551417117805414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65.551417117805414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2.1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7.7</v>
      </c>
      <c r="H77" s="70">
        <f t="shared" si="56"/>
        <v>205.84666666666666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65.628590085270119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215.34313023683225</v>
      </c>
      <c r="T77" s="62">
        <f t="shared" si="88"/>
        <v>363.61374855311703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45.285177740693712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2.629449719743796E-4</v>
      </c>
      <c r="AC77" s="24">
        <f t="shared" si="57"/>
        <v>45.285440685665684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65.628590085270119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215.34313023683225</v>
      </c>
      <c r="AO77" s="62">
        <f t="shared" si="90"/>
        <v>363.61374855311703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3.8827372312249051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1.0454195468135681E-6</v>
      </c>
      <c r="AX77" s="23">
        <f t="shared" si="60"/>
        <v>3.882738276644452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65.628590085270119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65.628590085270119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65.628590085270119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65.628590085270119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65.628590085270119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65.628590085270119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65.628590085270119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65.628590085270119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2.1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7.7</v>
      </c>
      <c r="H78" s="70">
        <f t="shared" si="56"/>
        <v>205.84666666666666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65.704424274282218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215.34313023683225</v>
      </c>
      <c r="T78" s="62">
        <f t="shared" si="88"/>
        <v>363.61374855311703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44.397163026429759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1.8593017276199051E-4</v>
      </c>
      <c r="AC78" s="24">
        <f t="shared" si="57"/>
        <v>44.397348956602521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65.704424274282218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215.34313023683225</v>
      </c>
      <c r="AO78" s="62">
        <f t="shared" si="90"/>
        <v>363.61374855311703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3.8065991223564519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7.3922325073684138E-7</v>
      </c>
      <c r="AX78" s="23">
        <f t="shared" si="60"/>
        <v>3.8065998615797025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65.704424274282218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65.704424274282218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65.704424274282218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65.704424274282218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65.704424274282218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65.704424274282218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65.704424274282218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65.704424274282218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2.1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7.7</v>
      </c>
      <c r="H79" s="70">
        <f t="shared" si="56"/>
        <v>205.84666666666666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65.778942909654802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215.34313023683225</v>
      </c>
      <c r="T79" s="62">
        <f t="shared" si="88"/>
        <v>363.61374855311703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43.526561739077032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1.314724859871898E-4</v>
      </c>
      <c r="AC79" s="24">
        <f t="shared" si="57"/>
        <v>43.526693211563021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65.778942909654802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215.34313023683225</v>
      </c>
      <c r="AO79" s="62">
        <f t="shared" si="90"/>
        <v>363.61374855311703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3.7319540353632483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5.2270977340678405E-7</v>
      </c>
      <c r="AX79" s="23">
        <f t="shared" si="60"/>
        <v>3.7319545580730216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65.778942909654802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65.778942909654802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65.778942909654802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65.778942909654802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65.778942909654802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65.778942909654802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65.778942909654802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65.778942909654802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2.1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7.7</v>
      </c>
      <c r="H80" s="70">
        <f t="shared" si="56"/>
        <v>205.84666666666666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65.852168813302384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215.34313023683225</v>
      </c>
      <c r="T80" s="62">
        <f t="shared" si="88"/>
        <v>363.61374855311703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42.673032411954935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9.2965086380995254E-5</v>
      </c>
      <c r="AC80" s="24">
        <f t="shared" si="57"/>
        <v>42.673125377041316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65.852168813302384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215.34313023683225</v>
      </c>
      <c r="AO80" s="62">
        <f t="shared" si="90"/>
        <v>363.61374855311703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3.6587726929969739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3.6961162536842069E-7</v>
      </c>
      <c r="AX80" s="23">
        <f t="shared" si="60"/>
        <v>3.6587730626085992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65.852168813302384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65.852168813302384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65.852168813302384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65.852168813302384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65.852168813302384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65.852168813302384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65.852168813302384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65.852168813302384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2.1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7.7</v>
      </c>
      <c r="H81" s="70">
        <f t="shared" si="56"/>
        <v>205.84666666666666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65.924124411230281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215.34313023683225</v>
      </c>
      <c r="T81" s="62">
        <f t="shared" si="88"/>
        <v>363.61374855311703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41.83624027433622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6.57362429935949E-5</v>
      </c>
      <c r="AC81" s="24">
        <f t="shared" si="57"/>
        <v>41.836306010579214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65.924124411230281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215.34313023683225</v>
      </c>
      <c r="AO81" s="62">
        <f t="shared" si="90"/>
        <v>363.61374855311703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3.5870263921182906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2.6135488670339202E-7</v>
      </c>
      <c r="AX81" s="23">
        <f t="shared" si="60"/>
        <v>3.5870266534731772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65.924124411230281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65.924124411230281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65.924124411230281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65.924124411230281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65.924124411230281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65.924124411230281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65.924124411230281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65.924124411230281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2.1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7.7</v>
      </c>
      <c r="H82" s="70">
        <f t="shared" si="56"/>
        <v>205.84666666666666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65.994831740402731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215.34313023683225</v>
      </c>
      <c r="T82" s="62">
        <f t="shared" si="88"/>
        <v>363.61374855311703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41.015857120143401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4.6482543190497627E-5</v>
      </c>
      <c r="AC82" s="24">
        <f t="shared" si="57"/>
        <v>41.015903602686592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65.994831740402731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215.34313023683225</v>
      </c>
      <c r="AO82" s="62">
        <f t="shared" si="90"/>
        <v>363.61374855311703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3.5166869924389159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1.8480581268421035E-7</v>
      </c>
      <c r="AX82" s="23">
        <f t="shared" si="60"/>
        <v>3.5166871772447288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65.994831740402731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65.994831740402731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65.994831740402731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65.994831740402731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65.994831740402731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65.994831740402731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65.994831740402731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65.994831740402731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2.1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7.7</v>
      </c>
      <c r="H83" s="70">
        <f t="shared" si="56"/>
        <v>205.84666666666666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66.064312455491958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215.34313023683225</v>
      </c>
      <c r="T83" s="62">
        <f t="shared" si="88"/>
        <v>363.61374855311703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40.211561179219991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3.286812149679745E-5</v>
      </c>
      <c r="AC83" s="24">
        <f t="shared" si="57"/>
        <v>40.211594047341485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66.064312455491958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215.34313023683225</v>
      </c>
      <c r="AO83" s="62">
        <f t="shared" si="90"/>
        <v>363.61374855311703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3.4477269054844562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1.3067744335169601E-7</v>
      </c>
      <c r="AX83" s="23">
        <f t="shared" si="60"/>
        <v>3.4477270361618997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66.064312455491958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66.064312455491958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66.064312455491958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66.064312455491958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66.064312455491958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66.064312455491958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66.064312455491958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66.064312455491958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2.1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7.7</v>
      </c>
      <c r="H84" s="70">
        <f t="shared" si="56"/>
        <v>205.84666666666666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66.13258783550998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215.34313023683225</v>
      </c>
      <c r="T84" s="62">
        <f t="shared" si="88"/>
        <v>363.61374855311703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39.423036991126004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2.3241271595248814E-5</v>
      </c>
      <c r="AC84" s="24">
        <f t="shared" si="57"/>
        <v>39.423060232397596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66.13258783550998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215.34313023683225</v>
      </c>
      <c r="AO84" s="62">
        <f t="shared" si="90"/>
        <v>363.61374855311703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3.3801190837736734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9.2402906342105173E-8</v>
      </c>
      <c r="AX84" s="23">
        <f t="shared" si="60"/>
        <v>3.3801191761765796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66.13258783550998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66.13258783550998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66.13258783550998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66.13258783550998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66.13258783550998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66.13258783550998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66.13258783550998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66.13258783550998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2.1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7.7</v>
      </c>
      <c r="H85" s="70">
        <f t="shared" si="56"/>
        <v>205.84666666666666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66.199678790325592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215.34313023683225</v>
      </c>
      <c r="T85" s="62">
        <f t="shared" si="88"/>
        <v>363.61374855311703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38.649975281408274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1.6434060748398725E-5</v>
      </c>
      <c r="AC85" s="24">
        <f t="shared" si="57"/>
        <v>38.649991715469021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66.199678790325592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215.34313023683225</v>
      </c>
      <c r="AO85" s="62">
        <f t="shared" si="90"/>
        <v>363.61374855311703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3.3138370102099399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6.5338721675848006E-8</v>
      </c>
      <c r="AX85" s="23">
        <f t="shared" si="60"/>
        <v>3.3138370755486615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66.199678790325592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66.199678790325592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66.199678790325592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66.199678790325592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66.199678790325592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66.199678790325592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66.199678790325592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66.199678790325592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2.1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7.7</v>
      </c>
      <c r="H86" s="70">
        <f t="shared" si="56"/>
        <v>205.84666666666666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66.265605867068047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215.34313023683225</v>
      </c>
      <c r="T86" s="62">
        <f t="shared" si="88"/>
        <v>363.61374855311703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37.892072840297025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1.1620635797624407E-5</v>
      </c>
      <c r="AC86" s="24">
        <f t="shared" si="57"/>
        <v>37.892084460932821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66.265605867068047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215.34313023683225</v>
      </c>
      <c r="AO86" s="62">
        <f t="shared" si="90"/>
        <v>363.61374855311703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3.2488546876807183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4.6201453171052586E-8</v>
      </c>
      <c r="AX86" s="23">
        <f t="shared" si="60"/>
        <v>3.2488547338821716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66.265605867068047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66.265605867068047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66.265605867068047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66.265605867068047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66.265605867068047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66.265605867068047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66.265605867068047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66.265605867068047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2.1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7.7</v>
      </c>
      <c r="H87" s="70">
        <f t="shared" si="56"/>
        <v>205.84666666666666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66.330389256419878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215.34313023683225</v>
      </c>
      <c r="T87" s="62">
        <f t="shared" si="88"/>
        <v>363.61374855311703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37.149032403781128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8.2170303741993625E-6</v>
      </c>
      <c r="AC87" s="24">
        <f t="shared" si="57"/>
        <v>37.149040620811505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66.330389256419878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215.34313023683225</v>
      </c>
      <c r="AO87" s="62">
        <f t="shared" si="90"/>
        <v>363.61374855311703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3.1851466288609918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3.2669360837924003E-8</v>
      </c>
      <c r="AX87" s="23">
        <f t="shared" si="60"/>
        <v>3.1851466615303528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66.330389256419878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66.330389256419878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66.330389256419878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66.330389256419878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66.330389256419878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66.330389256419878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66.330389256419878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66.330389256419878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2.1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7.7</v>
      </c>
      <c r="H88" s="70">
        <f t="shared" si="56"/>
        <v>205.84666666666666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66.394048798800426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215.34313023683225</v>
      </c>
      <c r="T88" s="62">
        <f t="shared" si="88"/>
        <v>363.61374855311703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36.420562537015385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5.8103178988122034E-6</v>
      </c>
      <c r="AC88" s="24">
        <f t="shared" si="57"/>
        <v>36.420568347333287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66.394048798800426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215.34313023683225</v>
      </c>
      <c r="AO88" s="62">
        <f t="shared" si="90"/>
        <v>363.61374855311703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3.1226878462166408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2.3100726585526293E-8</v>
      </c>
      <c r="AX88" s="23">
        <f t="shared" si="60"/>
        <v>3.1226878693173674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66.394048798800426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66.394048798800426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66.394048798800426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66.394048798800426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66.394048798800426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66.394048798800426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66.394048798800426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66.394048798800426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2.1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7.7</v>
      </c>
      <c r="H89" s="70">
        <f t="shared" si="56"/>
        <v>205.84666666666666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66.456603990442076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215.34313023683225</v>
      </c>
      <c r="T89" s="62">
        <f t="shared" si="88"/>
        <v>363.61374855311703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35.706377520014179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4.1085151870996812E-6</v>
      </c>
      <c r="AC89" s="24">
        <f t="shared" si="57"/>
        <v>35.706381628529364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66.456603990442076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215.34313023683225</v>
      </c>
      <c r="AO89" s="62">
        <f t="shared" si="90"/>
        <v>363.61374855311703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3.06145384220385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1.6334680418962002E-8</v>
      </c>
      <c r="AX89" s="23">
        <f t="shared" si="60"/>
        <v>3.0614538585385302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66.456603990442076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66.456603990442076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66.456603990442076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66.456603990442076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66.456603990442076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66.456603990442076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66.456603990442076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66.456603990442076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2.1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7.7</v>
      </c>
      <c r="H90" s="70">
        <f t="shared" si="56"/>
        <v>205.84666666666666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66.518073989361213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215.34313023683225</v>
      </c>
      <c r="T90" s="62">
        <f t="shared" si="88"/>
        <v>363.61374855311703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35.006197235586519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2.9051589494061017E-6</v>
      </c>
      <c r="AC90" s="24">
        <f t="shared" si="57"/>
        <v>35.00620014074547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66.518073989361213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215.34313023683225</v>
      </c>
      <c r="AO90" s="62">
        <f t="shared" si="90"/>
        <v>363.61374855311703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3.0014205996606953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1.1550363292763147E-8</v>
      </c>
      <c r="AX90" s="23">
        <f t="shared" si="60"/>
        <v>3.0014206112110586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66.518073989361213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66.518073989361213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66.518073989361213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66.518073989361213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66.518073989361213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66.518073989361213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66.518073989361213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66.518073989361213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2.1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7.7</v>
      </c>
      <c r="H91" s="70">
        <f t="shared" si="56"/>
        <v>205.84666666666666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66.578477621225431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215.34313023683225</v>
      </c>
      <c r="T91" s="62">
        <f t="shared" si="88"/>
        <v>363.61374855311703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34.319747059468682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2.0542575935498406E-6</v>
      </c>
      <c r="AC91" s="24">
        <f t="shared" si="57"/>
        <v>34.319749113726274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66.578477621225431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215.34313023683225</v>
      </c>
      <c r="AO91" s="62">
        <f t="shared" si="90"/>
        <v>363.61374855311703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2.9425645723871496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8.1673402094810008E-9</v>
      </c>
      <c r="AX91" s="23">
        <f t="shared" si="60"/>
        <v>2.9425645805544898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66.578477621225431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66.578477621225431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66.578477621225431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66.578477621225431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66.578477621225431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66.578477621225431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66.578477621225431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66.578477621225431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2.1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7.7</v>
      </c>
      <c r="H92" s="70">
        <f t="shared" si="56"/>
        <v>205.84666666666666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66.63783338511908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215.34313023683225</v>
      </c>
      <c r="T92" s="62">
        <f t="shared" si="88"/>
        <v>363.61374855311703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33.646757752611251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1.4525794747030508E-6</v>
      </c>
      <c r="AC92" s="24">
        <f t="shared" si="57"/>
        <v>33.646759205190726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66.63783338511908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215.34313023683225</v>
      </c>
      <c r="AO92" s="62">
        <f t="shared" si="90"/>
        <v>363.61374855311703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2.8848626759098064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5.7751816463815733E-9</v>
      </c>
      <c r="AX92" s="23">
        <f t="shared" si="60"/>
        <v>2.8848626816849881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66.63783338511908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66.63783338511908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66.63783338511908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66.63783338511908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66.63783338511908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66.63783338511908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66.63783338511908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66.63783338511908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2.1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7.7</v>
      </c>
      <c r="H93" s="70">
        <f t="shared" si="56"/>
        <v>205.84666666666666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66.696159459208801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215.34313023683225</v>
      </c>
      <c r="T93" s="62">
        <f t="shared" si="88"/>
        <v>363.61374855311703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32.986965355578342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1.0271287967749203E-6</v>
      </c>
      <c r="AC93" s="24">
        <f t="shared" si="57"/>
        <v>32.986966382707138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66.696159459208801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215.34313023683225</v>
      </c>
      <c r="AO93" s="62">
        <f t="shared" si="90"/>
        <v>363.61374855311703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2.828292278427702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4.0836701047405004E-9</v>
      </c>
      <c r="AX93" s="23">
        <f t="shared" si="60"/>
        <v>2.8282922825113723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66.696159459208801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66.696159459208801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66.696159459208801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66.696159459208801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66.696159459208801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66.696159459208801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66.696159459208801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66.696159459208801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2.1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7.7</v>
      </c>
      <c r="H94" s="70">
        <f t="shared" si="56"/>
        <v>205.84666666666666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66.753473706310615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215.34313023683225</v>
      </c>
      <c r="T94" s="62">
        <f t="shared" si="88"/>
        <v>363.61374855311703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32.340111085017625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7.2628973735152542E-7</v>
      </c>
      <c r="AC94" s="24">
        <f t="shared" si="57"/>
        <v>32.340111811307359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66.753473706310615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215.34313023683225</v>
      </c>
      <c r="AO94" s="62">
        <f t="shared" si="90"/>
        <v>363.61374855311703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2.7728311919356865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2.8875908231907866E-9</v>
      </c>
      <c r="AX94" s="23">
        <f t="shared" si="60"/>
        <v>2.7728311948232771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66.753473706310615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66.753473706310615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66.753473706310615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66.753473706310615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66.753473706310615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66.753473706310615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66.753473706310615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66.753473706310615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2.1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7.7</v>
      </c>
      <c r="H95" s="70">
        <f t="shared" si="56"/>
        <v>205.84666666666666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66.809793679360695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215.34313023683225</v>
      </c>
      <c r="T95" s="62">
        <f t="shared" si="88"/>
        <v>363.61374855311703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31.705941232160459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5.1356439838746015E-7</v>
      </c>
      <c r="AC95" s="24">
        <f t="shared" si="57"/>
        <v>31.705941745724857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66.809793679360695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215.34313023683225</v>
      </c>
      <c r="AO95" s="62">
        <f t="shared" si="90"/>
        <v>363.61374855311703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2.7184576635218569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2.0418350523702502E-9</v>
      </c>
      <c r="AX95" s="23">
        <f t="shared" si="60"/>
        <v>2.7184576655636921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66.809793679360695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66.809793679360695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66.809793679360695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66.809793679360695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66.809793679360695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66.809793679360695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66.809793679360695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66.809793679360695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2.1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7.7</v>
      </c>
      <c r="H96" s="70">
        <f t="shared" si="56"/>
        <v>205.84666666666666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66.865136626790928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215.34313023683225</v>
      </c>
      <c r="T96" s="62">
        <f t="shared" si="88"/>
        <v>363.61374855311703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31.084207063312405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3.6314486867576271E-7</v>
      </c>
      <c r="AC96" s="24">
        <f t="shared" si="57"/>
        <v>31.084207426457272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66.865136626790928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215.34313023683225</v>
      </c>
      <c r="AO96" s="62">
        <f t="shared" si="90"/>
        <v>363.61374855311703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2.6651503668356447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1.4437954115953933E-9</v>
      </c>
      <c r="AX96" s="23">
        <f t="shared" si="60"/>
        <v>2.66515036827944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66.865136626790928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66.865136626790928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66.865136626790928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66.865136626790928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66.865136626790928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66.865136626790928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66.865136626790928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66.865136626790928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2.1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7.7</v>
      </c>
      <c r="H97" s="70">
        <f t="shared" si="56"/>
        <v>205.84666666666666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66.919519497811564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215.34313023683225</v>
      </c>
      <c r="T97" s="62">
        <f t="shared" si="88"/>
        <v>363.61374855311703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30.474664722295064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2.5678219919373008E-7</v>
      </c>
      <c r="AC97" s="24">
        <f t="shared" si="57"/>
        <v>30.474664979077264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66.919519497811564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215.34313023683225</v>
      </c>
      <c r="AO97" s="62">
        <f t="shared" si="90"/>
        <v>363.61374855311703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2.6128883937232086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1.0209175261851251E-9</v>
      </c>
      <c r="AX97" s="23">
        <f t="shared" si="60"/>
        <v>2.6128883947441262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66.919519497811564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66.919519497811564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66.919519497811564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66.919519497811564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66.919519497811564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66.919519497811564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66.919519497811564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66.919519497811564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2.1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7.7</v>
      </c>
      <c r="H98" s="70">
        <f t="shared" si="56"/>
        <v>205.84666666666666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66.972958947601853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215.34313023683225</v>
      </c>
      <c r="T98" s="62">
        <f t="shared" si="88"/>
        <v>363.61374855311703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29.877075134800954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1.8157243433788136E-7</v>
      </c>
      <c r="AC98" s="24">
        <f t="shared" si="57"/>
        <v>29.877075316373389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66.972958947601853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215.34313023683225</v>
      </c>
      <c r="AO98" s="62">
        <f t="shared" si="90"/>
        <v>363.61374855311703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2.5616512460268512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7.2189770579769666E-10</v>
      </c>
      <c r="AX98" s="23">
        <f t="shared" si="60"/>
        <v>2.5616512467487489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66.972958947601853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66.972958947601853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66.972958947601853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66.972958947601853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66.972958947601853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66.972958947601853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66.972958947601853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66.972958947601853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2.1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7.7</v>
      </c>
      <c r="H99" s="70">
        <f t="shared" si="56"/>
        <v>205.84666666666666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67.025471342411009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215.34313023683225</v>
      </c>
      <c r="T99" s="62">
        <f t="shared" si="88"/>
        <v>363.61374855311703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29.291203914623946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1.2839109959686504E-7</v>
      </c>
      <c r="AC99" s="24">
        <f t="shared" si="57"/>
        <v>29.291204043015046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67.025471342411009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215.34313023683225</v>
      </c>
      <c r="AO99" s="62">
        <f t="shared" si="90"/>
        <v>363.61374855311703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2.5114188275452451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5.1045876309256255E-10</v>
      </c>
      <c r="AX99" s="23">
        <f t="shared" si="60"/>
        <v>2.5114188280557039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67.025471342411009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67.025471342411009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67.025471342411009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67.025471342411009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67.025471342411009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67.025471342411009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67.025471342411009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67.025471342411009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2.1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7.7</v>
      </c>
      <c r="H100" s="70">
        <f t="shared" si="56"/>
        <v>205.84666666666666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67.077072764570346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215.34313023683225</v>
      </c>
      <c r="T100" s="62">
        <f t="shared" si="88"/>
        <v>363.61374855311703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28.716821271728449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9.0786217168940678E-8</v>
      </c>
      <c r="AC100" s="24">
        <f t="shared" si="57"/>
        <v>28.716821362514665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67.077072764570346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215.34313023683225</v>
      </c>
      <c r="AO100" s="62">
        <f t="shared" si="90"/>
        <v>363.61374855311703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2.4621714361513134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3.6094885289884833E-10</v>
      </c>
      <c r="AX100" s="23">
        <f t="shared" si="60"/>
        <v>2.4621714365122624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67.077072764570346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67.077072764570346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67.077072764570346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67.077072764570346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67.077072764570346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67.077072764570346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67.077072764570346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67.077072764570346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2.1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7.7</v>
      </c>
      <c r="H101" s="70">
        <f t="shared" si="56"/>
        <v>205.84666666666666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67.127779017418717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215.34313023683225</v>
      </c>
      <c r="T101" s="62">
        <f t="shared" si="88"/>
        <v>363.61374855311703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28.153701922121314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6.4195549798432519E-8</v>
      </c>
      <c r="AC101" s="24">
        <f t="shared" si="57"/>
        <v>28.153701986316864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67.127779017418717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215.34313023683225</v>
      </c>
      <c r="AO101" s="62">
        <f t="shared" si="90"/>
        <v>363.61374855311703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2.4138897560646742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2.5522938154628127E-10</v>
      </c>
      <c r="AX101" s="23">
        <f t="shared" si="60"/>
        <v>2.4138897563199033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67.127779017418717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67.127779017418717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67.127779017418717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67.127779017418717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67.127779017418717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67.127779017418717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67.127779017418717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67.127779017418717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2.1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7.7</v>
      </c>
      <c r="H102" s="70">
        <f t="shared" si="56"/>
        <v>205.84666666666666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67.177605630142381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215.34313023683225</v>
      </c>
      <c r="T102" s="62">
        <f t="shared" si="88"/>
        <v>363.61374855311703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27.601624999491086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4.5393108584470339E-8</v>
      </c>
      <c r="AC102" s="24">
        <f t="shared" si="57"/>
        <v>27.601625044884194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67.177605630142381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215.34313023683225</v>
      </c>
      <c r="AO102" s="62">
        <f t="shared" si="90"/>
        <v>363.61374855311703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2.3665548502756169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1.8047442644942417E-10</v>
      </c>
      <c r="AX102" s="23">
        <f t="shared" si="60"/>
        <v>2.3665548504560912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67.177605630142381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67.177605630142381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67.177605630142381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67.177605630142381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67.177605630142381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67.177605630142381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67.177605630142381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67.177605630142381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2.1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7.7</v>
      </c>
      <c r="H103" s="70">
        <f t="shared" si="56"/>
        <v>205.84666666666666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67.226567862530885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215.34313023683225</v>
      </c>
      <c r="T103" s="62">
        <f t="shared" si="88"/>
        <v>363.61374855311703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27.060373968579967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3.209777489921626E-8</v>
      </c>
      <c r="AC103" s="24">
        <f t="shared" si="57"/>
        <v>27.06037400067774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67.226567862530885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215.34313023683225</v>
      </c>
      <c r="AO103" s="62">
        <f t="shared" si="90"/>
        <v>363.61374855311703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2.3201481531176413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1.2761469077314064E-10</v>
      </c>
      <c r="AX103" s="23">
        <f t="shared" si="60"/>
        <v>2.3201481532452561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67.226567862530885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67.226567862530885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67.226567862530885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67.226567862530885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67.226567862530885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67.226567862530885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67.226567862530885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67.226567862530885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2.1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7.7</v>
      </c>
      <c r="H104" s="70">
        <f t="shared" si="56"/>
        <v>205.84666666666666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67.27468070965061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215.34313023683225</v>
      </c>
      <c r="T104" s="62">
        <f t="shared" si="88"/>
        <v>363.61374855311703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26.529736540254483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2.2696554292235169E-8</v>
      </c>
      <c r="AC104" s="24">
        <f t="shared" si="57"/>
        <v>26.529736562951037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67.27468070965061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215.34313023683225</v>
      </c>
      <c r="AO104" s="62">
        <f t="shared" si="90"/>
        <v>363.61374855311703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2.2746514629856431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9.0237213224712083E-11</v>
      </c>
      <c r="AX104" s="23">
        <f t="shared" si="60"/>
        <v>2.2746514630758803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67.27468070965061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67.27468070965061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67.27468070965061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67.27468070965061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67.27468070965061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67.27468070965061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67.27468070965061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67.27468070965061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2.1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7.7</v>
      </c>
      <c r="H105" s="70">
        <f t="shared" si="56"/>
        <v>205.84666666666666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67.321958906437033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215.34313023683225</v>
      </c>
      <c r="T105" s="62">
        <f t="shared" si="88"/>
        <v>363.61374855311703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26.009504588241587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1.604888744960813E-8</v>
      </c>
      <c r="AC105" s="24">
        <f t="shared" si="57"/>
        <v>26.009504604290473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67.321958906437033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215.34313023683225</v>
      </c>
      <c r="AO105" s="62">
        <f t="shared" si="90"/>
        <v>363.61374855311703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2.2300469351968926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6.3807345386570319E-11</v>
      </c>
      <c r="AX105" s="23">
        <f t="shared" si="60"/>
        <v>2.2300469352606997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67.321958906437033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67.321958906437033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67.321958906437033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67.321958906437033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67.321958906437033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67.321958906437033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67.321958906437033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67.321958906437033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2.1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7.7</v>
      </c>
      <c r="H106" s="70">
        <f t="shared" si="56"/>
        <v>205.84666666666666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67.36841693220741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215.34313023683225</v>
      </c>
      <c r="T106" s="62">
        <f t="shared" si="88"/>
        <v>363.61374855311703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25.499474067497506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1.1348277146117585E-8</v>
      </c>
      <c r="AC106" s="24">
        <f t="shared" si="57"/>
        <v>25.499474078845783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67.36841693220741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215.34313023683225</v>
      </c>
      <c r="AO106" s="62">
        <f t="shared" si="90"/>
        <v>363.61374855311703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2.186317074992004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4.5118606612356041E-11</v>
      </c>
      <c r="AX106" s="23">
        <f t="shared" si="60"/>
        <v>2.1863170750371226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67.36841693220741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67.36841693220741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67.36841693220741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67.36841693220741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67.36841693220741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67.36841693220741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67.36841693220741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67.36841693220741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2.1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7.7</v>
      </c>
      <c r="H107" s="70">
        <f t="shared" si="56"/>
        <v>205.84666666666666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67.414069015095265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215.34313023683225</v>
      </c>
      <c r="T107" s="62">
        <f t="shared" si="88"/>
        <v>363.61374855311703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24.999444934177316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8.0244437248040649E-9</v>
      </c>
      <c r="AC107" s="24">
        <f t="shared" si="57"/>
        <v>24.999444942201759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67.414069015095265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215.34313023683225</v>
      </c>
      <c r="AO107" s="62">
        <f t="shared" si="90"/>
        <v>363.61374855311703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2.1434447306731523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3.1903672693285159E-11</v>
      </c>
      <c r="AX107" s="23">
        <f t="shared" si="60"/>
        <v>2.1434447307050561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67.414069015095265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67.414069015095265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67.414069015095265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67.414069015095265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67.414069015095265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67.414069015095265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67.414069015095265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67.414069015095265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2.1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7.7</v>
      </c>
      <c r="H108" s="70">
        <f t="shared" si="56"/>
        <v>205.84666666666666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67.458929136407761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215.34313023683225</v>
      </c>
      <c r="T108" s="62">
        <f t="shared" si="88"/>
        <v>363.61374855311703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24.509221067173879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5.6741385730587924E-9</v>
      </c>
      <c r="AC108" s="24">
        <f t="shared" si="57"/>
        <v>24.509221072848018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67.458929136407761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215.34313023683225</v>
      </c>
      <c r="AO108" s="62">
        <f t="shared" si="90"/>
        <v>363.61374855311703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2.1014130868768452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2.2559303306178021E-11</v>
      </c>
      <c r="AX108" s="23">
        <f t="shared" si="60"/>
        <v>2.1014130868994045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67.458929136407761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67.458929136407761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67.458929136407761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67.458929136407761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67.458929136407761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67.458929136407761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67.458929136407761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67.458929136407761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2.1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7.7</v>
      </c>
      <c r="H109" s="70">
        <f t="shared" si="56"/>
        <v>205.84666666666666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67.503011034907715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215.34313023683225</v>
      </c>
      <c r="T109" s="62">
        <f t="shared" si="88"/>
        <v>363.61374855311703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24.028610191195344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4.0122218624020325E-9</v>
      </c>
      <c r="AC109" s="24">
        <f t="shared" si="57"/>
        <v>24.028610195207566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67.503011034907715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215.34313023683225</v>
      </c>
      <c r="AO109" s="62">
        <f t="shared" si="90"/>
        <v>363.61374855311703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2.0602056579786123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1.595183634664258E-11</v>
      </c>
      <c r="AX109" s="23">
        <f t="shared" si="60"/>
        <v>2.060205657994564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67.503011034907715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67.503011034907715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67.503011034907715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67.503011034907715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67.503011034907715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67.503011034907715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67.503011034907715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67.503011034907715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2.1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7.7</v>
      </c>
      <c r="H110" s="70">
        <f t="shared" si="56"/>
        <v>205.84666666666666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67.546328211021049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215.34313023683225</v>
      </c>
      <c r="T110" s="62">
        <f t="shared" si="88"/>
        <v>363.61374855311703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23.55742380135106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2.8370692865293962E-9</v>
      </c>
      <c r="AC110" s="24">
        <f t="shared" si="57"/>
        <v>23.557423804188129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67.546328211021049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215.34313023683225</v>
      </c>
      <c r="AO110" s="62">
        <f t="shared" si="90"/>
        <v>363.61374855311703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2.0198062816270239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1.127965165308901E-11</v>
      </c>
      <c r="AX110" s="23">
        <f t="shared" si="60"/>
        <v>2.0198062816383038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67.546328211021049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67.546328211021049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67.546328211021049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67.546328211021049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67.546328211021049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67.546328211021049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67.546328211021049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67.546328211021049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2.1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7.7</v>
      </c>
      <c r="H111" s="70">
        <f t="shared" si="56"/>
        <v>205.84666666666666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67.588893930971523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215.34313023683225</v>
      </c>
      <c r="T111" s="62">
        <f t="shared" si="88"/>
        <v>363.61374855311703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23.095477089216303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2.0061109312010162E-9</v>
      </c>
      <c r="AC111" s="24">
        <f t="shared" si="57"/>
        <v>23.095477091222413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67.588893930971523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215.34313023683225</v>
      </c>
      <c r="AO111" s="62">
        <f t="shared" si="90"/>
        <v>363.61374855311703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1.9801991124045037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7.9759181733212898E-12</v>
      </c>
      <c r="AX111" s="23">
        <f t="shared" si="60"/>
        <v>1.9801991124124796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67.588893930971523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67.588893930971523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67.588893930971523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67.588893930971523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67.588893930971523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67.588893930971523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67.588893930971523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67.588893930971523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2.1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7.7</v>
      </c>
      <c r="H112" s="70">
        <f t="shared" si="56"/>
        <v>205.84666666666666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67.630721230843534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215.34313023683225</v>
      </c>
      <c r="T112" s="62">
        <f t="shared" si="88"/>
        <v>363.61374855311703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22.642588870346835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1.4185346432646981E-9</v>
      </c>
      <c r="AC112" s="24">
        <f t="shared" si="57"/>
        <v>22.642588871765369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67.630721230843534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215.34313023683225</v>
      </c>
      <c r="AO112" s="62">
        <f t="shared" si="90"/>
        <v>363.61374855311703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1.9413686156124494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5.6398258265445052E-12</v>
      </c>
      <c r="AX112" s="23">
        <f t="shared" si="60"/>
        <v>1.9413686156180894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67.630721230843534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67.630721230843534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67.630721230843534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67.630721230843534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67.630721230843534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67.630721230843534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67.630721230843534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67.630721230843534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2.1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7.7</v>
      </c>
      <c r="H113" s="70">
        <f t="shared" si="56"/>
        <v>205.84666666666666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67.671822920574613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215.34313023683225</v>
      </c>
      <c r="T113" s="62">
        <f t="shared" si="88"/>
        <v>363.61374855311703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22.198581513214858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1.0030554656005081E-9</v>
      </c>
      <c r="AC113" s="24">
        <f t="shared" si="57"/>
        <v>22.198581514217913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67.671822920574613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215.34313023683225</v>
      </c>
      <c r="AO113" s="62">
        <f t="shared" si="90"/>
        <v>363.61374855311703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1.9032995611782229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3.9879590866606449E-12</v>
      </c>
      <c r="AX113" s="23">
        <f t="shared" si="60"/>
        <v>1.9032995611822108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67.671822920574613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67.671822920574613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67.671822920574613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67.671822920574613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67.671822920574613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67.671822920574613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67.671822920574613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67.671822920574613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2.1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7.7</v>
      </c>
      <c r="H114" s="70">
        <f t="shared" si="56"/>
        <v>205.84666666666666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67.712211587878457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215.34313023683225</v>
      </c>
      <c r="T114" s="62">
        <f t="shared" si="88"/>
        <v>363.61374855311703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21.763280869538494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7.0926732163234905E-10</v>
      </c>
      <c r="AC114" s="24">
        <f t="shared" si="57"/>
        <v>21.763280870247762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67.712211587878457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215.34313023683225</v>
      </c>
      <c r="AO114" s="62">
        <f t="shared" si="90"/>
        <v>363.61374855311703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1.8659770176816211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2.8199129132722526E-12</v>
      </c>
      <c r="AX114" s="23">
        <f t="shared" si="60"/>
        <v>1.865977017684441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67.712211587878457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67.712211587878457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67.712211587878457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67.712211587878457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67.712211587878457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67.712211587878457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67.712211587878457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67.712211587878457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2.1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7.7</v>
      </c>
      <c r="H115" s="70">
        <f t="shared" si="56"/>
        <v>205.84666666666666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67.75189960210011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215.34313023683225</v>
      </c>
      <c r="T115" s="62">
        <f t="shared" si="88"/>
        <v>363.61374855311703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21.336516205977446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5.0152773280025406E-10</v>
      </c>
      <c r="AC115" s="24">
        <f t="shared" si="57"/>
        <v>21.336516206478976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67.75189960210011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215.34313023683225</v>
      </c>
      <c r="AO115" s="62">
        <f t="shared" si="90"/>
        <v>363.61374855311703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1.8293863464984839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1.9939795433303225E-12</v>
      </c>
      <c r="AX115" s="23">
        <f t="shared" si="60"/>
        <v>1.8293863465004778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67.75189960210011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67.75189960210011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67.75189960210011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67.75189960210011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67.75189960210011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67.75189960210011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67.75189960210011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67.75189960210011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2.1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7.7</v>
      </c>
      <c r="H116" s="70">
        <f t="shared" si="56"/>
        <v>205.84666666666666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67.790899118004134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215.34313023683225</v>
      </c>
      <c r="T116" s="62">
        <f t="shared" si="88"/>
        <v>363.61374855311703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20.918120137168088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3.5463366081617452E-10</v>
      </c>
      <c r="AC116" s="24">
        <f t="shared" si="57"/>
        <v>20.918120137522724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67.790899118004134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215.34313023683225</v>
      </c>
      <c r="AO116" s="62">
        <f t="shared" si="90"/>
        <v>363.61374855311703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1.7935131960591424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1.4099564566361263E-12</v>
      </c>
      <c r="AX116" s="23">
        <f t="shared" si="60"/>
        <v>1.7935131960605524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67.790899118004134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67.790899118004134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67.790899118004134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67.790899118004134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67.790899118004134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67.790899118004134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67.790899118004134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67.790899118004134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2.1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7.7</v>
      </c>
      <c r="H117" s="70">
        <f t="shared" si="56"/>
        <v>205.84666666666666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67.829222079497086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215.34313023683225</v>
      </c>
      <c r="T117" s="62">
        <f t="shared" si="88"/>
        <v>363.61374855311703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20.507928560071679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2.5076386640012703E-10</v>
      </c>
      <c r="AC117" s="24">
        <f t="shared" si="57"/>
        <v>20.507928560322444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67.829222079497086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215.34313023683225</v>
      </c>
      <c r="AO117" s="62">
        <f t="shared" si="90"/>
        <v>363.61374855311703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1.7583434962194551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9.9698977166516123E-13</v>
      </c>
      <c r="AX117" s="23">
        <f t="shared" si="60"/>
        <v>1.7583434962204521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67.829222079497086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67.829222079497086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67.829222079497086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67.829222079497086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67.829222079497086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67.829222079497086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67.829222079497086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67.829222079497086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2.1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7.7</v>
      </c>
      <c r="H118" s="70">
        <f t="shared" si="56"/>
        <v>205.84666666666666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67.866880223285435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215.34313023683225</v>
      </c>
      <c r="T118" s="62">
        <f t="shared" si="88"/>
        <v>363.61374855311703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20.105780589609974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1.7731683040808726E-10</v>
      </c>
      <c r="AC118" s="24">
        <f t="shared" si="57"/>
        <v>20.10578058978729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67.866880223285435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215.34313023683225</v>
      </c>
      <c r="AO118" s="62">
        <f t="shared" si="90"/>
        <v>363.61374855311703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1.7238634527422252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7.0497822831806315E-13</v>
      </c>
      <c r="AX118" s="23">
        <f t="shared" si="60"/>
        <v>1.7238634527429302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67.866880223285435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67.866880223285435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67.866880223285435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67.866880223285435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67.866880223285435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67.866880223285435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67.866880223285435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67.866880223285435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2.1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7.7</v>
      </c>
      <c r="H119" s="70">
        <f t="shared" si="56"/>
        <v>205.84666666666666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67.903885082470055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215.34313023683225</v>
      </c>
      <c r="T119" s="62">
        <f t="shared" si="88"/>
        <v>363.61374855311703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19.711518495562981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1.2538193320006351E-10</v>
      </c>
      <c r="AC119" s="24">
        <f t="shared" si="57"/>
        <v>19.711518495688363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67.903885082470055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215.34313023683225</v>
      </c>
      <c r="AO119" s="62">
        <f t="shared" si="90"/>
        <v>363.61374855311703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1.690059541886834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4.9849488583258061E-13</v>
      </c>
      <c r="AX119" s="23">
        <f t="shared" si="60"/>
        <v>1.6900595418873325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67.903885082470055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67.903885082470055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67.903885082470055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67.903885082470055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67.903885082470055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67.903885082470055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67.903885082470055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67.903885082470055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2.1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7.7</v>
      </c>
      <c r="H120" s="70">
        <f t="shared" si="56"/>
        <v>205.84666666666666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67.940247990078277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215.34313023683225</v>
      </c>
      <c r="T120" s="62">
        <f t="shared" si="88"/>
        <v>363.61374855311703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19.324987640704116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8.8658415204043631E-11</v>
      </c>
      <c r="AC120" s="24">
        <f t="shared" si="57"/>
        <v>19.324987640792774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67.940247990078277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215.34313023683225</v>
      </c>
      <c r="AO120" s="62">
        <f t="shared" si="90"/>
        <v>363.61374855311703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1.6569185051049673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3.5248911415903157E-13</v>
      </c>
      <c r="AX120" s="23">
        <f t="shared" si="60"/>
        <v>1.6569185051053197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67.940247990078277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67.940247990078277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67.940247990078277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67.940247990078277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67.940247990078277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67.940247990078277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67.940247990078277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67.940247990078277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2.1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7.7</v>
      </c>
      <c r="H121" s="70">
        <f t="shared" si="56"/>
        <v>205.84666666666666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67.97598008253479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215.34313023683225</v>
      </c>
      <c r="T121" s="62">
        <f t="shared" si="88"/>
        <v>363.61374855311703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18.946036420148491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6.2690966600031757E-11</v>
      </c>
      <c r="AC121" s="24">
        <f t="shared" si="57"/>
        <v>18.946036420211183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67.97598008253479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215.34313023683225</v>
      </c>
      <c r="AO121" s="62">
        <f t="shared" si="90"/>
        <v>363.61374855311703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1.6244273438403565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2.4924744291629031E-13</v>
      </c>
      <c r="AX121" s="23">
        <f t="shared" si="60"/>
        <v>1.6244273438406058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67.97598008253479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67.97598008253479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67.97598008253479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67.97598008253479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67.97598008253479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67.97598008253479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67.97598008253479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67.97598008253479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2.1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7.7</v>
      </c>
      <c r="H122" s="70">
        <f t="shared" si="56"/>
        <v>205.84666666666666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68.011092303072175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215.34313023683225</v>
      </c>
      <c r="T122" s="62">
        <f t="shared" si="88"/>
        <v>363.61374855311703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18.574516201890543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4.4329207602021815E-11</v>
      </c>
      <c r="AC122" s="24">
        <f t="shared" si="57"/>
        <v>18.574516201934873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68.011092303072175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215.34313023683225</v>
      </c>
      <c r="AO122" s="62">
        <f t="shared" si="90"/>
        <v>363.61374855311703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1.5925733144304932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1.7624455707951579E-13</v>
      </c>
      <c r="AX122" s="23">
        <f t="shared" si="60"/>
        <v>1.5925733144306695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68.011092303072175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68.011092303072175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68.011092303072175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68.011092303072175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68.011092303072175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68.011092303072175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68.011092303072175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68.011092303072175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2.1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7.7</v>
      </c>
      <c r="H123" s="70">
        <f t="shared" si="56"/>
        <v>205.84666666666666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68.045595405082395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215.34313023683225</v>
      </c>
      <c r="T123" s="62">
        <f t="shared" si="88"/>
        <v>363.61374855311703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18.210281268507671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3.1345483300015879E-11</v>
      </c>
      <c r="AC123" s="24">
        <f t="shared" si="57"/>
        <v>18.210281268539017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68.045595405082395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215.34313023683225</v>
      </c>
      <c r="AO123" s="62">
        <f t="shared" si="90"/>
        <v>363.61374855311703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1.5613439231083179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1.2462372145814515E-13</v>
      </c>
      <c r="AX123" s="23">
        <f t="shared" si="60"/>
        <v>1.5613439231084425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68.045595405082395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68.045595405082395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68.045595405082395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68.045595405082395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68.045595405082395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68.045595405082395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68.045595405082395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68.045595405082395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2.1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7.7</v>
      </c>
      <c r="H124" s="70">
        <f t="shared" si="56"/>
        <v>205.84666666666666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68.079499955410128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215.34313023683225</v>
      </c>
      <c r="T124" s="62">
        <f t="shared" si="88"/>
        <v>363.61374855311703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17.853188760007068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2.2164603801010908E-11</v>
      </c>
      <c r="AC124" s="24">
        <f t="shared" si="57"/>
        <v>17.853188760029234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68.079499955410128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215.34313023683225</v>
      </c>
      <c r="AO124" s="62">
        <f t="shared" si="90"/>
        <v>363.61374855311703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1.5307269211019225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8.8122278539757893E-14</v>
      </c>
      <c r="AX124" s="23">
        <f t="shared" si="60"/>
        <v>1.5307269211020107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68.079499955410128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68.079499955410128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68.079499955410128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68.079499955410128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68.079499955410128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68.079499955410128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68.079499955410128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68.079499955410128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2.1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7.7</v>
      </c>
      <c r="H125" s="70">
        <f t="shared" si="56"/>
        <v>205.84666666666666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68.112816337588896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215.34313023683225</v>
      </c>
      <c r="T125" s="62">
        <f t="shared" si="88"/>
        <v>363.61374855311703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17.503098617793238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1.5672741650007939E-11</v>
      </c>
      <c r="AC125" s="24">
        <f t="shared" si="57"/>
        <v>17.503098617808909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68.112816337588896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215.34313023683225</v>
      </c>
      <c r="AO125" s="62">
        <f t="shared" si="90"/>
        <v>363.61374855311703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1.5007102998303452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6.2311860729072577E-14</v>
      </c>
      <c r="AX125" s="23">
        <f t="shared" si="60"/>
        <v>1.5007102998304076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68.112816337588896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68.112816337588896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68.112816337588896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68.112816337588896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68.112816337588896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68.112816337588896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68.112816337588896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68.112816337588896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2.1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7.7</v>
      </c>
      <c r="H126" s="70">
        <f t="shared" si="56"/>
        <v>205.84666666666666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68.145554755021124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215.34313023683225</v>
      </c>
      <c r="T126" s="62">
        <f t="shared" si="88"/>
        <v>363.61374855311703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17.15987352973432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1.1082301900505454E-11</v>
      </c>
      <c r="AC126" s="24">
        <f t="shared" si="57"/>
        <v>17.159873529745401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68.145554755021124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215.34313023683225</v>
      </c>
      <c r="AO126" s="62">
        <f t="shared" si="90"/>
        <v>363.61374855311703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1.4712822861935724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4.4061139269878947E-14</v>
      </c>
      <c r="AX126" s="23">
        <f t="shared" si="60"/>
        <v>1.4712822861936163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68.145554755021124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68.145554755021124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68.145554755021124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68.145554755021124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68.145554755021124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68.145554755021124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68.145554755021124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68.145554755021124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2.1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7.7</v>
      </c>
      <c r="H127" s="70">
        <f t="shared" si="56"/>
        <v>205.84666666666666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68.177725234103036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215.34313023683225</v>
      </c>
      <c r="T127" s="62">
        <f t="shared" si="88"/>
        <v>363.61374855311703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16.823378876305604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7.8363708250039696E-12</v>
      </c>
      <c r="AC127" s="24">
        <f t="shared" si="57"/>
        <v>16.823378876313441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68.177725234103036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215.34313023683225</v>
      </c>
      <c r="AO127" s="62">
        <f t="shared" si="90"/>
        <v>363.61374855311703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1.4424313379549007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3.1155930364536288E-14</v>
      </c>
      <c r="AX127" s="23">
        <f t="shared" si="60"/>
        <v>1.4424313379549318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68.177725234103036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68.177725234103036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68.177725234103036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68.177725234103036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68.177725234103036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68.177725234103036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68.177725234103036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68.177725234103036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2.1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7.7</v>
      </c>
      <c r="H128" s="70">
        <f t="shared" si="56"/>
        <v>205.84666666666666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68.209337627295298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215.34313023683225</v>
      </c>
      <c r="T128" s="62">
        <f t="shared" si="88"/>
        <v>363.61374855311703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16.493482677789153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5.5411509502527269E-12</v>
      </c>
      <c r="AC128" s="24">
        <f t="shared" si="57"/>
        <v>16.493482677794695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68.209337627295298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215.34313023683225</v>
      </c>
      <c r="AO128" s="62">
        <f t="shared" si="90"/>
        <v>363.61374855311703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1.4141461392138486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2.2030569634939473E-14</v>
      </c>
      <c r="AX128" s="23">
        <f t="shared" si="60"/>
        <v>1.4141461392138706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68.209337627295298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68.209337627295298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68.209337627295298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68.209337627295298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68.209337627295298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68.209337627295298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68.209337627295298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68.209337627295298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2.1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7.7</v>
      </c>
      <c r="H129" s="70">
        <f t="shared" si="56"/>
        <v>205.84666666666666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68.240401616140417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215.34313023683225</v>
      </c>
      <c r="T129" s="62">
        <f t="shared" si="88"/>
        <v>363.61374855311703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16.170055542508795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3.9181854125019848E-12</v>
      </c>
      <c r="AC129" s="24">
        <f t="shared" si="57"/>
        <v>16.170055542512713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68.240401616140417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215.34313023683225</v>
      </c>
      <c r="AO129" s="62">
        <f t="shared" si="90"/>
        <v>363.61374855311703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1.3864155959678408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1.5577965182268144E-14</v>
      </c>
      <c r="AX129" s="23">
        <f t="shared" si="60"/>
        <v>1.3864155959678564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68.240401616140417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68.240401616140417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68.240401616140417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68.240401616140417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68.240401616140417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68.240401616140417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68.240401616140417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68.240401616140417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2.1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7.7</v>
      </c>
      <c r="H130" s="70">
        <f t="shared" si="56"/>
        <v>205.84666666666666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68.270926714227727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215.34313023683225</v>
      </c>
      <c r="T130" s="62">
        <f t="shared" si="88"/>
        <v>363.61374855311703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15.852970616080212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2.7705754751263635E-12</v>
      </c>
      <c r="AC130" s="24">
        <f t="shared" si="57"/>
        <v>15.852970616082983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68.270926714227727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215.34313023683225</v>
      </c>
      <c r="AO130" s="62">
        <f t="shared" si="90"/>
        <v>363.61374855311703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1.359228831760926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1.1015284817469737E-14</v>
      </c>
      <c r="AX130" s="23">
        <f t="shared" si="60"/>
        <v>1.3592288317609371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68.270926714227727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68.270926714227727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68.270926714227727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68.270926714227727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68.270926714227727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68.270926714227727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68.270926714227727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68.270926714227727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2.1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7.7</v>
      </c>
      <c r="H131" s="70">
        <f t="shared" si="56"/>
        <v>205.84666666666666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68.300922270107122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215.34313023683225</v>
      </c>
      <c r="T131" s="62">
        <f t="shared" si="88"/>
        <v>363.61374855311703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15.542103531656185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1.9590927062509924E-12</v>
      </c>
      <c r="AC131" s="24">
        <f t="shared" si="57"/>
        <v>15.542103531658144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68.300922270107122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215.34313023683225</v>
      </c>
      <c r="AO131" s="62">
        <f t="shared" si="90"/>
        <v>363.61374855311703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1.3325751834178199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7.7889825911340721E-15</v>
      </c>
      <c r="AX131" s="23">
        <f t="shared" si="60"/>
        <v>1.3325751834178277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68.300922270107122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68.300922270107122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68.300922270107122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68.300922270107122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68.300922270107122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68.300922270107122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68.300922270107122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68.300922270107122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2.1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7.7</v>
      </c>
      <c r="H132" s="70">
        <f t="shared" ref="H132:H195" si="110">(B132+E132+F132)*44/12+(C132+D132)*0.475*44/12</f>
        <v>205.84666666666666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68.330397470152022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215.34313023683225</v>
      </c>
      <c r="T132" s="62">
        <f t="shared" si="88"/>
        <v>363.61374855311703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15.237332361147514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1.3852877375631817E-12</v>
      </c>
      <c r="AC132" s="24">
        <f t="shared" ref="AC132:AC153" si="111">SUM(Z132:AB132)</f>
        <v>15.2373323611489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68.330397470152022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215.34313023683225</v>
      </c>
      <c r="AO132" s="62">
        <f t="shared" si="90"/>
        <v>363.61374855311703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1.3064441968616018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5.5076424087348683E-15</v>
      </c>
      <c r="AX132" s="23">
        <f t="shared" ref="AX132:AX153" si="114">SUM(AU132:AW132)</f>
        <v>1.3064441968616074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68.330397470152022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68.330397470152022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68.330397470152022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68.330397470152022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68.330397470152022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68.330397470152022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68.330397470152022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68.330397470152022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2.1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7.7</v>
      </c>
      <c r="H133" s="70">
        <f t="shared" si="110"/>
        <v>205.84666666666666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68.359361341372818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215.34313023683225</v>
      </c>
      <c r="T133" s="62">
        <f t="shared" ref="T133:T196" si="142">$T$3</f>
        <v>363.61374855311703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14.938537567400459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9.795463531254962E-13</v>
      </c>
      <c r="AC133" s="24">
        <f t="shared" si="111"/>
        <v>14.938537567401438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68.359361341372818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215.34313023683225</v>
      </c>
      <c r="AO133" s="62">
        <f t="shared" ref="AO133:AO196" si="144">$AO$3</f>
        <v>363.61374855311703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1.2808256230134234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3.894491295567036E-15</v>
      </c>
      <c r="AX133" s="23">
        <f t="shared" si="114"/>
        <v>1.2808256230134274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68.359361341372818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68.359361341372818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68.359361341372818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68.359361341372818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68.359361341372818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68.359361341372818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68.359361341372818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68.359361341372818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2.1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7.7</v>
      </c>
      <c r="H134" s="70">
        <f t="shared" si="110"/>
        <v>205.84666666666666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68.387822754181457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215.34313023683225</v>
      </c>
      <c r="T134" s="62">
        <f t="shared" si="142"/>
        <v>363.61374855311703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14.645601957311955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6.9264386878159086E-13</v>
      </c>
      <c r="AC134" s="24">
        <f t="shared" si="111"/>
        <v>14.645601957312648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68.387822754181457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215.34313023683225</v>
      </c>
      <c r="AO134" s="62">
        <f t="shared" si="144"/>
        <v>363.61374855311703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1.2557094137726206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2.7538212043674342E-15</v>
      </c>
      <c r="AX134" s="23">
        <f t="shared" si="114"/>
        <v>1.2557094137726232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68.387822754181457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68.387822754181457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68.387822754181457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68.387822754181457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68.387822754181457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68.387822754181457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68.387822754181457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68.387822754181457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2.1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7.7</v>
      </c>
      <c r="H135" s="70">
        <f t="shared" si="110"/>
        <v>205.84666666666666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68.415790425108042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215.34313023683225</v>
      </c>
      <c r="T135" s="62">
        <f t="shared" si="142"/>
        <v>363.61374855311703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14.358410635864207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4.897731765627481E-13</v>
      </c>
      <c r="AC135" s="24">
        <f t="shared" si="111"/>
        <v>14.358410635864697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68.415790425108042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215.34313023683225</v>
      </c>
      <c r="AO135" s="62">
        <f t="shared" si="144"/>
        <v>363.61374855311703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1.2310857180756549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1.947245647783518E-15</v>
      </c>
      <c r="AX135" s="23">
        <f t="shared" si="114"/>
        <v>1.2310857180756569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68.415790425108042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68.415790425108042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68.415790425108042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68.415790425108042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68.415790425108042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68.415790425108042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68.415790425108042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68.415790425108042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2.1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7.7</v>
      </c>
      <c r="H136" s="70">
        <f t="shared" si="110"/>
        <v>205.84666666666666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68.443272919470417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215.34313023683225</v>
      </c>
      <c r="T136" s="62">
        <f t="shared" si="142"/>
        <v>363.61374855311703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14.076850961060639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3.4632193439079543E-13</v>
      </c>
      <c r="AC136" s="24">
        <f t="shared" si="111"/>
        <v>14.076850961060986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68.443272919470417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215.34313023683225</v>
      </c>
      <c r="AO136" s="62">
        <f t="shared" si="144"/>
        <v>363.61374855311703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1.2069448780323353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1.3769106021837171E-15</v>
      </c>
      <c r="AX136" s="23">
        <f t="shared" si="114"/>
        <v>1.2069448780323366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68.443272919470417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68.443272919470417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68.443272919470417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68.443272919470417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68.443272919470417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68.443272919470417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68.443272919470417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68.443272919470417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2.1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7.7</v>
      </c>
      <c r="H137" s="70">
        <f t="shared" si="110"/>
        <v>205.84666666666666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68.470278653997241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215.34313023683225</v>
      </c>
      <c r="T137" s="62">
        <f t="shared" si="142"/>
        <v>363.61374855311703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13.800812499745525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2.4488658828137405E-13</v>
      </c>
      <c r="AC137" s="24">
        <f t="shared" si="111"/>
        <v>13.800812499745771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68.470278653997241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215.34313023683225</v>
      </c>
      <c r="AO137" s="62">
        <f t="shared" si="144"/>
        <v>363.61374855311703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1.1832774251378066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9.7362282389175901E-16</v>
      </c>
      <c r="AX137" s="23">
        <f t="shared" si="114"/>
        <v>1.1832774251378075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68.470278653997241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68.470278653997241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68.470278653997241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68.470278653997241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68.470278653997241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68.470278653997241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68.470278653997241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68.470278653997241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2.1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7.7</v>
      </c>
      <c r="H138" s="70">
        <f t="shared" si="110"/>
        <v>205.84666666666666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68.496815899405803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215.34313023683225</v>
      </c>
      <c r="T138" s="62">
        <f t="shared" si="142"/>
        <v>363.61374855311703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13.530186984289966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1.7316096719539772E-13</v>
      </c>
      <c r="AC138" s="24">
        <f t="shared" si="111"/>
        <v>13.530186984290138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68.496815899405803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215.34313023683225</v>
      </c>
      <c r="AO138" s="62">
        <f t="shared" si="144"/>
        <v>363.61374855311703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1.1600740765588189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6.8845530109185854E-16</v>
      </c>
      <c r="AX138" s="23">
        <f t="shared" si="114"/>
        <v>1.1600740765588196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68.496815899405803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68.496815899405803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68.496815899405803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68.496815899405803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68.496815899405803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68.496815899405803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68.496815899405803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68.496815899405803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2.1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7.7</v>
      </c>
      <c r="H139" s="70">
        <f t="shared" si="110"/>
        <v>205.84666666666666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68.522892782934917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215.34313023683225</v>
      </c>
      <c r="T139" s="62">
        <f t="shared" si="142"/>
        <v>363.61374855311703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13.264868270127224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1.2244329414068703E-13</v>
      </c>
      <c r="AC139" s="24">
        <f t="shared" si="111"/>
        <v>13.264868270127346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68.522892782934917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215.34313023683225</v>
      </c>
      <c r="AO139" s="62">
        <f t="shared" si="144"/>
        <v>363.61374855311703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1.1373257314928198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4.8681141194587951E-16</v>
      </c>
      <c r="AX139" s="23">
        <f t="shared" si="114"/>
        <v>1.1373257314928202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68.522892782934917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68.522892782934917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68.522892782934917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68.522892782934917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68.522892782934917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68.522892782934917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68.522892782934917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68.522892782934917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2.1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7.7</v>
      </c>
      <c r="H140" s="70">
        <f t="shared" si="110"/>
        <v>205.84666666666666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68.548517290833985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215.34313023683225</v>
      </c>
      <c r="T140" s="62">
        <f t="shared" si="142"/>
        <v>363.61374855311703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13.004752294120776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8.6580483597698858E-14</v>
      </c>
      <c r="AC140" s="24">
        <f t="shared" si="111"/>
        <v>13.004752294120863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68.548517290833985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215.34313023683225</v>
      </c>
      <c r="AO140" s="62">
        <f t="shared" si="144"/>
        <v>363.61374855311703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1.1150234675984445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3.4422765054592927E-16</v>
      </c>
      <c r="AX140" s="23">
        <f t="shared" si="114"/>
        <v>1.115023467598445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68.548517290833985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68.548517290833985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68.548517290833985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68.548517290833985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68.548517290833985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68.548517290833985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68.548517290833985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68.548517290833985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2.1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7.7</v>
      </c>
      <c r="H141" s="70">
        <f t="shared" si="110"/>
        <v>205.84666666666666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68.573697270808808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215.34313023683225</v>
      </c>
      <c r="T141" s="62">
        <f t="shared" si="142"/>
        <v>363.61374855311703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12.749737033748735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6.1221647070343513E-14</v>
      </c>
      <c r="AC141" s="24">
        <f t="shared" si="111"/>
        <v>12.749737033748795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68.573697270808808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215.34313023683225</v>
      </c>
      <c r="AO141" s="62">
        <f t="shared" si="144"/>
        <v>363.61374855311703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1.0931585374960002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2.4340570597293975E-16</v>
      </c>
      <c r="AX141" s="23">
        <f t="shared" si="114"/>
        <v>1.0931585374960004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68.573697270808808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68.573697270808808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68.573697270808808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68.573697270808808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68.573697270808808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68.573697270808808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68.573697270808808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68.573697270808808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2.1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7.7</v>
      </c>
      <c r="H142" s="70">
        <f t="shared" si="110"/>
        <v>205.84666666666666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68.598440434425086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215.34313023683225</v>
      </c>
      <c r="T142" s="62">
        <f t="shared" si="142"/>
        <v>363.61374855311703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12.49972246708864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4.3290241798849429E-14</v>
      </c>
      <c r="AC142" s="24">
        <f t="shared" si="111"/>
        <v>12.499722467088683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68.598440434425086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215.34313023683225</v>
      </c>
      <c r="AO142" s="62">
        <f t="shared" si="144"/>
        <v>363.61374855311703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1.0717223653365744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1.7211382527296464E-16</v>
      </c>
      <c r="AX142" s="23">
        <f t="shared" si="114"/>
        <v>1.0717223653365746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68.598440434425086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68.598440434425086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68.598440434425086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68.598440434425086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68.598440434425086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68.598440434425086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68.598440434425086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68.598440434425086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2.1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7.7</v>
      </c>
      <c r="H143" s="70">
        <f t="shared" si="110"/>
        <v>205.84666666666666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68.622754359470036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215.34313023683225</v>
      </c>
      <c r="T143" s="62">
        <f t="shared" si="142"/>
        <v>363.61374855311703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12.254610533586922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3.0610823535171756E-14</v>
      </c>
      <c r="AC143" s="24">
        <f t="shared" si="111"/>
        <v>12.254610533586952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68.622754359470036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215.34313023683225</v>
      </c>
      <c r="AO143" s="62">
        <f t="shared" si="144"/>
        <v>363.61374855311703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1.0507065434384208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1.2170285298646988E-16</v>
      </c>
      <c r="AX143" s="23">
        <f t="shared" si="114"/>
        <v>1.0507065434384211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68.622754359470036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68.622754359470036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68.622754359470036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68.622754359470036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68.622754359470036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68.622754359470036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68.622754359470036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68.622754359470036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2.1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7.7</v>
      </c>
      <c r="H144" s="70">
        <f t="shared" si="110"/>
        <v>205.84666666666666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68.646646492273263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215.34313023683225</v>
      </c>
      <c r="T144" s="62">
        <f t="shared" si="142"/>
        <v>363.61374855311703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12.014305095597654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2.1645120899424715E-14</v>
      </c>
      <c r="AC144" s="24">
        <f t="shared" si="111"/>
        <v>12.014305095597676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68.646646492273263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215.34313023683225</v>
      </c>
      <c r="AO144" s="62">
        <f t="shared" si="144"/>
        <v>363.61374855311703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1.0301028289893044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8.6056912636482318E-17</v>
      </c>
      <c r="AX144" s="23">
        <f t="shared" si="114"/>
        <v>1.0301028289893044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68.646646492273263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68.646646492273263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68.646646492273263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68.646646492273263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68.646646492273263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68.646646492273263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68.646646492273263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68.646646492273263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2.1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7.7</v>
      </c>
      <c r="H145" s="70">
        <f t="shared" si="110"/>
        <v>205.84666666666666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68.670124149987146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215.34313023683225</v>
      </c>
      <c r="T145" s="62">
        <f t="shared" si="142"/>
        <v>363.61374855311703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11.778711900675512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1.5305411767585878E-14</v>
      </c>
      <c r="AC145" s="24">
        <f t="shared" si="111"/>
        <v>11.778711900675528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68.670124149987146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215.34313023683225</v>
      </c>
      <c r="AO145" s="62">
        <f t="shared" si="144"/>
        <v>363.61374855311703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1.0099031408135102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6.0851426493234938E-17</v>
      </c>
      <c r="AX145" s="23">
        <f t="shared" si="114"/>
        <v>1.0099031408135102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68.670124149987146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68.670124149987146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68.670124149987146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68.670124149987146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68.670124149987146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68.670124149987146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68.670124149987146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68.670124149987146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2.1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7.7</v>
      </c>
      <c r="H146" s="70">
        <f t="shared" si="110"/>
        <v>205.84666666666666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68.693194522827881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215.34313023683225</v>
      </c>
      <c r="T146" s="62">
        <f t="shared" si="142"/>
        <v>363.61374855311703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11.547738544608134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1.0822560449712357E-14</v>
      </c>
      <c r="AC146" s="24">
        <f t="shared" si="111"/>
        <v>11.547738544608144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68.693194522827881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215.34313023683225</v>
      </c>
      <c r="AO146" s="62">
        <f t="shared" si="144"/>
        <v>363.61374855311703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0.99009955620225021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4.3028456318241159E-17</v>
      </c>
      <c r="AX146" s="23">
        <f t="shared" si="114"/>
        <v>0.99009955620225021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68.693194522827881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68.693194522827881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68.693194522827881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68.693194522827881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68.693194522827881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68.693194522827881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68.693194522827881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68.693194522827881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2.1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7.7</v>
      </c>
      <c r="H147" s="70">
        <f t="shared" si="110"/>
        <v>205.84666666666666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68.715864676277448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215.34313023683225</v>
      </c>
      <c r="T147" s="62">
        <f t="shared" si="142"/>
        <v>363.61374855311703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11.3212944351734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7.6527058837929391E-15</v>
      </c>
      <c r="AC147" s="24">
        <f t="shared" si="111"/>
        <v>11.321294435173407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68.715864676277448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215.34313023683225</v>
      </c>
      <c r="AO147" s="62">
        <f t="shared" si="144"/>
        <v>363.61374855311703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0.97068430780622306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3.0425713246617469E-17</v>
      </c>
      <c r="AX147" s="23">
        <f t="shared" si="114"/>
        <v>0.97068430780622306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68.715864676277448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68.715864676277448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68.715864676277448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68.715864676277448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68.715864676277448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68.715864676277448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68.715864676277448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68.715864676277448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2.1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7.7</v>
      </c>
      <c r="H148" s="70">
        <f t="shared" si="110"/>
        <v>205.84666666666666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68.738141553247544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215.34313023683225</v>
      </c>
      <c r="T148" s="62">
        <f t="shared" si="142"/>
        <v>363.61374855311703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11.099290756607411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5.4112802248561786E-15</v>
      </c>
      <c r="AC148" s="24">
        <f t="shared" si="111"/>
        <v>11.099290756607417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68.738141553247544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215.34313023683225</v>
      </c>
      <c r="AO148" s="62">
        <f t="shared" si="144"/>
        <v>363.61374855311703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0.95164978058910976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2.1514228159120579E-17</v>
      </c>
      <c r="AX148" s="23">
        <f t="shared" si="114"/>
        <v>0.95164978058910976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68.738141553247544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68.738141553247544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68.738141553247544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68.738141553247544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68.738141553247544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68.738141553247544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68.738141553247544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68.738141553247544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2.1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7.7</v>
      </c>
      <c r="H149" s="70">
        <f t="shared" si="110"/>
        <v>205.84666666666666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68.760031976205852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215.34313023683225</v>
      </c>
      <c r="T149" s="62">
        <f t="shared" si="142"/>
        <v>363.61374855311703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10.881640434769229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3.8263529418964695E-15</v>
      </c>
      <c r="AC149" s="24">
        <f t="shared" si="111"/>
        <v>10.881640434769233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68.760031976205852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215.34313023683225</v>
      </c>
      <c r="AO149" s="62">
        <f t="shared" si="144"/>
        <v>363.61374855311703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0.93298850884080886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1.5212856623308735E-17</v>
      </c>
      <c r="AX149" s="23">
        <f t="shared" si="114"/>
        <v>0.93298850884080886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68.760031976205852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68.760031976205852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68.760031976205852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68.760031976205852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68.760031976205852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68.760031976205852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68.760031976205852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68.760031976205852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2.1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7.7</v>
      </c>
      <c r="H150" s="70">
        <f t="shared" si="110"/>
        <v>205.84666666666666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68.781542649265475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215.34313023683225</v>
      </c>
      <c r="T150" s="62">
        <f t="shared" si="142"/>
        <v>363.61374855311703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10.668258102988707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2.7056401124280893E-15</v>
      </c>
      <c r="AC150" s="24">
        <f t="shared" si="111"/>
        <v>10.668258102988711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68.781542649265475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215.34313023683225</v>
      </c>
      <c r="AO150" s="62">
        <f t="shared" si="144"/>
        <v>363.61374855311703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0.91469317324924027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1.075711407956029E-17</v>
      </c>
      <c r="AX150" s="23">
        <f t="shared" si="114"/>
        <v>0.91469317324924027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68.781542649265475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68.781542649265475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68.781542649265475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68.781542649265475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68.781542649265475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68.781542649265475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68.781542649265475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68.781542649265475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2.1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7.7</v>
      </c>
      <c r="H151" s="70">
        <f t="shared" si="110"/>
        <v>205.84666666666666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68.802680160238168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215.34313023683225</v>
      </c>
      <c r="T151" s="62">
        <f t="shared" si="142"/>
        <v>363.61374855311703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10.459060068584028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1.9131764709482348E-15</v>
      </c>
      <c r="AC151" s="24">
        <f t="shared" si="111"/>
        <v>10.45906006858403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68.802680160238168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215.34313023683225</v>
      </c>
      <c r="AO151" s="62">
        <f t="shared" si="144"/>
        <v>363.61374855311703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0.89675659802956953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7.6064283116543673E-18</v>
      </c>
      <c r="AX151" s="23">
        <f t="shared" si="114"/>
        <v>0.89675659802956953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68.802680160238168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68.802680160238168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68.802680160238168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68.802680160238168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68.802680160238168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68.802680160238168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68.802680160238168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68.802680160238168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2.1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7.7</v>
      </c>
      <c r="H152" s="70">
        <f t="shared" si="110"/>
        <v>205.84666666666666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68.823450982651892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215.34313023683225</v>
      </c>
      <c r="T152" s="62">
        <f t="shared" si="142"/>
        <v>363.61374855311703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10.253964280035824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1.3528200562140447E-15</v>
      </c>
      <c r="AC152" s="24">
        <f t="shared" si="111"/>
        <v>10.253964280035825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68.823450982651892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215.34313023683225</v>
      </c>
      <c r="AO152" s="62">
        <f t="shared" si="144"/>
        <v>363.61374855311703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0.87917174810972587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5.3785570397801448E-18</v>
      </c>
      <c r="AX152" s="23">
        <f t="shared" si="114"/>
        <v>0.87917174810972587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68.823450982651892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68.823450982651892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68.823450982651892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68.823450982651892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68.823450982651892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68.823450982651892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68.823450982651892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68.823450982651892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2.1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7.7</v>
      </c>
      <c r="H153" s="70">
        <f t="shared" si="110"/>
        <v>205.84666666666666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68.843861477733341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215.34313023683225</v>
      </c>
      <c r="T153" s="62">
        <f t="shared" si="142"/>
        <v>363.61374855311703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10.052890294804971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9.5658823547411739E-16</v>
      </c>
      <c r="AC153" s="24">
        <f t="shared" si="111"/>
        <v>10.052890294804973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68.843861477733341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215.34313023683225</v>
      </c>
      <c r="AO153" s="62">
        <f t="shared" si="144"/>
        <v>363.61374855311703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0.86193172637111104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3.8032141558271836E-18</v>
      </c>
      <c r="AX153" s="23">
        <f t="shared" si="114"/>
        <v>0.86193172637111104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68.843861477733341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68.843861477733341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68.843861477733341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68.843861477733341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68.843861477733341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68.843861477733341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68.843861477733341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68.843861477733341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2.1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7.7</v>
      </c>
      <c r="H154" s="70">
        <f t="shared" si="110"/>
        <v>205.84666666666666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68.863917896356156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215.34313023683225</v>
      </c>
      <c r="T154" s="62">
        <f t="shared" si="142"/>
        <v>363.61374855311703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9.8557592477814744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6.7641002810702233E-16</v>
      </c>
      <c r="AC154" s="24">
        <f t="shared" ref="AC154:AC203" si="163">SUM(Z154:AB154)</f>
        <v>9.8557592477814744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68.863917896356156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215.34313023683225</v>
      </c>
      <c r="AO154" s="62">
        <f t="shared" si="144"/>
        <v>363.61374855311703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0.84502977094341547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2.6892785198900724E-18</v>
      </c>
      <c r="AX154" s="23">
        <f t="shared" ref="AX154:AX203" si="166">SUM(AU154:AW154)</f>
        <v>0.84502977094341547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68.863917896356156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68.863917896356156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68.863917896356156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68.863917896356156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68.863917896356156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68.863917896356156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68.863917896356156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68.863917896356156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2.1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7.7</v>
      </c>
      <c r="H155" s="70">
        <f t="shared" si="110"/>
        <v>205.84666666666666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68.883626380955292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215.34313023683225</v>
      </c>
      <c r="T155" s="62">
        <f t="shared" si="142"/>
        <v>363.61374855311703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9.6624938203520419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4.7829411773705869E-16</v>
      </c>
      <c r="AC155" s="24">
        <f t="shared" si="163"/>
        <v>9.6624938203520419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68.883626380955292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215.34313023683225</v>
      </c>
      <c r="AO155" s="62">
        <f t="shared" si="144"/>
        <v>363.61374855311703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0.82845925255248209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1.9016070779135918E-18</v>
      </c>
      <c r="AX155" s="23">
        <f t="shared" si="166"/>
        <v>0.82845925255248209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68.883626380955292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68.883626380955292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68.883626380955292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68.883626380955292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68.883626380955292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68.883626380955292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68.883626380955292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68.883626380955292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2.1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7.7</v>
      </c>
      <c r="H156" s="70">
        <f t="shared" si="110"/>
        <v>205.84666666666666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68.90299296740821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215.34313023683225</v>
      </c>
      <c r="T156" s="62">
        <f t="shared" si="142"/>
        <v>363.61374855311703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9.4730182100742297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3.3820501405351116E-16</v>
      </c>
      <c r="AC156" s="24">
        <f t="shared" si="163"/>
        <v>9.4730182100742297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68.90299296740821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215.34313023683225</v>
      </c>
      <c r="AO156" s="62">
        <f t="shared" si="144"/>
        <v>363.61374855311703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0.81221367192017668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1.3446392599450362E-18</v>
      </c>
      <c r="AX156" s="23">
        <f t="shared" si="166"/>
        <v>0.81221367192017668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68.90299296740821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68.90299296740821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68.90299296740821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68.90299296740821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68.90299296740821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68.90299296740821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68.90299296740821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68.90299296740821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2.1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7.7</v>
      </c>
      <c r="H157" s="70">
        <f t="shared" si="110"/>
        <v>205.84666666666666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68.92202358688337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215.34313023683225</v>
      </c>
      <c r="T157" s="62">
        <f t="shared" si="142"/>
        <v>363.61374855311703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9.2872581009452553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2.3914705886852935E-16</v>
      </c>
      <c r="AC157" s="24">
        <f t="shared" si="163"/>
        <v>9.2872581009452553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68.92202358688337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215.34313023683225</v>
      </c>
      <c r="AO157" s="62">
        <f t="shared" si="144"/>
        <v>363.61374855311703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0.79628665721524505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9.5080353895679591E-19</v>
      </c>
      <c r="AX157" s="23">
        <f t="shared" si="166"/>
        <v>0.79628665721524505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68.92202358688337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68.92202358688337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68.92202358688337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68.92202358688337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68.92202358688337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68.92202358688337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68.92202358688337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68.92202358688337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2.1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7.7</v>
      </c>
      <c r="H158" s="70">
        <f t="shared" si="110"/>
        <v>205.84666666666666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68.940724067656731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215.34313023683225</v>
      </c>
      <c r="T158" s="62">
        <f t="shared" si="142"/>
        <v>363.61374855311703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9.1051406342538215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1.6910250702675558E-16</v>
      </c>
      <c r="AC158" s="24">
        <f t="shared" si="163"/>
        <v>9.1051406342538215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68.940724067656731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215.34313023683225</v>
      </c>
      <c r="AO158" s="62">
        <f t="shared" si="144"/>
        <v>363.61374855311703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0.78067196155415741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6.7231962997251811E-19</v>
      </c>
      <c r="AX158" s="23">
        <f t="shared" si="166"/>
        <v>0.78067196155415741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68.940724067656731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68.940724067656731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68.940724067656731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68.940724067656731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68.940724067656731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68.940724067656731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68.940724067656731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68.940724067656731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2.1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7.7</v>
      </c>
      <c r="H159" s="70">
        <f t="shared" si="110"/>
        <v>205.84666666666666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68.95910013689668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215.34313023683225</v>
      </c>
      <c r="T159" s="62">
        <f t="shared" si="142"/>
        <v>363.61374855311703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8.9265943800035199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1.1957352943426467E-16</v>
      </c>
      <c r="AC159" s="24">
        <f t="shared" si="163"/>
        <v>8.9265943800035199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68.95910013689668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215.34313023683225</v>
      </c>
      <c r="AO159" s="62">
        <f t="shared" si="144"/>
        <v>363.61374855311703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0.76536346055095972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4.7540176947839795E-19</v>
      </c>
      <c r="AX159" s="23">
        <f t="shared" si="166"/>
        <v>0.76536346055095972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68.95910013689668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68.95910013689668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68.95910013689668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68.95910013689668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68.95910013689668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68.95910013689668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68.95910013689668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68.95910013689668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2.1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7.7</v>
      </c>
      <c r="H160" s="70">
        <f t="shared" si="110"/>
        <v>205.84666666666666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68.977157422418045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215.34313023683225</v>
      </c>
      <c r="T160" s="62">
        <f t="shared" si="142"/>
        <v>363.61374855311703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8.751549308896605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8.4551253513377791E-17</v>
      </c>
      <c r="AC160" s="24">
        <f t="shared" si="163"/>
        <v>8.751549308896605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68.977157422418045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215.34313023683225</v>
      </c>
      <c r="AO160" s="62">
        <f t="shared" si="144"/>
        <v>363.61374855311703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0.75035514991517116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3.3615981498625905E-19</v>
      </c>
      <c r="AX160" s="23">
        <f t="shared" si="166"/>
        <v>0.75035514991517116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68.977157422418045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68.977157422418045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68.977157422418045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68.977157422418045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68.977157422418045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68.977157422418045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68.977157422418045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68.977157422418045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2.1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7.7</v>
      </c>
      <c r="H161" s="70">
        <f t="shared" si="110"/>
        <v>205.84666666666666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68.994901454405664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215.34313023683225</v>
      </c>
      <c r="T161" s="62">
        <f t="shared" si="142"/>
        <v>363.61374855311703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8.5799367648671456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5.9786764717132337E-17</v>
      </c>
      <c r="AC161" s="24">
        <f t="shared" si="163"/>
        <v>8.5799367648671456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68.994901454405664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215.34313023683225</v>
      </c>
      <c r="AO161" s="62">
        <f t="shared" si="144"/>
        <v>363.61374855311703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0.73564114309678486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2.3770088473919898E-19</v>
      </c>
      <c r="AX161" s="23">
        <f t="shared" si="166"/>
        <v>0.73564114309678486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68.994901454405664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68.994901454405664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68.994901454405664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68.994901454405664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68.994901454405664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68.994901454405664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68.994901454405664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68.994901454405664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2.1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7.7</v>
      </c>
      <c r="H162" s="70">
        <f t="shared" si="110"/>
        <v>205.84666666666666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69.012337667108028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215.34313023683225</v>
      </c>
      <c r="T162" s="62">
        <f t="shared" si="142"/>
        <v>363.61374855311703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8.4116894381527878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4.2275626756688896E-17</v>
      </c>
      <c r="AC162" s="24">
        <f t="shared" si="163"/>
        <v>8.4116894381527878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69.012337667108028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215.34313023683225</v>
      </c>
      <c r="AO162" s="62">
        <f t="shared" si="144"/>
        <v>363.61374855311703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0.72121566897744904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1.6807990749312953E-19</v>
      </c>
      <c r="AX162" s="23">
        <f t="shared" si="166"/>
        <v>0.72121566897744904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69.012337667108028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69.012337667108028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69.012337667108028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69.012337667108028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69.012337667108028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69.012337667108028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69.012337667108028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69.012337667108028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2.1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7.7</v>
      </c>
      <c r="H163" s="70">
        <f t="shared" si="110"/>
        <v>205.84666666666666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69.029471400501521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215.34313023683225</v>
      </c>
      <c r="T163" s="62">
        <f t="shared" si="142"/>
        <v>363.61374855311703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8.2467413388945623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2.9893382358566168E-17</v>
      </c>
      <c r="AC163" s="24">
        <f t="shared" si="163"/>
        <v>8.2467413388945623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69.029471400501521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215.34313023683225</v>
      </c>
      <c r="AO163" s="62">
        <f t="shared" si="144"/>
        <v>363.61374855311703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0.70707306960692307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1.1885044236959949E-19</v>
      </c>
      <c r="AX163" s="23">
        <f t="shared" si="166"/>
        <v>0.70707306960692307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69.029471400501521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69.029471400501521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69.029471400501521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69.029471400501521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69.029471400501521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69.029471400501521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69.029471400501521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69.029471400501521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2.1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7.7</v>
      </c>
      <c r="H164" s="70">
        <f t="shared" si="110"/>
        <v>205.84666666666666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69.046307901925914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215.34313023683225</v>
      </c>
      <c r="T164" s="62">
        <f t="shared" si="142"/>
        <v>363.61374855311703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8.0850277712543832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2.1137813378344448E-17</v>
      </c>
      <c r="AC164" s="24">
        <f t="shared" si="163"/>
        <v>8.0850277712543832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69.046307901925914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215.34313023683225</v>
      </c>
      <c r="AO164" s="62">
        <f t="shared" si="144"/>
        <v>363.61374855311703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0.69320779798391918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8.4039953746564763E-20</v>
      </c>
      <c r="AX164" s="23">
        <f t="shared" si="166"/>
        <v>0.69320779798391918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69.046307901925914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69.046307901925914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69.046307901925914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69.046307901925914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69.046307901925914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69.046307901925914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69.046307901925914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69.046307901925914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2.1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7.7</v>
      </c>
      <c r="H165" s="70">
        <f t="shared" si="110"/>
        <v>205.84666666666666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69.062852327691388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215.34313023683225</v>
      </c>
      <c r="T165" s="62">
        <f t="shared" si="142"/>
        <v>363.61374855311703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7.9264853080400917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1.4946691179283084E-17</v>
      </c>
      <c r="AC165" s="24">
        <f t="shared" si="163"/>
        <v>7.9264853080400917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69.062852327691388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215.34313023683225</v>
      </c>
      <c r="AO165" s="62">
        <f t="shared" si="144"/>
        <v>363.61374855311703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0.67961441588046179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5.9425221184799744E-20</v>
      </c>
      <c r="AX165" s="23">
        <f t="shared" si="166"/>
        <v>0.67961441588046179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69.062852327691388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69.062852327691388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69.062852327691388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69.062852327691388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69.062852327691388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69.062852327691388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69.062852327691388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69.062852327691388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2.1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7.7</v>
      </c>
      <c r="H166" s="70">
        <f t="shared" si="110"/>
        <v>205.84666666666666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69.079109744657629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215.34313023683225</v>
      </c>
      <c r="T166" s="62">
        <f t="shared" si="142"/>
        <v>363.61374855311703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7.7710517658280782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1.0568906689172224E-17</v>
      </c>
      <c r="AC166" s="24">
        <f t="shared" si="163"/>
        <v>7.7710517658280782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69.079109744657629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215.34313023683225</v>
      </c>
      <c r="AO166" s="62">
        <f t="shared" si="144"/>
        <v>363.61374855311703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0.66628759170890883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4.2019976873282382E-20</v>
      </c>
      <c r="AX166" s="23">
        <f t="shared" si="166"/>
        <v>0.66628759170890883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69.079109744657629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69.079109744657629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69.079109744657629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69.079109744657629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69.079109744657629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69.079109744657629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69.079109744657629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69.079109744657629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2.1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7.7</v>
      </c>
      <c r="H167" s="70">
        <f t="shared" si="110"/>
        <v>205.84666666666666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69.095085131785638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215.34313023683225</v>
      </c>
      <c r="T167" s="62">
        <f t="shared" si="142"/>
        <v>363.61374855311703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7.6186661805737428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7.4733455896415421E-18</v>
      </c>
      <c r="AC167" s="24">
        <f t="shared" si="163"/>
        <v>7.6186661805737428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69.095085131785638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215.34313023683225</v>
      </c>
      <c r="AO167" s="62">
        <f t="shared" si="144"/>
        <v>363.61374855311703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0.65322209843079992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2.9712610592399872E-20</v>
      </c>
      <c r="AX167" s="23">
        <f t="shared" si="166"/>
        <v>0.65322209843079992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69.095085131785638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69.095085131785638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69.095085131785638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69.095085131785638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69.095085131785638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69.095085131785638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69.095085131785638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69.095085131785638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2.1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7.7</v>
      </c>
      <c r="H168" s="70">
        <f t="shared" si="110"/>
        <v>205.84666666666666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69.110783381662586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215.34313023683225</v>
      </c>
      <c r="T168" s="62">
        <f t="shared" si="142"/>
        <v>363.61374855311703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7.4692687837002163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5.2844533445861119E-18</v>
      </c>
      <c r="AC168" s="24">
        <f t="shared" si="163"/>
        <v>7.4692687837002163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69.110783381662586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215.34313023683225</v>
      </c>
      <c r="AO168" s="62">
        <f t="shared" si="144"/>
        <v>363.61374855311703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0.6404128115067107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2.1009988436641191E-20</v>
      </c>
      <c r="AX168" s="23">
        <f t="shared" si="166"/>
        <v>0.6404128115067107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69.110783381662586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69.110783381662586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69.110783381662586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69.110783381662586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69.110783381662586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69.110783381662586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69.110783381662586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69.110783381662586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2.1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7.7</v>
      </c>
      <c r="H169" s="70">
        <f t="shared" si="110"/>
        <v>205.84666666666666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69.126209302000206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215.34313023683225</v>
      </c>
      <c r="T169" s="62">
        <f t="shared" si="142"/>
        <v>363.61374855311703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7.3228009786559651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3.736672794820771E-18</v>
      </c>
      <c r="AC169" s="24">
        <f t="shared" si="163"/>
        <v>7.3228009786559651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69.126209302000206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215.34313023683225</v>
      </c>
      <c r="AO169" s="62">
        <f t="shared" si="144"/>
        <v>363.61374855311703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0.62785470688630929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1.4856305296199936E-20</v>
      </c>
      <c r="AX169" s="23">
        <f t="shared" si="166"/>
        <v>0.62785470688630929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69.126209302000206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69.126209302000206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69.126209302000206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69.126209302000206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69.126209302000206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69.126209302000206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69.126209302000206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69.126209302000206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2.1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7.7</v>
      </c>
      <c r="H170" s="70">
        <f t="shared" si="110"/>
        <v>205.84666666666666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69.141367617107164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215.34313023683225</v>
      </c>
      <c r="T170" s="62">
        <f t="shared" si="142"/>
        <v>363.61374855311703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7.1792053179320918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2.642226672293056E-18</v>
      </c>
      <c r="AC170" s="24">
        <f t="shared" si="163"/>
        <v>7.1792053179320918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69.141367617107164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215.34313023683225</v>
      </c>
      <c r="AO170" s="62">
        <f t="shared" si="144"/>
        <v>363.61374855311703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0.61554285903782646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1.0504994218320595E-20</v>
      </c>
      <c r="AX170" s="23">
        <f t="shared" si="166"/>
        <v>0.61554285903782646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69.141367617107164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69.141367617107164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69.141367617107164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69.141367617107164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69.141367617107164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69.141367617107164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69.141367617107164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69.141367617107164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2.1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7.7</v>
      </c>
      <c r="H171" s="70">
        <f t="shared" si="110"/>
        <v>205.84666666666666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69.156262969335927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215.34313023683225</v>
      </c>
      <c r="T171" s="62">
        <f t="shared" si="142"/>
        <v>363.61374855311703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7.038425480530309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1.8683363974103855E-18</v>
      </c>
      <c r="AC171" s="24">
        <f t="shared" si="163"/>
        <v>7.038425480530309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69.156262969335927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215.34313023683225</v>
      </c>
      <c r="AO171" s="62">
        <f t="shared" si="144"/>
        <v>363.61374855311703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0.60347243901616665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7.428152648099968E-21</v>
      </c>
      <c r="AX171" s="23">
        <f t="shared" si="166"/>
        <v>0.60347243901616665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69.156262969335927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69.156262969335927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69.156262969335927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69.156262969335927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69.156262969335927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69.156262969335927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69.156262969335927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69.156262969335927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2.1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7.7</v>
      </c>
      <c r="H172" s="70">
        <f t="shared" si="110"/>
        <v>205.84666666666666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69.170899920504525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215.34313023683225</v>
      </c>
      <c r="T172" s="62">
        <f t="shared" si="142"/>
        <v>363.61374855311703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6.900406249872753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1.321113336146528E-18</v>
      </c>
      <c r="AC172" s="24">
        <f t="shared" si="163"/>
        <v>6.900406249872753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69.170899920504525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215.34313023683225</v>
      </c>
      <c r="AO172" s="62">
        <f t="shared" si="144"/>
        <v>363.61374855311703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0.59163871256890233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5.2524971091602977E-21</v>
      </c>
      <c r="AX172" s="23">
        <f t="shared" si="166"/>
        <v>0.59163871256890233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69.170899920504525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69.170899920504525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69.170899920504525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69.170899920504525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69.170899920504525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69.170899920504525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69.170899920504525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69.170899920504525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2.1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7.7</v>
      </c>
      <c r="H173" s="70">
        <f t="shared" si="110"/>
        <v>205.84666666666666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69.185282953293694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215.34313023683225</v>
      </c>
      <c r="T173" s="62">
        <f t="shared" si="142"/>
        <v>363.61374855311703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6.765093492144973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9.3416819870519276E-19</v>
      </c>
      <c r="AC173" s="24">
        <f t="shared" si="163"/>
        <v>6.765093492144973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69.185282953293694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215.34313023683225</v>
      </c>
      <c r="AO173" s="62">
        <f t="shared" si="144"/>
        <v>363.61374855311703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0.58003703827940845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3.714076324049984E-21</v>
      </c>
      <c r="AX173" s="23">
        <f t="shared" si="166"/>
        <v>0.58003703827940845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69.185282953293694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69.185282953293694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69.185282953293694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69.185282953293694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69.185282953293694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69.185282953293694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69.185282953293694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69.185282953293694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2.1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7.7</v>
      </c>
      <c r="H174" s="70">
        <f t="shared" si="110"/>
        <v>205.84666666666666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69.199416472619589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215.34313023683225</v>
      </c>
      <c r="T174" s="62">
        <f t="shared" si="142"/>
        <v>363.61374855311703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6.632434135063602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6.6055666807326399E-19</v>
      </c>
      <c r="AC174" s="24">
        <f t="shared" si="163"/>
        <v>6.632434135063602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69.199416472619589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215.34313023683225</v>
      </c>
      <c r="AO174" s="62">
        <f t="shared" si="144"/>
        <v>363.61374855311703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0.56866286574640901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2.6262485545801489E-21</v>
      </c>
      <c r="AX174" s="23">
        <f t="shared" si="166"/>
        <v>0.56866286574640901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69.199416472619589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69.199416472619589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69.199416472619589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69.199416472619589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69.199416472619589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69.199416472619589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69.199416472619589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69.199416472619589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2.1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7.7</v>
      </c>
      <c r="H175" s="70">
        <f t="shared" si="110"/>
        <v>205.84666666666666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69.213304806983018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215.34313023683225</v>
      </c>
      <c r="T175" s="62">
        <f t="shared" si="142"/>
        <v>363.61374855311703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6.5023761470603789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4.6708409935259638E-19</v>
      </c>
      <c r="AC175" s="24">
        <f t="shared" si="163"/>
        <v>6.5023761470603789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69.213304806983018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215.34313023683225</v>
      </c>
      <c r="AO175" s="62">
        <f t="shared" si="144"/>
        <v>363.61374855311703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0.55751173379922148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1.857038162024992E-21</v>
      </c>
      <c r="AX175" s="23">
        <f t="shared" si="166"/>
        <v>0.55751173379922148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69.213304806983018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69.213304806983018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69.213304806983018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69.213304806983018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69.213304806983018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69.213304806983018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69.213304806983018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69.213304806983018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2.1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7.7</v>
      </c>
      <c r="H176" s="70">
        <f t="shared" si="110"/>
        <v>205.84666666666666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69.226952209794888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215.34313023683225</v>
      </c>
      <c r="T176" s="62">
        <f t="shared" si="142"/>
        <v>363.61374855311703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6.3748685168743586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3.30278334036632E-19</v>
      </c>
      <c r="AC176" s="24">
        <f t="shared" si="163"/>
        <v>6.3748685168743586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69.226952209794888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215.34313023683225</v>
      </c>
      <c r="AO176" s="62">
        <f t="shared" si="144"/>
        <v>363.61374855311703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0.54657926874799934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1.3131242772900744E-21</v>
      </c>
      <c r="AX176" s="23">
        <f t="shared" si="166"/>
        <v>0.54657926874799934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69.226952209794888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69.226952209794888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69.226952209794888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69.226952209794888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69.226952209794888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69.226952209794888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69.226952209794888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69.226952209794888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2.1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7.7</v>
      </c>
      <c r="H177" s="70">
        <f t="shared" si="110"/>
        <v>205.84666666666666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69.240362860679014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215.34313023683225</v>
      </c>
      <c r="T177" s="62">
        <f t="shared" si="142"/>
        <v>363.61374855311703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6.2498612335443111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2.3354204967629819E-19</v>
      </c>
      <c r="AC177" s="24">
        <f t="shared" si="163"/>
        <v>6.2498612335443111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69.240362860679014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215.34313023683225</v>
      </c>
      <c r="AO177" s="62">
        <f t="shared" si="144"/>
        <v>363.61374855311703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0.53586118266828642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9.2851908101249601E-22</v>
      </c>
      <c r="AX177" s="23">
        <f t="shared" si="166"/>
        <v>0.53586118266828642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69.240362860679014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69.240362860679014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69.240362860679014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69.240362860679014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69.240362860679014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69.240362860679014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69.240362860679014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69.240362860679014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2.1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7.7</v>
      </c>
      <c r="H178" s="70">
        <f t="shared" si="110"/>
        <v>205.84666666666666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69.253540866752004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215.34313023683225</v>
      </c>
      <c r="T178" s="62">
        <f t="shared" si="142"/>
        <v>363.61374855311703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6.127305266793452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1.65139167018316E-19</v>
      </c>
      <c r="AC178" s="24">
        <f t="shared" si="163"/>
        <v>6.127305266793452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69.253540866752004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215.34313023683225</v>
      </c>
      <c r="AO178" s="62">
        <f t="shared" si="144"/>
        <v>363.61374855311703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0.52535327171920965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6.5656213864503721E-22</v>
      </c>
      <c r="AX178" s="23">
        <f t="shared" si="166"/>
        <v>0.52535327171920965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69.253540866752004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69.253540866752004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69.253540866752004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69.253540866752004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69.253540866752004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69.253540866752004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69.253540866752004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69.253540866752004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2.1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7.7</v>
      </c>
      <c r="H179" s="70">
        <f t="shared" si="110"/>
        <v>205.84666666666666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69.266490263881252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215.34313023683225</v>
      </c>
      <c r="T179" s="62">
        <f t="shared" si="142"/>
        <v>363.61374855311703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6.0071525477988184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1.167710248381491E-19</v>
      </c>
      <c r="AC179" s="24">
        <f t="shared" si="163"/>
        <v>6.0071525477988184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69.266490263881252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215.34313023683225</v>
      </c>
      <c r="AO179" s="62">
        <f t="shared" si="144"/>
        <v>363.61374855311703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0.51505141449465153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4.64259540506248E-22</v>
      </c>
      <c r="AX179" s="23">
        <f t="shared" si="166"/>
        <v>0.51505141449465153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69.266490263881252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69.266490263881252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69.266490263881252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69.266490263881252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69.266490263881252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69.266490263881252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69.266490263881252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69.266490263881252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2.1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7.7</v>
      </c>
      <c r="H180" s="70">
        <f t="shared" si="110"/>
        <v>205.84666666666666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69.279215017920805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215.34313023683225</v>
      </c>
      <c r="T180" s="62">
        <f t="shared" si="142"/>
        <v>363.61374855311703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5.8893559503377473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8.2569583509157999E-20</v>
      </c>
      <c r="AC180" s="24">
        <f t="shared" si="163"/>
        <v>5.8893559503377473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69.279215017920805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215.34313023683225</v>
      </c>
      <c r="AO180" s="62">
        <f t="shared" si="144"/>
        <v>363.61374855311703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0.50495157040675454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3.2828106932251861E-22</v>
      </c>
      <c r="AX180" s="23">
        <f t="shared" si="166"/>
        <v>0.50495157040675454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69.279215017920805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69.279215017920805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69.279215017920805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69.279215017920805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69.279215017920805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69.279215017920805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69.279215017920805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69.279215017920805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2.1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7.7</v>
      </c>
      <c r="H181" s="70">
        <f t="shared" si="110"/>
        <v>205.84666666666666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69.291719025926071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215.34313023683225</v>
      </c>
      <c r="T181" s="62">
        <f t="shared" si="142"/>
        <v>363.61374855311703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5.7738692723040579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5.8385512419074548E-20</v>
      </c>
      <c r="AC181" s="24">
        <f t="shared" si="163"/>
        <v>5.7738692723040579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69.291719025926071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215.34313023683225</v>
      </c>
      <c r="AO181" s="62">
        <f t="shared" si="144"/>
        <v>363.61374855311703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0.49504977810112455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2.32129770253124E-22</v>
      </c>
      <c r="AX181" s="23">
        <f t="shared" si="166"/>
        <v>0.49504977810112455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69.291719025926071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69.291719025926071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69.291719025926071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69.291719025926071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69.291719025926071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69.291719025926071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69.291719025926071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69.291719025926071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2.1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7.7</v>
      </c>
      <c r="H182" s="70">
        <f t="shared" si="110"/>
        <v>205.84666666666666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69.304006117347214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215.34313023683225</v>
      </c>
      <c r="T182" s="62">
        <f t="shared" si="142"/>
        <v>363.61374855311703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5.6606472175866909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4.1284791754579E-20</v>
      </c>
      <c r="AC182" s="24">
        <f t="shared" si="163"/>
        <v>5.6606472175866909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69.304006117347214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215.34313023683225</v>
      </c>
      <c r="AO182" s="62">
        <f t="shared" si="144"/>
        <v>363.61374855311703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0.48534215390311097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1.641405346612593E-22</v>
      </c>
      <c r="AX182" s="23">
        <f t="shared" si="166"/>
        <v>0.48534215390311097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69.304006117347214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69.304006117347214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69.304006117347214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69.304006117347214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69.304006117347214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69.304006117347214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69.304006117347214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69.304006117347214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2.1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7.7</v>
      </c>
      <c r="H183" s="70">
        <f t="shared" si="110"/>
        <v>205.84666666666666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69.316080055202036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215.34313023683225</v>
      </c>
      <c r="T183" s="62">
        <f t="shared" si="142"/>
        <v>363.61374855311703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5.5496453783036976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2.9192756209537274E-20</v>
      </c>
      <c r="AC183" s="24">
        <f t="shared" si="163"/>
        <v>5.5496453783036976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69.316080055202036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215.34313023683225</v>
      </c>
      <c r="AO183" s="62">
        <f t="shared" si="144"/>
        <v>363.61374855311703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0.47582489029455438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1.16064885126562E-22</v>
      </c>
      <c r="AX183" s="23">
        <f t="shared" si="166"/>
        <v>0.47582489029455438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69.316080055202036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69.316080055202036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69.316080055202036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69.316080055202036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69.316080055202036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69.316080055202036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69.316080055202036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69.316080055202036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2.1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7.7</v>
      </c>
      <c r="H184" s="70">
        <f t="shared" si="110"/>
        <v>205.84666666666666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69.327944537228348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215.34313023683225</v>
      </c>
      <c r="T184" s="62">
        <f t="shared" si="142"/>
        <v>363.61374855311703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5.4408202173846067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2.06423958772895E-20</v>
      </c>
      <c r="AC184" s="24">
        <f t="shared" si="163"/>
        <v>5.4408202173846067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69.327944537228348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215.34313023683225</v>
      </c>
      <c r="AO184" s="62">
        <f t="shared" si="144"/>
        <v>363.61374855311703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0.46649425442040393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8.2070267330629652E-23</v>
      </c>
      <c r="AX184" s="23">
        <f t="shared" si="166"/>
        <v>0.46649425442040393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69.327944537228348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69.327944537228348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69.327944537228348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69.327944537228348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69.327944537228348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69.327944537228348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69.327944537228348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69.327944537228348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2.1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7.7</v>
      </c>
      <c r="H185" s="70">
        <f t="shared" si="110"/>
        <v>205.84666666666666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69.339603197016501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215.34313023683225</v>
      </c>
      <c r="T185" s="62">
        <f t="shared" si="142"/>
        <v>363.61374855311703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5.3341290514943456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1.4596378104768637E-20</v>
      </c>
      <c r="AC185" s="24">
        <f t="shared" si="163"/>
        <v>5.3341290514943456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69.339603197016501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215.34313023683225</v>
      </c>
      <c r="AO185" s="62">
        <f t="shared" si="144"/>
        <v>363.61374855311703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0.45734658662461969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5.8032442563281E-23</v>
      </c>
      <c r="AX185" s="23">
        <f t="shared" si="166"/>
        <v>0.45734658662461969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69.339603197016501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69.339603197016501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69.339603197016501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69.339603197016501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69.339603197016501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69.339603197016501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69.339603197016501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69.339603197016501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2.1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7.7</v>
      </c>
      <c r="H186" s="70">
        <f t="shared" si="110"/>
        <v>205.84666666666666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69.351059605122202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215.34313023683225</v>
      </c>
      <c r="T186" s="62">
        <f t="shared" si="142"/>
        <v>363.61374855311703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5.229530034292007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1.032119793864475E-20</v>
      </c>
      <c r="AC186" s="24">
        <f t="shared" si="163"/>
        <v>5.229530034292007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69.351059605122202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215.34313023683225</v>
      </c>
      <c r="AO186" s="62">
        <f t="shared" si="144"/>
        <v>363.61374855311703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0.44837829901478432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4.1035133665314826E-23</v>
      </c>
      <c r="AX186" s="23">
        <f t="shared" si="166"/>
        <v>0.44837829901478432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69.351059605122202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69.351059605122202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69.351059605122202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69.351059605122202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69.351059605122202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69.351059605122202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69.351059605122202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69.351059605122202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2.1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7.7</v>
      </c>
      <c r="H187" s="70">
        <f t="shared" si="110"/>
        <v>205.84666666666666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69.362317270159949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215.34313023683225</v>
      </c>
      <c r="T187" s="62">
        <f t="shared" si="142"/>
        <v>363.61374855311703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5.1269821400179048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7.2981890523843184E-21</v>
      </c>
      <c r="AC187" s="24">
        <f t="shared" si="163"/>
        <v>5.1269821400179048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69.362317270159949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215.34313023683225</v>
      </c>
      <c r="AO187" s="62">
        <f t="shared" si="144"/>
        <v>363.61374855311703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0.43958587405486255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2.90162212816405E-23</v>
      </c>
      <c r="AX187" s="23">
        <f t="shared" si="166"/>
        <v>0.43958587405486255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69.362317270159949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69.362317270159949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69.362317270159949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69.362317270159949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69.362317270159949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69.362317270159949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69.362317270159949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69.362317270159949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2.1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7.7</v>
      </c>
      <c r="H188" s="70">
        <f t="shared" si="110"/>
        <v>205.84666666666666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69.373379639877669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215.34313023683225</v>
      </c>
      <c r="T188" s="62">
        <f t="shared" si="142"/>
        <v>363.61374855311703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5.0264451474024785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5.1605989693223749E-21</v>
      </c>
      <c r="AC188" s="24">
        <f t="shared" si="163"/>
        <v>5.0264451474024785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69.373379639877669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215.34313023683225</v>
      </c>
      <c r="AO188" s="62">
        <f t="shared" si="144"/>
        <v>363.61374855311703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0.43096586318555513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2.0517566832657413E-23</v>
      </c>
      <c r="AX188" s="23">
        <f t="shared" si="166"/>
        <v>0.43096586318555513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69.373379639877669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69.373379639877669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69.373379639877669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69.373379639877669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69.373379639877669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69.373379639877669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69.373379639877669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69.373379639877669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2.1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7.7</v>
      </c>
      <c r="H189" s="70">
        <f t="shared" si="110"/>
        <v>205.84666666666666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69.384250102212548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215.34313023683225</v>
      </c>
      <c r="T189" s="62">
        <f t="shared" si="142"/>
        <v>363.61374855311703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4.9278796238907301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3.6490945261921592E-21</v>
      </c>
      <c r="AC189" s="24">
        <f t="shared" si="163"/>
        <v>4.9278796238907301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69.384250102212548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215.34313023683225</v>
      </c>
      <c r="AO189" s="62">
        <f t="shared" si="144"/>
        <v>363.61374855311703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0.42251488547170735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1.450811064082025E-23</v>
      </c>
      <c r="AX189" s="23">
        <f t="shared" si="166"/>
        <v>0.42251488547170735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69.384250102212548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69.384250102212548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69.384250102212548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69.384250102212548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69.384250102212548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69.384250102212548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69.384250102212548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69.384250102212548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2.1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7.7</v>
      </c>
      <c r="H190" s="70">
        <f t="shared" si="110"/>
        <v>205.84666666666666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69.394931986328615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215.34313023683225</v>
      </c>
      <c r="T190" s="62">
        <f t="shared" si="142"/>
        <v>363.61374855311703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4.8312469101760138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2.5802994846611875E-21</v>
      </c>
      <c r="AC190" s="24">
        <f t="shared" si="163"/>
        <v>4.8312469101760138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69.394931986328615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215.34313023683225</v>
      </c>
      <c r="AO190" s="62">
        <f t="shared" si="144"/>
        <v>363.61374855311703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0.41422962627624071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1.0258783416328706E-23</v>
      </c>
      <c r="AX190" s="23">
        <f t="shared" si="166"/>
        <v>0.41422962627624071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69.394931986328615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69.394931986328615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69.394931986328615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69.394931986328615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69.394931986328615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69.394931986328615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69.394931986328615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69.394931986328615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2.1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7.7</v>
      </c>
      <c r="H191" s="70">
        <f t="shared" si="110"/>
        <v>205.84666666666666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69.405428563636391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215.34313023683225</v>
      </c>
      <c r="T191" s="62">
        <f t="shared" si="142"/>
        <v>363.61374855311703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4.7365091050371078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1.8245472630960796E-21</v>
      </c>
      <c r="AC191" s="24">
        <f t="shared" si="163"/>
        <v>4.7365091050371078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69.405428563636391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215.34313023683225</v>
      </c>
      <c r="AO191" s="62">
        <f t="shared" si="144"/>
        <v>363.61374855311703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0.40610683596008806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7.254055320410125E-24</v>
      </c>
      <c r="AX191" s="23">
        <f t="shared" si="166"/>
        <v>0.40610683596008806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69.405428563636391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69.405428563636391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69.405428563636391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69.405428563636391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69.405428563636391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69.405428563636391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69.405428563636391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69.405428563636391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2.1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7.7</v>
      </c>
      <c r="H192" s="70">
        <f t="shared" si="110"/>
        <v>205.84666666666666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69.415743048794695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215.34313023683225</v>
      </c>
      <c r="T192" s="62">
        <f t="shared" si="142"/>
        <v>363.61374855311703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4.6436290504726205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1.2901497423305937E-21</v>
      </c>
      <c r="AC192" s="24">
        <f t="shared" si="163"/>
        <v>4.6436290504726205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69.415743048794695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215.34313023683225</v>
      </c>
      <c r="AO192" s="62">
        <f t="shared" si="144"/>
        <v>363.61374855311703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0.39814332860762225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5.1293917081643532E-24</v>
      </c>
      <c r="AX192" s="23">
        <f t="shared" si="166"/>
        <v>0.39814332860762225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69.415743048794695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69.415743048794695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69.415743048794695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69.415743048794695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69.415743048794695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69.415743048794695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69.415743048794695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69.415743048794695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2.1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7.7</v>
      </c>
      <c r="H193" s="70">
        <f t="shared" si="110"/>
        <v>205.84666666666666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69.425878600695256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215.34313023683225</v>
      </c>
      <c r="T193" s="62">
        <f t="shared" si="142"/>
        <v>363.61374855311703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4.5525703171269036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9.122736315480398E-22</v>
      </c>
      <c r="AC193" s="24">
        <f t="shared" si="163"/>
        <v>4.5525703171269036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69.425878600695256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215.34313023683225</v>
      </c>
      <c r="AO193" s="62">
        <f t="shared" si="144"/>
        <v>363.61374855311703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0.39033598077707843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3.6270276602050625E-24</v>
      </c>
      <c r="AX193" s="23">
        <f t="shared" si="166"/>
        <v>0.39033598077707843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69.425878600695256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69.425878600695256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69.425878600695256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69.425878600695256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69.425878600695256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69.425878600695256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69.425878600695256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69.425878600695256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2.1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7.7</v>
      </c>
      <c r="H194" s="70">
        <f t="shared" si="110"/>
        <v>205.84666666666666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69.435838323430033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215.34313023683225</v>
      </c>
      <c r="T194" s="62">
        <f t="shared" si="142"/>
        <v>363.61374855311703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4.4632971900017528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6.4507487116529687E-22</v>
      </c>
      <c r="AC194" s="24">
        <f t="shared" si="163"/>
        <v>4.4632971900017528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69.435838323430033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215.34313023683225</v>
      </c>
      <c r="AO194" s="62">
        <f t="shared" si="144"/>
        <v>363.61374855311703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0.38268173027547958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2.5646958540821766E-24</v>
      </c>
      <c r="AX194" s="23">
        <f t="shared" si="166"/>
        <v>0.38268173027547958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69.435838323430033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69.435838323430033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69.435838323430033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69.435838323430033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69.435838323430033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69.435838323430033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69.435838323430033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69.435838323430033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2.1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7.7</v>
      </c>
      <c r="H195" s="70">
        <f t="shared" si="110"/>
        <v>205.84666666666666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69.445625267241965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215.34313023683225</v>
      </c>
      <c r="T195" s="62">
        <f t="shared" si="142"/>
        <v>363.61374855311703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4.3757746544482954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4.561368157740199E-22</v>
      </c>
      <c r="AC195" s="24">
        <f t="shared" si="163"/>
        <v>4.3757746544482954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69.445625267241965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215.34313023683225</v>
      </c>
      <c r="AO195" s="62">
        <f t="shared" si="144"/>
        <v>363.61374855311703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0.3751775749575853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1.8135138301025313E-24</v>
      </c>
      <c r="AX195" s="23">
        <f t="shared" si="166"/>
        <v>0.3751775749575853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69.445625267241965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69.445625267241965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69.445625267241965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69.445625267241965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69.445625267241965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69.445625267241965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69.445625267241965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69.445625267241965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2.1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7.7</v>
      </c>
      <c r="H196" s="70">
        <f t="shared" ref="H196:H203" si="192">(B196+E196+F196)*44/12+(C196+D196)*0.475*44/12</f>
        <v>205.84666666666666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69.455242429459091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215.34313023683225</v>
      </c>
      <c r="T196" s="62">
        <f t="shared" si="142"/>
        <v>363.61374855311703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4.2899683824335657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3.2253743558264843E-22</v>
      </c>
      <c r="AC196" s="24">
        <f t="shared" si="163"/>
        <v>4.2899683824335657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69.455242429459091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215.34313023683225</v>
      </c>
      <c r="AO196" s="62">
        <f t="shared" si="144"/>
        <v>363.61374855311703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0.36782057154839215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1.2823479270410883E-24</v>
      </c>
      <c r="AX196" s="23">
        <f t="shared" si="166"/>
        <v>0.36782057154839215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69.455242429459091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69.455242429459091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69.455242429459091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69.455242429459091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69.455242429459091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69.455242429459091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69.455242429459091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69.455242429459091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2.1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7.7</v>
      </c>
      <c r="H197" s="70">
        <f t="shared" si="192"/>
        <v>205.84666666666666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69.4646927554125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215.34313023683225</v>
      </c>
      <c r="T197" s="62">
        <f t="shared" ref="T197:T203" si="204">$T$3</f>
        <v>363.61374855311703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4.2058447190763868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2.2806840788700995E-22</v>
      </c>
      <c r="AC197" s="24">
        <f t="shared" si="163"/>
        <v>4.2058447190763868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69.4646927554125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215.34313023683225</v>
      </c>
      <c r="AO197" s="62">
        <f t="shared" ref="AO197:AO203" si="205">$AO$3</f>
        <v>363.61374855311703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0.36060783448872424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9.0675691505126563E-25</v>
      </c>
      <c r="AX197" s="23">
        <f t="shared" si="166"/>
        <v>0.36060783448872424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69.4646927554125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69.4646927554125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69.4646927554125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69.4646927554125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69.4646927554125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69.4646927554125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69.4646927554125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69.4646927554125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2.1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7.7</v>
      </c>
      <c r="H198" s="70">
        <f t="shared" si="192"/>
        <v>205.84666666666666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69.473979139338383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215.34313023683225</v>
      </c>
      <c r="T198" s="62">
        <f t="shared" si="204"/>
        <v>363.61374855311703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4.123370669447274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1.6126871779132422E-22</v>
      </c>
      <c r="AC198" s="24">
        <f t="shared" si="163"/>
        <v>4.123370669447274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69.473979139338383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215.34313023683225</v>
      </c>
      <c r="AO198" s="62">
        <f t="shared" si="205"/>
        <v>363.61374855311703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0.35353653480346126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6.4117396352054415E-25</v>
      </c>
      <c r="AX198" s="23">
        <f t="shared" si="166"/>
        <v>0.35353653480346126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69.473979139338383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69.473979139338383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69.473979139338383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69.473979139338383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69.473979139338383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69.473979139338383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69.473979139338383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69.473979139338383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2.1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7.7</v>
      </c>
      <c r="H199" s="70">
        <f t="shared" si="192"/>
        <v>205.84666666666666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69.483104425264401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215.34313023683225</v>
      </c>
      <c r="T199" s="62">
        <f t="shared" si="204"/>
        <v>363.61374855311703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4.0425138856271854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1.1403420394350498E-22</v>
      </c>
      <c r="AC199" s="24">
        <f t="shared" si="163"/>
        <v>4.0425138856271854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69.483104425264401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215.34313023683225</v>
      </c>
      <c r="AO199" s="62">
        <f t="shared" si="205"/>
        <v>363.61374855311703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0.34660389899195931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4.5337845752563282E-25</v>
      </c>
      <c r="AX199" s="23">
        <f t="shared" si="166"/>
        <v>0.34660389899195931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69.483104425264401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69.483104425264401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69.483104425264401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69.483104425264401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69.483104425264401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69.483104425264401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69.483104425264401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69.483104425264401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2.1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7.7</v>
      </c>
      <c r="H200" s="70">
        <f t="shared" si="192"/>
        <v>205.84666666666666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69.492071407880672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215.34313023683225</v>
      </c>
      <c r="T200" s="62">
        <f t="shared" si="204"/>
        <v>363.61374855311703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3.9632426540200401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8.0634358895662108E-23</v>
      </c>
      <c r="AC200" s="24">
        <f t="shared" si="163"/>
        <v>3.9632426540200401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69.492071407880672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215.34313023683225</v>
      </c>
      <c r="AO200" s="62">
        <f t="shared" si="205"/>
        <v>363.61374855311703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0.33980720794023062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3.2058698176027208E-25</v>
      </c>
      <c r="AX200" s="23">
        <f t="shared" si="166"/>
        <v>0.33980720794023062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69.492071407880672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69.492071407880672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69.492071407880672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69.492071407880672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69.492071407880672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69.492071407880672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69.492071407880672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69.492071407880672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2.1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7.7</v>
      </c>
      <c r="H201" s="70">
        <f t="shared" si="192"/>
        <v>205.84666666666666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69.500882833395735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215.34313023683225</v>
      </c>
      <c r="T201" s="62">
        <f t="shared" si="204"/>
        <v>363.61374855311703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3.8855258829140338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5.7017101971752488E-23</v>
      </c>
      <c r="AC201" s="24">
        <f t="shared" si="163"/>
        <v>3.8855258829140338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69.500882833395735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215.34313023683225</v>
      </c>
      <c r="AO201" s="62">
        <f t="shared" si="205"/>
        <v>363.61374855311703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0.33314379585445414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2.2668922876281641E-25</v>
      </c>
      <c r="AX201" s="23">
        <f t="shared" si="166"/>
        <v>0.33314379585445414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69.500882833395735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69.500882833395735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69.500882833395735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69.500882833395735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69.500882833395735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69.500882833395735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69.500882833395735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69.500882833395735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2.1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7.7</v>
      </c>
      <c r="H202" s="70">
        <f t="shared" si="192"/>
        <v>205.84666666666666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69.509541400377501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215.34313023683225</v>
      </c>
      <c r="T202" s="62">
        <f t="shared" si="204"/>
        <v>363.61374855311703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3.8093330902868665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4.0317179447831054E-23</v>
      </c>
      <c r="AC202" s="24">
        <f t="shared" si="163"/>
        <v>3.8093330902868665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69.509541400377501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215.34313023683225</v>
      </c>
      <c r="AO202" s="62">
        <f t="shared" si="205"/>
        <v>363.61374855311703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0.32661104921539968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1.6029349088013604E-25</v>
      </c>
      <c r="AX202" s="23">
        <f t="shared" si="166"/>
        <v>0.32661104921539968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69.509541400377501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69.509541400377501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69.509541400377501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69.509541400377501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69.509541400377501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69.509541400377501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69.509541400377501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69.509541400377501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2.1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54.039999999999992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7.7</v>
      </c>
      <c r="H203" s="70">
        <f t="shared" si="192"/>
        <v>205.84666666666666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69.5180497605798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215.34313023683225</v>
      </c>
      <c r="T203" s="62">
        <f t="shared" si="204"/>
        <v>363.61374855311703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3.7346343918501033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2.8508550985876244E-23</v>
      </c>
      <c r="AC203" s="24">
        <f t="shared" si="163"/>
        <v>3.7346343918501033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69.5180497605798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215.34313023683225</v>
      </c>
      <c r="AO203" s="62">
        <f t="shared" si="205"/>
        <v>363.61374855311703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0.32020640575335507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1.133446143814082E-25</v>
      </c>
      <c r="AX203" s="23">
        <f t="shared" si="166"/>
        <v>0.32020640575335507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69.5180497605798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69.5180497605798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69.5180497605798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69.5180497605798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69.5180497605798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69.5180497605798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69.5180497605798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69.5180497605798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1.4134877424514771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1.4134877424514771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zoomScale="90" zoomScaleNormal="90" workbookViewId="0">
      <selection activeCell="C20" sqref="C20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Pin maritime</v>
      </c>
      <c r="B6" s="155">
        <f>'Données projet'!D9</f>
        <v>4.07086784</v>
      </c>
      <c r="C6" s="156">
        <f ca="1">IF(OR('Données projet'!B9="",'Données projet'!C9="",'Données projet'!C9=0%),0,Calculateur!S3)</f>
        <v>215.34313023683225</v>
      </c>
      <c r="D6" s="156">
        <f>IF(OR('Données projet'!B9="",'Données projet'!C9="",'Données projet'!C9=0%),0,Calculateur!T3)</f>
        <v>363.61374855311703</v>
      </c>
      <c r="E6" s="156">
        <f ca="1">MIN(C6,D6)</f>
        <v>215.34313023683225</v>
      </c>
      <c r="F6" s="156">
        <f ca="1">E6*B6</f>
        <v>876.63342344605201</v>
      </c>
      <c r="G6" s="156">
        <f ca="1">F6*(100%-'Données projet'!$C$24)*(100%-'Données projet'!$C$25)*(100%-'Données projet'!$C$26)*(100%-'Données projet'!$C$27)</f>
        <v>599.61726163709966</v>
      </c>
      <c r="H6" s="157">
        <f>IF(OR('Données projet'!B9="",'Données projet'!C9="",'Données projet'!C9=0%),0,AVERAGE(Calculateur!$AC$3:$AC$33)*B6)</f>
        <v>32.543480265947764</v>
      </c>
      <c r="I6" s="158">
        <f>H6*(100%-'Données projet'!$C$24)*(100%-'Données projet'!$C$25)*(100%-'Données projet'!$C$26)*(100%-'Données projet'!$C$27)</f>
        <v>22.259740501908269</v>
      </c>
      <c r="J6" s="159">
        <f>IF(OR('Données projet'!B9="",'Données projet'!C9="",'Données projet'!C9=0%),0,SUM(Calculateur!$V$3:$V$33)*VLOOKUP('Données projet'!$B$9,Paramètres!$A$1:$I$89,9,0)*B6)</f>
        <v>261.7975107904</v>
      </c>
      <c r="K6" s="160">
        <f>J6*(100%-'Données projet'!$C$24)*(100%-'Données projet'!$C$25)*(100%-'Données projet'!$C$26)*(100%-'Données projet'!$C$27)</f>
        <v>179.06949738063363</v>
      </c>
      <c r="L6" s="161">
        <f ca="1">G6+I6+K6</f>
        <v>800.94649951964152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Pin taeda</v>
      </c>
      <c r="B7" s="163">
        <f>'Données projet'!D10</f>
        <v>2.56286872</v>
      </c>
      <c r="C7" s="156">
        <f ca="1">IF(OR('Données projet'!B10="",'Données projet'!C10="",'Données projet'!C10=0%),0,Calculateur!AN3)</f>
        <v>215.34313023683225</v>
      </c>
      <c r="D7" s="156">
        <f>IF(OR('Données projet'!B10="",'Données projet'!C10="",'Données projet'!C10=0%),0,Calculateur!AO3)</f>
        <v>363.61374855311703</v>
      </c>
      <c r="E7" s="156">
        <f t="shared" ref="E7:E15" ca="1" si="0">MIN(C7,D7)</f>
        <v>215.34313023683225</v>
      </c>
      <c r="F7" s="156">
        <f t="shared" ref="F7:F15" ca="1" si="1">E7*B7</f>
        <v>551.89617255086353</v>
      </c>
      <c r="G7" s="156">
        <f ca="1">F7*(100%-'Données projet'!$C$24)*(100%-'Données projet'!$C$25)*(100%-'Données projet'!$C$26)*(100%-'Données projet'!$C$27)</f>
        <v>377.49698202479067</v>
      </c>
      <c r="H7" s="164">
        <f>IF(OR('Données projet'!B10="",'Données projet'!C10="",'Données projet'!C10=0%),0,AVERAGE(Calculateur!$AX$3:$AX$33)*B7)</f>
        <v>20.488178661563921</v>
      </c>
      <c r="I7" s="158">
        <f>H7*(100%-'Données projet'!$C$24)*(100%-'Données projet'!$C$25)*(100%-'Données projet'!$C$26)*(100%-'Données projet'!$C$27)</f>
        <v>14.013914204509721</v>
      </c>
      <c r="J7" s="159">
        <f>IF(OR('Données projet'!B10="",'Données projet'!C10="",'Données projet'!C10=0%),0,SUM(Calculateur!$AQ$3:$AQ$33)*VLOOKUP('Données projet'!$B$10,Paramètres!$A$1:$I$89,9,0)*B7)</f>
        <v>120.12165690639999</v>
      </c>
      <c r="K7" s="160">
        <f>J7*(100%-'Données projet'!$C$24)*(100%-'Données projet'!$C$25)*(100%-'Données projet'!$C$26)*(100%-'Données projet'!$C$27)</f>
        <v>82.163213323977601</v>
      </c>
      <c r="L7" s="161">
        <f t="shared" ref="L7:L15" ca="1" si="2">G7+I7+K7</f>
        <v>473.67410955327796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1428.5295959969155</v>
      </c>
      <c r="G16" s="175">
        <f t="shared" ca="1" si="3"/>
        <v>977.11424366189033</v>
      </c>
      <c r="H16" s="176">
        <f t="shared" si="3"/>
        <v>53.031658927511685</v>
      </c>
      <c r="I16" s="176">
        <f t="shared" si="3"/>
        <v>36.273654706417986</v>
      </c>
      <c r="J16" s="177">
        <f t="shared" si="3"/>
        <v>381.9191676968</v>
      </c>
      <c r="K16" s="177">
        <f t="shared" si="3"/>
        <v>261.23271070461124</v>
      </c>
      <c r="L16" s="178">
        <f t="shared" ca="1" si="3"/>
        <v>1274.6206090729195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Pin taeda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zoomScale="80" zoomScaleNormal="80" workbookViewId="0">
      <selection activeCell="I20" sqref="I20:I23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4.07086784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taeda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2.56286872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1</v>
      </c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11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>
        <v>4</v>
      </c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13</v>
      </c>
      <c r="B24" s="193">
        <f>'Données projet'!D37</f>
        <v>15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15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17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19</v>
      </c>
      <c r="B27" s="193">
        <f>'Données projet'!D40</f>
        <v>40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21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23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25</v>
      </c>
      <c r="B30" s="193">
        <f>'Données projet'!D43</f>
        <v>54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27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29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30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32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34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36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38</v>
      </c>
      <c r="B37" s="193">
        <f>'Données projet'!D50</f>
        <v>338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Pin taeda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11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13</v>
      </c>
      <c r="B55" s="193">
        <f>'Données projet'!D63</f>
        <v>15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15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17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19</v>
      </c>
      <c r="B58" s="193">
        <f>'Données projet'!D66</f>
        <v>40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21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23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25</v>
      </c>
      <c r="B61" s="193">
        <f>'Données projet'!D69</f>
        <v>54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27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29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30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32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34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36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38</v>
      </c>
      <c r="B68" s="193">
        <f>'Données projet'!D76</f>
        <v>338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Florence HEUSCHMIDT</cp:lastModifiedBy>
  <dcterms:created xsi:type="dcterms:W3CDTF">2021-02-01T08:22:39Z</dcterms:created>
  <dcterms:modified xsi:type="dcterms:W3CDTF">2022-03-29T15:09:31Z</dcterms:modified>
</cp:coreProperties>
</file>