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GCF\ENVIRONNEMENT\7_CARBONE\Coopératives\CFBL\Projets_LBC\Projet Montilly_032022\"/>
    </mc:Choice>
  </mc:AlternateContent>
  <bookViews>
    <workbookView xWindow="0" yWindow="0" windowWidth="23040" windowHeight="9384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V7" i="2"/>
  <c r="HI7" i="2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DH156" i="2" l="1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V163" i="2"/>
  <c r="EB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A167" i="2"/>
  <c r="EB167" i="2"/>
  <c r="EX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G178" i="2"/>
  <c r="FS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<sst xmlns="http://schemas.openxmlformats.org/spreadsheetml/2006/main" count="1173" uniqueCount="324">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</sst>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32976"/>
        <c:axId val="1485133520"/>
      </c:scatterChart>
      <c:valAx>
        <c:axId val="148513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33520"/>
        <c:crosses val="autoZero"/>
        <c:crossBetween val="midCat"/>
      </c:valAx>
      <c:valAx>
        <c:axId val="148513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3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0532816"/>
        <c:axId val="1330533904"/>
      </c:scatterChart>
      <c:valAx>
        <c:axId val="1330532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0533904"/>
        <c:crosses val="autoZero"/>
        <c:crossBetween val="midCat"/>
      </c:valAx>
      <c:valAx>
        <c:axId val="133053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053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8.0726688341261168E-13</c:v>
                </c:pt>
                <c:pt idx="62">
                  <c:v>8.0726688341261168E-13</c:v>
                </c:pt>
                <c:pt idx="63">
                  <c:v>8.0726688341261168E-13</c:v>
                </c:pt>
                <c:pt idx="64">
                  <c:v>8.0726688341261168E-13</c:v>
                </c:pt>
                <c:pt idx="65">
                  <c:v>8.0726688341261168E-13</c:v>
                </c:pt>
                <c:pt idx="66">
                  <c:v>8.0726688341261168E-13</c:v>
                </c:pt>
                <c:pt idx="67">
                  <c:v>8.0726688341261168E-13</c:v>
                </c:pt>
                <c:pt idx="68">
                  <c:v>8.0726688341261168E-13</c:v>
                </c:pt>
                <c:pt idx="69">
                  <c:v>8.0726688341261168E-13</c:v>
                </c:pt>
                <c:pt idx="70">
                  <c:v>8.0726688341261168E-13</c:v>
                </c:pt>
                <c:pt idx="71">
                  <c:v>8.0726688341261168E-13</c:v>
                </c:pt>
                <c:pt idx="72">
                  <c:v>8.0726688341261168E-13</c:v>
                </c:pt>
                <c:pt idx="73">
                  <c:v>8.0726688341261168E-13</c:v>
                </c:pt>
                <c:pt idx="74">
                  <c:v>8.0726688341261168E-13</c:v>
                </c:pt>
                <c:pt idx="75">
                  <c:v>8.0726688341261168E-13</c:v>
                </c:pt>
                <c:pt idx="76">
                  <c:v>8.0726688341261168E-13</c:v>
                </c:pt>
                <c:pt idx="77">
                  <c:v>8.0726688341261168E-13</c:v>
                </c:pt>
                <c:pt idx="78">
                  <c:v>8.0726688341261168E-13</c:v>
                </c:pt>
                <c:pt idx="79">
                  <c:v>8.0726688341261168E-13</c:v>
                </c:pt>
                <c:pt idx="80">
                  <c:v>8.0726688341261168E-13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34064"/>
        <c:axId val="1485138416"/>
      </c:scatterChart>
      <c:valAx>
        <c:axId val="148513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38416"/>
        <c:crosses val="autoZero"/>
        <c:crossBetween val="midCat"/>
      </c:valAx>
      <c:valAx>
        <c:axId val="148513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3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35152"/>
        <c:axId val="1485135696"/>
      </c:scatterChart>
      <c:valAx>
        <c:axId val="1485135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35696"/>
        <c:crosses val="autoZero"/>
        <c:crossBetween val="midCat"/>
      </c:valAx>
      <c:valAx>
        <c:axId val="148513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3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24816"/>
        <c:axId val="1485136784"/>
      </c:scatterChart>
      <c:valAx>
        <c:axId val="1485124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36784"/>
        <c:crosses val="autoZero"/>
        <c:crossBetween val="midCat"/>
      </c:valAx>
      <c:valAx>
        <c:axId val="148513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4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23184"/>
        <c:axId val="1485128624"/>
      </c:scatterChart>
      <c:valAx>
        <c:axId val="1485123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8624"/>
        <c:crosses val="autoZero"/>
        <c:crossBetween val="midCat"/>
      </c:valAx>
      <c:valAx>
        <c:axId val="148512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3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25360"/>
        <c:axId val="1485128080"/>
      </c:scatterChart>
      <c:valAx>
        <c:axId val="1485125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8080"/>
        <c:crosses val="autoZero"/>
        <c:crossBetween val="midCat"/>
      </c:valAx>
      <c:valAx>
        <c:axId val="148512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5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26448"/>
        <c:axId val="1485126992"/>
      </c:scatterChart>
      <c:valAx>
        <c:axId val="1485126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6992"/>
        <c:crosses val="autoZero"/>
        <c:crossBetween val="midCat"/>
      </c:valAx>
      <c:valAx>
        <c:axId val="148512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6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127536"/>
        <c:axId val="1485129712"/>
      </c:scatterChart>
      <c:valAx>
        <c:axId val="1485127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9712"/>
        <c:crosses val="autoZero"/>
        <c:crossBetween val="midCat"/>
      </c:valAx>
      <c:valAx>
        <c:axId val="148512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512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0536624"/>
        <c:axId val="1330523024"/>
      </c:scatterChart>
      <c:valAx>
        <c:axId val="1330536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0523024"/>
        <c:crosses val="autoZero"/>
        <c:crossBetween val="midCat"/>
      </c:valAx>
      <c:valAx>
        <c:axId val="13305230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0536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C13" sqref="C1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2.13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44</v>
      </c>
      <c r="C9" s="32">
        <v>0.44</v>
      </c>
      <c r="D9" s="33">
        <f t="shared" ref="D9:D18" si="0">C9*$C$5</f>
        <v>0.93719999999999992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0.21</v>
      </c>
      <c r="D10" s="33">
        <f t="shared" si="0"/>
        <v>0.44729999999999998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35</v>
      </c>
      <c r="C11" s="32">
        <v>0.1</v>
      </c>
      <c r="D11" s="33">
        <f t="shared" si="0"/>
        <v>0.21299999999999999</v>
      </c>
      <c r="E11" s="34">
        <v>66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164</v>
      </c>
      <c r="C12" s="32">
        <v>0.25</v>
      </c>
      <c r="D12" s="33">
        <f t="shared" si="0"/>
        <v>0.53249999999999997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2.13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Robinier faux-acacia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34</v>
      </c>
      <c r="C36" s="60">
        <v>1</v>
      </c>
      <c r="D36" s="60">
        <v>6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6.8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v>99</v>
      </c>
      <c r="C37" s="60">
        <v>2</v>
      </c>
      <c r="D37" s="60">
        <v>28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14.2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v>140</v>
      </c>
      <c r="C38" s="60">
        <v>3</v>
      </c>
      <c r="D38" s="60">
        <v>23</v>
      </c>
      <c r="E38" s="51">
        <v>0.2</v>
      </c>
      <c r="F38" s="51">
        <v>0.2</v>
      </c>
      <c r="G38" s="51">
        <v>0.3</v>
      </c>
      <c r="H38" s="51">
        <v>0.3</v>
      </c>
      <c r="I38" s="53">
        <f t="shared" si="1"/>
        <v>13.8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180</v>
      </c>
      <c r="C39" s="60">
        <v>4</v>
      </c>
      <c r="D39" s="60">
        <v>18</v>
      </c>
      <c r="E39" s="51">
        <v>0.2</v>
      </c>
      <c r="F39" s="51">
        <v>0.2</v>
      </c>
      <c r="G39" s="51">
        <v>0.3</v>
      </c>
      <c r="H39" s="51">
        <v>0.3</v>
      </c>
      <c r="I39" s="49">
        <f t="shared" si="1"/>
        <v>12.6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214</v>
      </c>
      <c r="C40" s="60">
        <v>5</v>
      </c>
      <c r="D40" s="60">
        <v>14</v>
      </c>
      <c r="E40" s="51">
        <v>0.4</v>
      </c>
      <c r="F40" s="51">
        <v>0.2</v>
      </c>
      <c r="G40" s="51">
        <v>0.2</v>
      </c>
      <c r="H40" s="51">
        <v>0.2</v>
      </c>
      <c r="I40" s="49">
        <f t="shared" si="1"/>
        <v>10.4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30</v>
      </c>
      <c r="B41" s="60">
        <v>243</v>
      </c>
      <c r="C41" s="60">
        <v>6</v>
      </c>
      <c r="D41" s="60">
        <v>11</v>
      </c>
      <c r="E41" s="51">
        <v>0.4</v>
      </c>
      <c r="F41" s="51">
        <v>0.2</v>
      </c>
      <c r="G41" s="51">
        <v>0.2</v>
      </c>
      <c r="H41" s="51">
        <v>0.2</v>
      </c>
      <c r="I41" s="53">
        <f t="shared" si="1"/>
        <v>8.6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35</v>
      </c>
      <c r="B42" s="60">
        <v>267</v>
      </c>
      <c r="C42" s="60">
        <v>7</v>
      </c>
      <c r="D42" s="60">
        <v>9</v>
      </c>
      <c r="E42" s="51">
        <v>0.4</v>
      </c>
      <c r="F42" s="51">
        <v>0.2</v>
      </c>
      <c r="G42" s="51">
        <v>0.2</v>
      </c>
      <c r="H42" s="51">
        <v>0.2</v>
      </c>
      <c r="I42" s="53">
        <f t="shared" si="1"/>
        <v>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40</v>
      </c>
      <c r="B43" s="60">
        <v>289</v>
      </c>
      <c r="C43" s="60">
        <v>8</v>
      </c>
      <c r="D43" s="60">
        <v>7</v>
      </c>
      <c r="E43" s="51">
        <v>0.4</v>
      </c>
      <c r="F43" s="51">
        <v>0.2</v>
      </c>
      <c r="G43" s="51">
        <v>0.2</v>
      </c>
      <c r="H43" s="51">
        <v>0.2</v>
      </c>
      <c r="I43" s="49">
        <f t="shared" si="1"/>
        <v>6.2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45</v>
      </c>
      <c r="B44" s="60">
        <v>312</v>
      </c>
      <c r="C44" s="60">
        <v>9</v>
      </c>
      <c r="D44" s="60">
        <v>312</v>
      </c>
      <c r="E44" s="51">
        <v>0.4</v>
      </c>
      <c r="F44" s="51">
        <v>0.2</v>
      </c>
      <c r="G44" s="51">
        <v>0.2</v>
      </c>
      <c r="H44" s="51">
        <v>0.2</v>
      </c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132</v>
      </c>
      <c r="C62" s="60">
        <v>1</v>
      </c>
      <c r="D62" s="60">
        <v>50</v>
      </c>
      <c r="E62" s="51">
        <v>0</v>
      </c>
      <c r="F62" s="51">
        <v>0.1</v>
      </c>
      <c r="G62" s="51">
        <v>0.5</v>
      </c>
      <c r="H62" s="51">
        <v>0.4</v>
      </c>
      <c r="I62" s="53">
        <f>IFERROR(B62/A62,"")</f>
        <v>6.6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143</v>
      </c>
      <c r="C63" s="60">
        <v>2</v>
      </c>
      <c r="D63" s="60">
        <v>37</v>
      </c>
      <c r="E63" s="51">
        <v>0.1</v>
      </c>
      <c r="F63" s="51">
        <v>0.2</v>
      </c>
      <c r="G63" s="51">
        <v>0.4</v>
      </c>
      <c r="H63" s="51">
        <v>0.3</v>
      </c>
      <c r="I63" s="49">
        <f>IF(A63&lt;&gt;0,(B63-(B62-D62))/(A63-A62),"")</f>
        <v>12.2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163</v>
      </c>
      <c r="C64" s="60">
        <v>3</v>
      </c>
      <c r="D64" s="60">
        <v>37</v>
      </c>
      <c r="E64" s="51">
        <v>0.1</v>
      </c>
      <c r="F64" s="51">
        <v>0.3</v>
      </c>
      <c r="G64" s="51">
        <v>0.3</v>
      </c>
      <c r="H64" s="51">
        <v>0.3</v>
      </c>
      <c r="I64" s="49">
        <f>IF(A64&lt;&gt;0,(B64-(B63-D63))/(A64-A63),"")</f>
        <v>11.4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179</v>
      </c>
      <c r="C65" s="60">
        <v>4</v>
      </c>
      <c r="D65" s="60">
        <v>36</v>
      </c>
      <c r="E65" s="51">
        <v>0.2</v>
      </c>
      <c r="F65" s="51">
        <v>0.3</v>
      </c>
      <c r="G65" s="51">
        <v>0.3</v>
      </c>
      <c r="H65" s="51">
        <v>0.2</v>
      </c>
      <c r="I65" s="49">
        <f>IF(A65&lt;&gt;0,(B65-(B64-D64))/(A65-A64),"")</f>
        <v>10.6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191</v>
      </c>
      <c r="C66" s="60">
        <v>5</v>
      </c>
      <c r="D66" s="60">
        <v>33</v>
      </c>
      <c r="E66" s="51">
        <v>0.3</v>
      </c>
      <c r="F66" s="51">
        <v>0.3</v>
      </c>
      <c r="G66" s="51">
        <v>0.2</v>
      </c>
      <c r="H66" s="51">
        <v>0.2</v>
      </c>
      <c r="I66" s="49">
        <f t="shared" ref="I66:I81" si="2">IF(A66&lt;&gt;0,(B66-(B65-D65))/(A66-A65),"")</f>
        <v>9.6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201</v>
      </c>
      <c r="C67" s="60">
        <v>6</v>
      </c>
      <c r="D67" s="60">
        <v>31</v>
      </c>
      <c r="E67" s="51">
        <v>0.3</v>
      </c>
      <c r="F67" s="51">
        <v>0.3</v>
      </c>
      <c r="G67" s="51">
        <v>0.2</v>
      </c>
      <c r="H67" s="51">
        <v>0.2</v>
      </c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209</v>
      </c>
      <c r="C68" s="60">
        <v>7</v>
      </c>
      <c r="D68" s="60">
        <v>28</v>
      </c>
      <c r="E68" s="51">
        <v>0.4</v>
      </c>
      <c r="F68" s="51">
        <v>0.2</v>
      </c>
      <c r="G68" s="51">
        <v>0.3</v>
      </c>
      <c r="H68" s="51">
        <v>0.1</v>
      </c>
      <c r="I68" s="49">
        <f t="shared" si="2"/>
        <v>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215</v>
      </c>
      <c r="C69" s="50">
        <v>8</v>
      </c>
      <c r="D69" s="50">
        <v>25</v>
      </c>
      <c r="E69" s="51">
        <v>0.4</v>
      </c>
      <c r="F69" s="51">
        <v>0.3</v>
      </c>
      <c r="G69" s="51">
        <v>0.2</v>
      </c>
      <c r="H69" s="51">
        <v>0.1</v>
      </c>
      <c r="I69" s="49">
        <f t="shared" si="2"/>
        <v>6.8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220</v>
      </c>
      <c r="C70" s="50">
        <v>9</v>
      </c>
      <c r="D70" s="50">
        <v>220</v>
      </c>
      <c r="E70" s="51">
        <v>0.4</v>
      </c>
      <c r="F70" s="51">
        <v>0.3</v>
      </c>
      <c r="G70" s="51">
        <v>0.2</v>
      </c>
      <c r="H70" s="51">
        <v>0.1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22</v>
      </c>
      <c r="B88" s="60">
        <v>123</v>
      </c>
      <c r="C88" s="60">
        <v>1</v>
      </c>
      <c r="D88" s="60">
        <v>16</v>
      </c>
      <c r="E88" s="51">
        <v>0</v>
      </c>
      <c r="F88" s="51">
        <v>0.3</v>
      </c>
      <c r="G88" s="51">
        <v>0.3</v>
      </c>
      <c r="H88" s="87">
        <v>0.4</v>
      </c>
      <c r="I88" s="53">
        <f>IFERROR(B88/A88,"")</f>
        <v>5.5909090909090908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144</v>
      </c>
      <c r="C89" s="60">
        <v>2</v>
      </c>
      <c r="D89" s="60">
        <v>17</v>
      </c>
      <c r="E89" s="51">
        <v>0</v>
      </c>
      <c r="F89" s="51">
        <v>0.3</v>
      </c>
      <c r="G89" s="51">
        <v>0.3</v>
      </c>
      <c r="H89" s="87">
        <v>0.4</v>
      </c>
      <c r="I89" s="53">
        <f t="shared" ref="I89:I107" si="3">IF(A89&lt;&gt;0,(B89-(B88-D88))/(A89-A88),"")</f>
        <v>12.333333333333334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194</v>
      </c>
      <c r="C90" s="60">
        <v>3</v>
      </c>
      <c r="D90" s="60">
        <v>34</v>
      </c>
      <c r="E90" s="87">
        <v>0.1</v>
      </c>
      <c r="F90" s="87">
        <v>0.3</v>
      </c>
      <c r="G90" s="87">
        <v>0.3</v>
      </c>
      <c r="H90" s="87">
        <v>0.3</v>
      </c>
      <c r="I90" s="53">
        <f t="shared" si="3"/>
        <v>13.4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233</v>
      </c>
      <c r="C91" s="60">
        <v>4</v>
      </c>
      <c r="D91" s="60">
        <v>41</v>
      </c>
      <c r="E91" s="87">
        <v>0.1</v>
      </c>
      <c r="F91" s="87">
        <v>0.3</v>
      </c>
      <c r="G91" s="87">
        <v>0.3</v>
      </c>
      <c r="H91" s="87">
        <v>0.3</v>
      </c>
      <c r="I91" s="53">
        <f t="shared" si="3"/>
        <v>14.6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264</v>
      </c>
      <c r="C92" s="60">
        <v>5</v>
      </c>
      <c r="D92" s="60">
        <v>41</v>
      </c>
      <c r="E92" s="87">
        <v>0.3</v>
      </c>
      <c r="F92" s="87">
        <v>0.3</v>
      </c>
      <c r="G92" s="87">
        <v>0.2</v>
      </c>
      <c r="H92" s="87">
        <v>0.2</v>
      </c>
      <c r="I92" s="53">
        <f t="shared" si="3"/>
        <v>14.4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318</v>
      </c>
      <c r="C93" s="60">
        <v>6</v>
      </c>
      <c r="D93" s="60">
        <v>53</v>
      </c>
      <c r="E93" s="87">
        <v>0.3</v>
      </c>
      <c r="F93" s="87">
        <v>0.3</v>
      </c>
      <c r="G93" s="87">
        <v>0.2</v>
      </c>
      <c r="H93" s="87">
        <v>0.2</v>
      </c>
      <c r="I93" s="53">
        <f t="shared" si="3"/>
        <v>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352</v>
      </c>
      <c r="C94" s="60">
        <v>7</v>
      </c>
      <c r="D94" s="60">
        <v>53</v>
      </c>
      <c r="E94" s="87">
        <v>0.4</v>
      </c>
      <c r="F94" s="87">
        <v>0.3</v>
      </c>
      <c r="G94" s="87">
        <v>0.2</v>
      </c>
      <c r="H94" s="87">
        <v>0.1</v>
      </c>
      <c r="I94" s="53">
        <f t="shared" si="3"/>
        <v>17.399999999999999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58</v>
      </c>
      <c r="B95" s="60">
        <v>440</v>
      </c>
      <c r="C95" s="60">
        <v>8</v>
      </c>
      <c r="D95" s="60">
        <v>78</v>
      </c>
      <c r="E95" s="87">
        <v>0.4</v>
      </c>
      <c r="F95" s="87">
        <v>0.3</v>
      </c>
      <c r="G95" s="87">
        <v>0.2</v>
      </c>
      <c r="H95" s="87">
        <v>0.1</v>
      </c>
      <c r="I95" s="53">
        <f t="shared" si="3"/>
        <v>17.625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66</v>
      </c>
      <c r="B96" s="60">
        <v>495</v>
      </c>
      <c r="C96" s="60">
        <v>9</v>
      </c>
      <c r="D96" s="60">
        <v>495</v>
      </c>
      <c r="E96" s="87">
        <v>0.4</v>
      </c>
      <c r="F96" s="87">
        <v>0.3</v>
      </c>
      <c r="G96" s="87">
        <v>0.2</v>
      </c>
      <c r="H96" s="87">
        <v>0.1</v>
      </c>
      <c r="I96" s="53">
        <f t="shared" si="3"/>
        <v>16.625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158</v>
      </c>
      <c r="C114" s="50">
        <v>1</v>
      </c>
      <c r="D114" s="60">
        <v>35</v>
      </c>
      <c r="E114" s="51">
        <v>0</v>
      </c>
      <c r="F114" s="51">
        <v>0.4</v>
      </c>
      <c r="G114" s="51">
        <v>0.3</v>
      </c>
      <c r="H114" s="51">
        <v>0.3</v>
      </c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v>169</v>
      </c>
      <c r="C115" s="50">
        <v>2</v>
      </c>
      <c r="D115" s="60">
        <v>35</v>
      </c>
      <c r="E115" s="51">
        <v>0.1</v>
      </c>
      <c r="F115" s="51">
        <v>0.3</v>
      </c>
      <c r="G115" s="51">
        <v>0.3</v>
      </c>
      <c r="H115" s="51">
        <v>0.3</v>
      </c>
      <c r="I115" s="53">
        <f t="shared" ref="I115:I133" si="4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180</v>
      </c>
      <c r="C116" s="50">
        <v>3</v>
      </c>
      <c r="D116" s="60">
        <v>50</v>
      </c>
      <c r="E116" s="51">
        <v>0.2</v>
      </c>
      <c r="F116" s="51">
        <v>0.3</v>
      </c>
      <c r="G116" s="51">
        <v>0.3</v>
      </c>
      <c r="H116" s="51">
        <v>0.2</v>
      </c>
      <c r="I116" s="53">
        <f t="shared" si="4"/>
        <v>9.1999999999999993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37</v>
      </c>
      <c r="B117" s="60">
        <v>200</v>
      </c>
      <c r="C117" s="50">
        <v>4</v>
      </c>
      <c r="D117" s="60">
        <v>50</v>
      </c>
      <c r="E117" s="51">
        <v>0.2</v>
      </c>
      <c r="F117" s="51">
        <v>0.3</v>
      </c>
      <c r="G117" s="51">
        <v>0.3</v>
      </c>
      <c r="H117" s="51">
        <v>0.2</v>
      </c>
      <c r="I117" s="53">
        <f t="shared" si="4"/>
        <v>10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44</v>
      </c>
      <c r="B118" s="60">
        <v>226</v>
      </c>
      <c r="C118" s="50">
        <v>5</v>
      </c>
      <c r="D118" s="60">
        <v>60</v>
      </c>
      <c r="E118" s="51">
        <v>0.3</v>
      </c>
      <c r="F118" s="51">
        <v>0.3</v>
      </c>
      <c r="G118" s="51">
        <v>0.2</v>
      </c>
      <c r="H118" s="51">
        <v>0.2</v>
      </c>
      <c r="I118" s="53">
        <f t="shared" si="4"/>
        <v>10.857142857142858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51</v>
      </c>
      <c r="B119" s="60">
        <v>249</v>
      </c>
      <c r="C119" s="50">
        <v>6</v>
      </c>
      <c r="D119" s="60">
        <v>70</v>
      </c>
      <c r="E119" s="51">
        <v>0.4</v>
      </c>
      <c r="F119" s="51">
        <v>0.3</v>
      </c>
      <c r="G119" s="51">
        <v>0.2</v>
      </c>
      <c r="H119" s="51">
        <v>0.1</v>
      </c>
      <c r="I119" s="53">
        <f t="shared" si="4"/>
        <v>11.857142857142858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60</v>
      </c>
      <c r="B120" s="60">
        <v>300</v>
      </c>
      <c r="C120" s="60">
        <v>7</v>
      </c>
      <c r="D120" s="60">
        <v>300</v>
      </c>
      <c r="E120" s="87">
        <v>0.4</v>
      </c>
      <c r="F120" s="87">
        <v>0.3</v>
      </c>
      <c r="G120" s="87">
        <v>0.2</v>
      </c>
      <c r="H120" s="87">
        <v>0.1</v>
      </c>
      <c r="I120" s="53">
        <f t="shared" si="4"/>
        <v>13.444444444444445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Robinier faux-acacia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320.93171542656671</v>
      </c>
      <c r="T3" s="59">
        <f>IF('Données projet'!E9&gt;30,$R$33-$H$33,LOOKUP('Données projet'!$E$9,$A$3:$A$203,R3:R203)-LOOKUP('Données projet'!$E$9,$A$3:$A$203,$H$3:$H$203))</f>
        <v>452.7298965816143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201.61452816909701</v>
      </c>
      <c r="AO3" s="59">
        <f>IF('Données projet'!E10&gt;30,$AM$33-$H$33,LOOKUP('Données projet'!$E$10,$A$3:$A$203,AM3:AM203)-LOOKUP('Données projet'!$E$10,$A$3:$A$203,$H$3:$H$203))</f>
        <v>287.77679930887746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225.63994281336028</v>
      </c>
      <c r="BJ3" s="59">
        <f>IF('Données projet'!E11&gt;30,$BH$33-$H$33,LOOKUP('Données projet'!$E$11,$A$3:$A$203,BH3:BH203)-LOOKUP('Données projet'!$E$11,$A$3:$A$203,$H$3:$H$203))</f>
        <v>231.19476400361157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111.69585394603672</v>
      </c>
      <c r="CE3" s="59">
        <f>IF('Données projet'!E12&gt;30,$CC$33-$H$33,LOOKUP('Données projet'!$E$12,$A$3:$A$203,CC3:CC203)-LOOKUP('Données projet'!$E$12,$A$3:$A$203,$H$3:$H$203))</f>
        <v>162.6701214629764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6.8</v>
      </c>
      <c r="N4" s="13">
        <f>IF('Données projet'!$A$36&gt;35,N3+M4-V3,IF(A4&lt;'Données projet'!$A$36,$K$205^A4,IF(A4='Données projet'!$A$36,'Données projet'!$B$36,N3+M4-V3)))</f>
        <v>2.0243974584998852</v>
      </c>
      <c r="O4" s="13">
        <f>N4*VLOOKUP('Données projet'!$B$9,Paramètres!$A$1:$I$89,3,0)*VLOOKUP('Données projet'!$B$9,Paramètres!$A$1:$I$89,5,0)</f>
        <v>1.8316748204506961</v>
      </c>
      <c r="P4" s="13">
        <f>EXP(-1.0587+0.8836*LN(O4)+0.284)</f>
        <v>0.78669228172688432</v>
      </c>
      <c r="Q4" s="20">
        <f t="shared" ref="Q4:Q34" si="2">(O4+P4)*0.475*44/12</f>
        <v>4.5603227029592857</v>
      </c>
      <c r="R4" s="59">
        <f t="shared" si="0"/>
        <v>262.44921159184815</v>
      </c>
      <c r="S4" s="59">
        <f ca="1">AVERAGE(OFFSET($R$3,0,0,'Données projet'!$E$9+1,1))-AVERAGE(OFFSET($H$3,0,0,'Données projet'!$E$9+1,1))</f>
        <v>320.93171542656671</v>
      </c>
      <c r="T4" s="59">
        <f>$T$3</f>
        <v>452.7298965816143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6.6</v>
      </c>
      <c r="AI4" s="13">
        <f>IF('Données projet'!$A$62&gt;35,AI3+AH4-AQ3,IF(A4&lt;'Données projet'!$A$62,$AF$205^A4,IF(A4='Données projet'!$A$62,'Données projet'!$B$62,AI3+AH4-AQ3)))</f>
        <v>1.2765231539157764</v>
      </c>
      <c r="AJ4" s="13">
        <f>AI4*VLOOKUP('Données projet'!$B$10,Paramètres!$A$1:$I$89,3,0)*VLOOKUP('Données projet'!$B$10,Paramètres!$A$1:$I$89,5,0)</f>
        <v>1.1151706272608224</v>
      </c>
      <c r="AK4" s="13">
        <f>EXP(-1.0587+0.8836*LN(AJ4)+0.284)</f>
        <v>0.50743784838663863</v>
      </c>
      <c r="AL4" s="20">
        <f t="shared" ref="AL4:AL67" si="4">(AJ4+AK4)*0.475*44/12</f>
        <v>2.8260430950859945</v>
      </c>
      <c r="AM4" s="59">
        <f t="shared" ref="AM4:AM67" si="5">AL4+(AD4+AE4)*44/12</f>
        <v>260.71493198397485</v>
      </c>
      <c r="AN4" s="59">
        <f ca="1">AVERAGE(OFFSET($AM$3,0,0,'Données projet'!$E$10+1,1))-AVERAGE(OFFSET($H$3,0,0,'Données projet'!$E$10+1,1))</f>
        <v>201.61452816909701</v>
      </c>
      <c r="AO4" s="59">
        <f>$AO$3</f>
        <v>287.77679930887746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5.5909090909090908</v>
      </c>
      <c r="BD4" s="12">
        <f>IF('Données projet'!$A$88&gt;35,BD3+BC4-BL3,IF(A4&lt;'Données projet'!$A$88,$BA$205^A4,IF(A4='Données projet'!$A$88,'Données projet'!$B$88,BD3+BC4-BL3)))</f>
        <v>1.244502252163008</v>
      </c>
      <c r="BE4" s="13">
        <f>BD4*VLOOKUP('Données projet'!$B$11,Paramètres!$A$1:$I$89,3,0)*VLOOKUP('Données projet'!$B$11,Paramètres!$A$1:$I$89,5,0)</f>
        <v>0.74421234679347892</v>
      </c>
      <c r="BF4" s="13">
        <f>EXP(-1.0587+0.8836*LN(BE4)+0.284)</f>
        <v>0.3549632728022305</v>
      </c>
      <c r="BG4" s="20">
        <f t="shared" ref="BG4:BG67" si="7">(BE4+BF4)*0.475*44/12</f>
        <v>1.9143975374625271</v>
      </c>
      <c r="BH4" s="59">
        <f t="shared" ref="BH4:BH67" si="8">BG4+(AY4+AZ4)*44/12</f>
        <v>259.80328642635141</v>
      </c>
      <c r="BI4" s="59">
        <f ca="1">AVERAGE(OFFSET($BH$3,0,0,'Données projet'!$E$11+1,1))-AVERAGE(OFFSET($H$3,0,0,'Données projet'!$E$11+1,1))</f>
        <v>225.63994281336028</v>
      </c>
      <c r="BJ4" s="59">
        <f>$BJ$3</f>
        <v>231.19476400361157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259.45197446629572</v>
      </c>
      <c r="CD4" s="59">
        <f ca="1">AVERAGE(OFFSET($CC$3,0,0,'Données projet'!$E$12+1,1))-AVERAGE(OFFSET($H$3,0,0,'Données projet'!$E$12+1,1))</f>
        <v>111.69585394603672</v>
      </c>
      <c r="CE4" s="59">
        <f>$CE$3</f>
        <v>162.6701214629764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6.8</v>
      </c>
      <c r="N5" s="13">
        <f>IF('Données projet'!$A$36&gt;35,N4+M5-V4,IF(A5&lt;'Données projet'!$A$36,$K$205^A5,IF(A5='Données projet'!$A$36,'Données projet'!$B$36,N4+M5-V4)))</f>
        <v>4.0981850699807945</v>
      </c>
      <c r="O5" s="13">
        <f>N5*VLOOKUP('Données projet'!$B$9,Paramètres!$A$1:$I$89,3,0)*VLOOKUP('Données projet'!$B$9,Paramètres!$A$1:$I$89,5,0)</f>
        <v>3.7080378513186227</v>
      </c>
      <c r="P5" s="13">
        <f t="shared" ref="P5:P68" si="33">EXP(-1.0587+0.8836*LN(O5)+0.284)</f>
        <v>1.4670598901857457</v>
      </c>
      <c r="Q5" s="20">
        <f t="shared" si="2"/>
        <v>9.0132952331201093</v>
      </c>
      <c r="R5" s="59">
        <f t="shared" si="0"/>
        <v>268.12440634423126</v>
      </c>
      <c r="S5" s="59">
        <f ca="1">AVERAGE(OFFSET($R$3,0,0,'Données projet'!$E$9+1,1))-AVERAGE(OFFSET($H$3,0,0,'Données projet'!$E$9+1,1))</f>
        <v>320.93171542656671</v>
      </c>
      <c r="T5" s="59">
        <f t="shared" ref="T5:T68" si="34">$T$3</f>
        <v>452.7298965816143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6.6</v>
      </c>
      <c r="AI5" s="13">
        <f>IF('Données projet'!$A$62&gt;35,AI4+AH5-AQ4,IF(A5&lt;'Données projet'!$A$62,$AF$205^A5,IF(A5='Données projet'!$A$62,'Données projet'!$B$62,AI4+AH5-AQ4)))</f>
        <v>1.629511362483081</v>
      </c>
      <c r="AJ5" s="13">
        <f>AI5*VLOOKUP('Données projet'!$B$10,Paramètres!$A$1:$I$89,3,0)*VLOOKUP('Données projet'!$B$10,Paramètres!$A$1:$I$89,5,0)</f>
        <v>1.4235411262652198</v>
      </c>
      <c r="AK5" s="13">
        <f t="shared" ref="AK5:AK68" si="35">EXP(-1.0587+0.8836*LN(AJ5)+0.284)</f>
        <v>0.62960738463416654</v>
      </c>
      <c r="AL5" s="20">
        <f t="shared" si="4"/>
        <v>3.5759003231497637</v>
      </c>
      <c r="AM5" s="59">
        <f t="shared" si="5"/>
        <v>262.68701143426091</v>
      </c>
      <c r="AN5" s="59">
        <f ca="1">AVERAGE(OFFSET($AM$3,0,0,'Données projet'!$E$10+1,1))-AVERAGE(OFFSET($H$3,0,0,'Données projet'!$E$10+1,1))</f>
        <v>201.61452816909701</v>
      </c>
      <c r="AO5" s="59">
        <f t="shared" ref="AO5:AO68" si="36">$AO$3</f>
        <v>287.77679930887746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5.5909090909090908</v>
      </c>
      <c r="BD5" s="12">
        <f>IF('Données projet'!$A$88&gt;35,BD4+BC5-BL4,IF(A5&lt;'Données projet'!$A$88,$BA$205^A5,IF(A5='Données projet'!$A$88,'Données projet'!$B$88,BD4+BC5-BL4)))</f>
        <v>1.5487858556387992</v>
      </c>
      <c r="BE5" s="13">
        <f>BD5*VLOOKUP('Données projet'!$B$11,Paramètres!$A$1:$I$89,3,0)*VLOOKUP('Données projet'!$B$11,Paramètres!$A$1:$I$89,5,0)</f>
        <v>0.92617394167200195</v>
      </c>
      <c r="BF5" s="13">
        <f t="shared" ref="BF5:BF68" si="37">EXP(-1.0587+0.8836*LN(BE5)+0.284)</f>
        <v>0.43064718121421069</v>
      </c>
      <c r="BG5" s="20">
        <f t="shared" si="7"/>
        <v>2.3631301223601535</v>
      </c>
      <c r="BH5" s="59">
        <f t="shared" si="8"/>
        <v>261.47424123347128</v>
      </c>
      <c r="BI5" s="59">
        <f ca="1">AVERAGE(OFFSET($BH$3,0,0,'Données projet'!$E$11+1,1))-AVERAGE(OFFSET($H$3,0,0,'Données projet'!$E$11+1,1))</f>
        <v>225.63994281336028</v>
      </c>
      <c r="BJ5" s="59">
        <f t="shared" ref="BJ5:BJ68" si="38">$BJ$3</f>
        <v>231.19476400361157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261.10525168652157</v>
      </c>
      <c r="CD5" s="59">
        <f ca="1">AVERAGE(OFFSET($CC$3,0,0,'Données projet'!$E$12+1,1))-AVERAGE(OFFSET($H$3,0,0,'Données projet'!$E$12+1,1))</f>
        <v>111.69585394603672</v>
      </c>
      <c r="CE5" s="59">
        <f t="shared" ref="CE5:CE68" si="40">$CE$3</f>
        <v>162.6701214629764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6.8</v>
      </c>
      <c r="N6" s="13">
        <f>IF('Données projet'!$A$36&gt;35,N5+M6-V5,IF(A6&lt;'Données projet'!$A$36,$K$205^A6,IF(A6='Données projet'!$A$36,'Données projet'!$B$36,N5+M6-V5)))</f>
        <v>8.2963554401312951</v>
      </c>
      <c r="O6" s="13">
        <f>N6*VLOOKUP('Données projet'!$B$9,Paramètres!$A$1:$I$89,3,0)*VLOOKUP('Données projet'!$B$9,Paramètres!$A$1:$I$89,5,0)</f>
        <v>7.5065424022307949</v>
      </c>
      <c r="P6" s="13">
        <f t="shared" si="33"/>
        <v>2.7358406474604431</v>
      </c>
      <c r="Q6" s="20">
        <f t="shared" si="2"/>
        <v>17.838817144878906</v>
      </c>
      <c r="R6" s="59">
        <f t="shared" si="0"/>
        <v>278.17215047821225</v>
      </c>
      <c r="S6" s="59">
        <f ca="1">AVERAGE(OFFSET($R$3,0,0,'Données projet'!$E$9+1,1))-AVERAGE(OFFSET($H$3,0,0,'Données projet'!$E$9+1,1))</f>
        <v>320.93171542656671</v>
      </c>
      <c r="T6" s="59">
        <f t="shared" si="34"/>
        <v>452.7298965816143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6.6</v>
      </c>
      <c r="AI6" s="13">
        <f>IF('Données projet'!$A$62&gt;35,AI5+AH6-AQ5,IF(A6&lt;'Données projet'!$A$62,$AF$205^A6,IF(A6='Données projet'!$A$62,'Données projet'!$B$62,AI5+AH6-AQ5)))</f>
        <v>2.0801089837784965</v>
      </c>
      <c r="AJ6" s="13">
        <f>AI6*VLOOKUP('Données projet'!$B$10,Paramètres!$A$1:$I$89,3,0)*VLOOKUP('Données projet'!$B$10,Paramètres!$A$1:$I$89,5,0)</f>
        <v>1.8171832082288948</v>
      </c>
      <c r="AK6" s="13">
        <f t="shared" si="35"/>
        <v>0.7811901694881791</v>
      </c>
      <c r="AL6" s="20">
        <f t="shared" si="4"/>
        <v>4.5255002995239044</v>
      </c>
      <c r="AM6" s="59">
        <f t="shared" si="5"/>
        <v>264.85883363285723</v>
      </c>
      <c r="AN6" s="59">
        <f ca="1">AVERAGE(OFFSET($AM$3,0,0,'Données projet'!$E$10+1,1))-AVERAGE(OFFSET($H$3,0,0,'Données projet'!$E$10+1,1))</f>
        <v>201.61452816909701</v>
      </c>
      <c r="AO6" s="59">
        <f t="shared" si="36"/>
        <v>287.77679930887746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5.5909090909090908</v>
      </c>
      <c r="BD6" s="12">
        <f>IF('Données projet'!$A$88&gt;35,BD5+BC6-BL5,IF(A6&lt;'Données projet'!$A$88,$BA$205^A6,IF(A6='Données projet'!$A$88,'Données projet'!$B$88,BD5+BC6-BL5)))</f>
        <v>1.927467485460697</v>
      </c>
      <c r="BE6" s="13">
        <f>BD6*VLOOKUP('Données projet'!$B$11,Paramètres!$A$1:$I$89,3,0)*VLOOKUP('Données projet'!$B$11,Paramètres!$A$1:$I$89,5,0)</f>
        <v>1.152625556305497</v>
      </c>
      <c r="BF6" s="13">
        <f t="shared" si="37"/>
        <v>0.52246812247269758</v>
      </c>
      <c r="BG6" s="20">
        <f t="shared" si="7"/>
        <v>2.9174548238720219</v>
      </c>
      <c r="BH6" s="59">
        <f t="shared" si="8"/>
        <v>263.25078815720536</v>
      </c>
      <c r="BI6" s="59">
        <f ca="1">AVERAGE(OFFSET($BH$3,0,0,'Données projet'!$E$11+1,1))-AVERAGE(OFFSET($H$3,0,0,'Données projet'!$E$11+1,1))</f>
        <v>225.63994281336028</v>
      </c>
      <c r="BJ6" s="59">
        <f t="shared" si="38"/>
        <v>231.19476400361157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262.8778838402435</v>
      </c>
      <c r="CD6" s="59">
        <f ca="1">AVERAGE(OFFSET($CC$3,0,0,'Données projet'!$E$12+1,1))-AVERAGE(OFFSET($H$3,0,0,'Données projet'!$E$12+1,1))</f>
        <v>111.69585394603672</v>
      </c>
      <c r="CE6" s="59">
        <f t="shared" si="40"/>
        <v>162.6701214629764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6.8</v>
      </c>
      <c r="N7" s="13">
        <f>IF('Données projet'!$A$36&gt;35,N6+M7-V6,IF(A7&lt;'Données projet'!$A$36,$K$205^A7,IF(A7='Données projet'!$A$36,'Données projet'!$B$36,N6+M7-V6)))</f>
        <v>16.795120867813488</v>
      </c>
      <c r="O7" s="13">
        <f>N7*VLOOKUP('Données projet'!$B$9,Paramètres!$A$1:$I$89,3,0)*VLOOKUP('Données projet'!$B$9,Paramètres!$A$1:$I$89,5,0)</f>
        <v>15.196225361197643</v>
      </c>
      <c r="P7" s="13">
        <f t="shared" si="33"/>
        <v>5.1019212633160578</v>
      </c>
      <c r="Q7" s="20">
        <f t="shared" si="2"/>
        <v>35.352605371028027</v>
      </c>
      <c r="R7" s="59">
        <f t="shared" si="0"/>
        <v>296.90816092658355</v>
      </c>
      <c r="S7" s="59">
        <f ca="1">AVERAGE(OFFSET($R$3,0,0,'Données projet'!$E$9+1,1))-AVERAGE(OFFSET($H$3,0,0,'Données projet'!$E$9+1,1))</f>
        <v>320.93171542656671</v>
      </c>
      <c r="T7" s="59">
        <f t="shared" si="34"/>
        <v>452.7298965816143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6.6</v>
      </c>
      <c r="AI7" s="13">
        <f>IF('Données projet'!$A$62&gt;35,AI6+AH7-AQ6,IF(A7&lt;'Données projet'!$A$62,$AF$205^A7,IF(A7='Données projet'!$A$62,'Données projet'!$B$62,AI6+AH7-AQ6)))</f>
        <v>2.655307280461467</v>
      </c>
      <c r="AJ7" s="13">
        <f>AI7*VLOOKUP('Données projet'!$B$10,Paramètres!$A$1:$I$89,3,0)*VLOOKUP('Données projet'!$B$10,Paramètres!$A$1:$I$89,5,0)</f>
        <v>2.3196764402111376</v>
      </c>
      <c r="AK7" s="13">
        <f t="shared" si="35"/>
        <v>0.96926766711854973</v>
      </c>
      <c r="AL7" s="20">
        <f t="shared" si="4"/>
        <v>5.7282443202658717</v>
      </c>
      <c r="AM7" s="59">
        <f t="shared" si="5"/>
        <v>267.28379987582139</v>
      </c>
      <c r="AN7" s="59">
        <f ca="1">AVERAGE(OFFSET($AM$3,0,0,'Données projet'!$E$10+1,1))-AVERAGE(OFFSET($H$3,0,0,'Données projet'!$E$10+1,1))</f>
        <v>201.61452816909701</v>
      </c>
      <c r="AO7" s="59">
        <f t="shared" si="36"/>
        <v>287.77679930887746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5.5909090909090908</v>
      </c>
      <c r="BD7" s="12">
        <f>IF('Données projet'!$A$88&gt;35,BD6+BC7-BL6,IF(A7&lt;'Données projet'!$A$88,$BA$205^A7,IF(A7='Données projet'!$A$88,'Données projet'!$B$88,BD6+BC7-BL6)))</f>
        <v>2.3987376266268075</v>
      </c>
      <c r="BE7" s="13">
        <f>BD7*VLOOKUP('Données projet'!$B$11,Paramètres!$A$1:$I$89,3,0)*VLOOKUP('Données projet'!$B$11,Paramètres!$A$1:$I$89,5,0)</f>
        <v>1.4344451007228309</v>
      </c>
      <c r="BF7" s="13">
        <f t="shared" si="37"/>
        <v>0.63386677286612625</v>
      </c>
      <c r="BG7" s="20">
        <f t="shared" si="7"/>
        <v>3.6023098465007668</v>
      </c>
      <c r="BH7" s="59">
        <f t="shared" si="8"/>
        <v>265.1578654020563</v>
      </c>
      <c r="BI7" s="59">
        <f ca="1">AVERAGE(OFFSET($BH$3,0,0,'Données projet'!$E$11+1,1))-AVERAGE(OFFSET($H$3,0,0,'Données projet'!$E$11+1,1))</f>
        <v>225.63994281336028</v>
      </c>
      <c r="BJ7" s="59">
        <f t="shared" si="38"/>
        <v>231.19476400361157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264.80304536680109</v>
      </c>
      <c r="CD7" s="59">
        <f ca="1">AVERAGE(OFFSET($CC$3,0,0,'Données projet'!$E$12+1,1))-AVERAGE(OFFSET($H$3,0,0,'Données projet'!$E$12+1,1))</f>
        <v>111.69585394603672</v>
      </c>
      <c r="CE7" s="59">
        <f t="shared" si="40"/>
        <v>162.6701214629764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34</v>
      </c>
      <c r="L8" s="12">
        <f>VLOOKUP(A8,'Données projet'!$A$35:$I$55,9,0)</f>
        <v>6.8</v>
      </c>
      <c r="M8" s="12">
        <f t="array" ref="M8">INDEX(L:L,MIN(IF(ISNUMBER(L8:L204),ROW(L8:L204),"")))</f>
        <v>6.8</v>
      </c>
      <c r="N8" s="13">
        <f>IF('Données projet'!$A$36&gt;35,N7+M8-V7,IF(A8&lt;'Données projet'!$A$36,$K$205^A8,IF(A8='Données projet'!$A$36,'Données projet'!$B$36,N7+M8-V7)))</f>
        <v>34</v>
      </c>
      <c r="O8" s="13">
        <f>N8*VLOOKUP('Données projet'!$B$9,Paramètres!$A$1:$I$89,3,0)*VLOOKUP('Données projet'!$B$9,Paramètres!$A$1:$I$89,5,0)</f>
        <v>30.763199999999998</v>
      </c>
      <c r="P8" s="13">
        <f t="shared" si="33"/>
        <v>9.5142970411082253</v>
      </c>
      <c r="Q8" s="20">
        <f t="shared" si="2"/>
        <v>70.149974013263474</v>
      </c>
      <c r="R8" s="59">
        <f t="shared" si="0"/>
        <v>332.92775179104126</v>
      </c>
      <c r="S8" s="59">
        <f ca="1">AVERAGE(OFFSET($R$3,0,0,'Données projet'!$E$9+1,1))-AVERAGE(OFFSET($H$3,0,0,'Données projet'!$E$9+1,1))</f>
        <v>320.93171542656671</v>
      </c>
      <c r="T8" s="59">
        <f t="shared" si="34"/>
        <v>452.7298965816143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6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6.6</v>
      </c>
      <c r="AI8" s="13">
        <f>IF('Données projet'!$A$62&gt;35,AI7+AH8-AQ7,IF(A8&lt;'Données projet'!$A$62,$AF$205^A8,IF(A8='Données projet'!$A$62,'Données projet'!$B$62,AI7+AH8-AQ7)))</f>
        <v>3.3895612242701949</v>
      </c>
      <c r="AJ8" s="13">
        <f>AI8*VLOOKUP('Données projet'!$B$10,Paramètres!$A$1:$I$89,3,0)*VLOOKUP('Données projet'!$B$10,Paramètres!$A$1:$I$89,5,0)</f>
        <v>2.9611206855224426</v>
      </c>
      <c r="AK8" s="13">
        <f t="shared" si="35"/>
        <v>1.2026262582604759</v>
      </c>
      <c r="AL8" s="20">
        <f t="shared" si="4"/>
        <v>7.2518592604219156</v>
      </c>
      <c r="AM8" s="59">
        <f t="shared" si="5"/>
        <v>270.02963703819967</v>
      </c>
      <c r="AN8" s="59">
        <f ca="1">AVERAGE(OFFSET($AM$3,0,0,'Données projet'!$E$10+1,1))-AVERAGE(OFFSET($H$3,0,0,'Données projet'!$E$10+1,1))</f>
        <v>201.61452816909701</v>
      </c>
      <c r="AO8" s="59">
        <f t="shared" si="36"/>
        <v>287.77679930887746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5.5909090909090908</v>
      </c>
      <c r="BD8" s="12">
        <f>IF('Données projet'!$A$88&gt;35,BD7+BC8-BL7,IF(A8&lt;'Données projet'!$A$88,$BA$205^A8,IF(A8='Données projet'!$A$88,'Données projet'!$B$88,BD7+BC8-BL7)))</f>
        <v>2.9852343786852105</v>
      </c>
      <c r="BE8" s="13">
        <f>BD8*VLOOKUP('Données projet'!$B$11,Paramètres!$A$1:$I$89,3,0)*VLOOKUP('Données projet'!$B$11,Paramètres!$A$1:$I$89,5,0)</f>
        <v>1.785170158453756</v>
      </c>
      <c r="BF8" s="13">
        <f t="shared" si="37"/>
        <v>0.7690174164926461</v>
      </c>
      <c r="BG8" s="20">
        <f t="shared" si="7"/>
        <v>4.4485433596983173</v>
      </c>
      <c r="BH8" s="59">
        <f t="shared" si="8"/>
        <v>267.22632113747608</v>
      </c>
      <c r="BI8" s="59">
        <f ca="1">AVERAGE(OFFSET($BH$3,0,0,'Données projet'!$E$11+1,1))-AVERAGE(OFFSET($H$3,0,0,'Données projet'!$E$11+1,1))</f>
        <v>225.63994281336028</v>
      </c>
      <c r="BJ8" s="59">
        <f t="shared" si="38"/>
        <v>231.19476400361157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266.92316437994907</v>
      </c>
      <c r="CD8" s="59">
        <f ca="1">AVERAGE(OFFSET($CC$3,0,0,'Données projet'!$E$12+1,1))-AVERAGE(OFFSET($H$3,0,0,'Données projet'!$E$12+1,1))</f>
        <v>111.69585394603672</v>
      </c>
      <c r="CE8" s="59">
        <f t="shared" si="40"/>
        <v>162.6701214629764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14.2</v>
      </c>
      <c r="N9" s="13">
        <f>IF('Données projet'!$A$36&gt;35,N8+M9-V8,IF(A9&lt;'Données projet'!$A$36,$K$205^A9,IF(A9='Données projet'!$A$36,'Données projet'!$B$36,N8+M9-V8)))</f>
        <v>42.2</v>
      </c>
      <c r="O9" s="13">
        <f>N9*VLOOKUP('Données projet'!$B$9,Paramètres!$A$1:$I$89,3,0)*VLOOKUP('Données projet'!$B$9,Paramètres!$A$1:$I$89,5,0)</f>
        <v>38.182560000000002</v>
      </c>
      <c r="P9" s="13">
        <f t="shared" si="33"/>
        <v>11.515638334288104</v>
      </c>
      <c r="Q9" s="20">
        <f t="shared" si="2"/>
        <v>86.557695432218452</v>
      </c>
      <c r="R9" s="59">
        <f t="shared" si="0"/>
        <v>350.55769543221845</v>
      </c>
      <c r="S9" s="59">
        <f ca="1">AVERAGE(OFFSET($R$3,0,0,'Données projet'!$E$9+1,1))-AVERAGE(OFFSET($H$3,0,0,'Données projet'!$E$9+1,1))</f>
        <v>320.93171542656671</v>
      </c>
      <c r="T9" s="59">
        <f t="shared" si="34"/>
        <v>452.7298965816143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6.6</v>
      </c>
      <c r="AI9" s="13">
        <f>IF('Données projet'!$A$62&gt;35,AI8+AH9-AQ8,IF(A9&lt;'Données projet'!$A$62,$AF$205^A9,IF(A9='Données projet'!$A$62,'Données projet'!$B$62,AI8+AH9-AQ8)))</f>
        <v>4.32685338439601</v>
      </c>
      <c r="AJ9" s="13">
        <f>AI9*VLOOKUP('Données projet'!$B$10,Paramètres!$A$1:$I$89,3,0)*VLOOKUP('Données projet'!$B$10,Paramètres!$A$1:$I$89,5,0)</f>
        <v>3.7799391166083551</v>
      </c>
      <c r="AK9" s="13">
        <f t="shared" si="35"/>
        <v>1.4921677118944865</v>
      </c>
      <c r="AL9" s="20">
        <f t="shared" si="4"/>
        <v>9.1822527263091143</v>
      </c>
      <c r="AM9" s="59">
        <f t="shared" si="5"/>
        <v>273.18225272630912</v>
      </c>
      <c r="AN9" s="59">
        <f ca="1">AVERAGE(OFFSET($AM$3,0,0,'Données projet'!$E$10+1,1))-AVERAGE(OFFSET($H$3,0,0,'Données projet'!$E$10+1,1))</f>
        <v>201.61452816909701</v>
      </c>
      <c r="AO9" s="59">
        <f t="shared" si="36"/>
        <v>287.77679930887746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5.5909090909090908</v>
      </c>
      <c r="BD9" s="12">
        <f>IF('Données projet'!$A$88&gt;35,BD8+BC9-BL8,IF(A9&lt;'Données projet'!$A$88,$BA$205^A9,IF(A9='Données projet'!$A$88,'Données projet'!$B$88,BD8+BC9-BL8)))</f>
        <v>3.7151309075081826</v>
      </c>
      <c r="BE9" s="13">
        <f>BD9*VLOOKUP('Données projet'!$B$11,Paramètres!$A$1:$I$89,3,0)*VLOOKUP('Données projet'!$B$11,Paramètres!$A$1:$I$89,5,0)</f>
        <v>2.2216482826898933</v>
      </c>
      <c r="BF9" s="13">
        <f t="shared" si="37"/>
        <v>0.93298436230530435</v>
      </c>
      <c r="BG9" s="20">
        <f t="shared" si="7"/>
        <v>5.4943185233666361</v>
      </c>
      <c r="BH9" s="59">
        <f t="shared" si="8"/>
        <v>269.49431852336664</v>
      </c>
      <c r="BI9" s="59">
        <f ca="1">AVERAGE(OFFSET($BH$3,0,0,'Données projet'!$E$11+1,1))-AVERAGE(OFFSET($H$3,0,0,'Données projet'!$E$11+1,1))</f>
        <v>225.63994281336028</v>
      </c>
      <c r="BJ9" s="59">
        <f t="shared" si="38"/>
        <v>231.19476400361157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269.29251243621979</v>
      </c>
      <c r="CD9" s="59">
        <f ca="1">AVERAGE(OFFSET($CC$3,0,0,'Données projet'!$E$12+1,1))-AVERAGE(OFFSET($H$3,0,0,'Données projet'!$E$12+1,1))</f>
        <v>111.69585394603672</v>
      </c>
      <c r="CE9" s="59">
        <f t="shared" si="40"/>
        <v>162.6701214629764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14.2</v>
      </c>
      <c r="N10" s="13">
        <f>IF('Données projet'!$A$36&gt;35,N9+M10-V9,IF(A10&lt;'Données projet'!$A$36,$K$205^A10,IF(A10='Données projet'!$A$36,'Données projet'!$B$36,N9+M10-V9)))</f>
        <v>56.400000000000006</v>
      </c>
      <c r="O10" s="13">
        <f>N10*VLOOKUP('Données projet'!$B$9,Paramètres!$A$1:$I$89,3,0)*VLOOKUP('Données projet'!$B$9,Paramètres!$A$1:$I$89,5,0)</f>
        <v>51.030720000000009</v>
      </c>
      <c r="P10" s="13">
        <f t="shared" si="33"/>
        <v>14.879630660597618</v>
      </c>
      <c r="Q10" s="20">
        <f t="shared" si="2"/>
        <v>114.79386073387418</v>
      </c>
      <c r="R10" s="59">
        <f t="shared" si="0"/>
        <v>380.0160829560964</v>
      </c>
      <c r="S10" s="59">
        <f ca="1">AVERAGE(OFFSET($R$3,0,0,'Données projet'!$E$9+1,1))-AVERAGE(OFFSET($H$3,0,0,'Données projet'!$E$9+1,1))</f>
        <v>320.93171542656671</v>
      </c>
      <c r="T10" s="59">
        <f t="shared" si="34"/>
        <v>452.7298965816143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6.6</v>
      </c>
      <c r="AI10" s="13">
        <f>IF('Données projet'!$A$62&gt;35,AI9+AH10-AQ9,IF(A10&lt;'Données projet'!$A$62,$AF$205^A10,IF(A10='Données projet'!$A$62,'Données projet'!$B$62,AI9+AH10-AQ9)))</f>
        <v>5.5233285287803451</v>
      </c>
      <c r="AJ10" s="13">
        <f>AI10*VLOOKUP('Données projet'!$B$10,Paramètres!$A$1:$I$89,3,0)*VLOOKUP('Données projet'!$B$10,Paramètres!$A$1:$I$89,5,0)</f>
        <v>4.8251798027425101</v>
      </c>
      <c r="AK10" s="13">
        <f t="shared" si="35"/>
        <v>1.8514184811173284</v>
      </c>
      <c r="AL10" s="20">
        <f t="shared" si="4"/>
        <v>11.628408677722552</v>
      </c>
      <c r="AM10" s="59">
        <f t="shared" si="5"/>
        <v>276.8506308999448</v>
      </c>
      <c r="AN10" s="59">
        <f ca="1">AVERAGE(OFFSET($AM$3,0,0,'Données projet'!$E$10+1,1))-AVERAGE(OFFSET($H$3,0,0,'Données projet'!$E$10+1,1))</f>
        <v>201.61452816909701</v>
      </c>
      <c r="AO10" s="59">
        <f t="shared" si="36"/>
        <v>287.77679930887746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5.5909090909090908</v>
      </c>
      <c r="BD10" s="12">
        <f>IF('Données projet'!$A$88&gt;35,BD9+BC10-BL9,IF(A10&lt;'Données projet'!$A$88,$BA$205^A10,IF(A10='Données projet'!$A$88,'Données projet'!$B$88,BD9+BC10-BL9)))</f>
        <v>4.6234887814743333</v>
      </c>
      <c r="BE10" s="13">
        <f>BD10*VLOOKUP('Données projet'!$B$11,Paramètres!$A$1:$I$89,3,0)*VLOOKUP('Données projet'!$B$11,Paramètres!$A$1:$I$89,5,0)</f>
        <v>2.7648462913216516</v>
      </c>
      <c r="BF10" s="13">
        <f t="shared" si="37"/>
        <v>1.1319117118000401</v>
      </c>
      <c r="BG10" s="20">
        <f t="shared" si="7"/>
        <v>6.7868535221036126</v>
      </c>
      <c r="BH10" s="59">
        <f t="shared" si="8"/>
        <v>272.00907574432586</v>
      </c>
      <c r="BI10" s="59">
        <f ca="1">AVERAGE(OFFSET($BH$3,0,0,'Données projet'!$E$11+1,1))-AVERAGE(OFFSET($H$3,0,0,'Données projet'!$E$11+1,1))</f>
        <v>225.63994281336028</v>
      </c>
      <c r="BJ10" s="59">
        <f t="shared" si="38"/>
        <v>231.19476400361157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271.98052129859713</v>
      </c>
      <c r="CD10" s="59">
        <f ca="1">AVERAGE(OFFSET($CC$3,0,0,'Données projet'!$E$12+1,1))-AVERAGE(OFFSET($H$3,0,0,'Données projet'!$E$12+1,1))</f>
        <v>111.69585394603672</v>
      </c>
      <c r="CE10" s="59">
        <f t="shared" si="40"/>
        <v>162.6701214629764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14.2</v>
      </c>
      <c r="N11" s="13">
        <f>IF('Données projet'!$A$36&gt;35,N10+M11-V10,IF(A11&lt;'Données projet'!$A$36,$K$205^A11,IF(A11='Données projet'!$A$36,'Données projet'!$B$36,N10+M11-V10)))</f>
        <v>70.600000000000009</v>
      </c>
      <c r="O11" s="13">
        <f>N11*VLOOKUP('Données projet'!$B$9,Paramètres!$A$1:$I$89,3,0)*VLOOKUP('Données projet'!$B$9,Paramètres!$A$1:$I$89,5,0)</f>
        <v>63.878880000000002</v>
      </c>
      <c r="P11" s="13">
        <f t="shared" si="33"/>
        <v>18.145367520913332</v>
      </c>
      <c r="Q11" s="20">
        <f t="shared" si="2"/>
        <v>142.85889776559074</v>
      </c>
      <c r="R11" s="59">
        <f t="shared" si="0"/>
        <v>409.30334221003523</v>
      </c>
      <c r="S11" s="59">
        <f ca="1">AVERAGE(OFFSET($R$3,0,0,'Données projet'!$E$9+1,1))-AVERAGE(OFFSET($H$3,0,0,'Données projet'!$E$9+1,1))</f>
        <v>320.93171542656671</v>
      </c>
      <c r="T11" s="59">
        <f t="shared" si="34"/>
        <v>452.7298965816143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6.6</v>
      </c>
      <c r="AI11" s="13">
        <f>IF('Données projet'!$A$62&gt;35,AI10+AH11-AQ10,IF(A11&lt;'Données projet'!$A$62,$AF$205^A11,IF(A11='Données projet'!$A$62,'Données projet'!$B$62,AI10+AH11-AQ10)))</f>
        <v>7.0506567536716718</v>
      </c>
      <c r="AJ11" s="13">
        <f>AI11*VLOOKUP('Données projet'!$B$10,Paramètres!$A$1:$I$89,3,0)*VLOOKUP('Données projet'!$B$10,Paramètres!$A$1:$I$89,5,0)</f>
        <v>6.1594537400075735</v>
      </c>
      <c r="AK11" s="13">
        <f t="shared" si="35"/>
        <v>2.2971616158822084</v>
      </c>
      <c r="AL11" s="20">
        <f t="shared" si="4"/>
        <v>14.728605078174702</v>
      </c>
      <c r="AM11" s="59">
        <f t="shared" si="5"/>
        <v>281.17304952261918</v>
      </c>
      <c r="AN11" s="59">
        <f ca="1">AVERAGE(OFFSET($AM$3,0,0,'Données projet'!$E$10+1,1))-AVERAGE(OFFSET($H$3,0,0,'Données projet'!$E$10+1,1))</f>
        <v>201.61452816909701</v>
      </c>
      <c r="AO11" s="59">
        <f t="shared" si="36"/>
        <v>287.77679930887746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5.5909090909090908</v>
      </c>
      <c r="BD11" s="12">
        <f>IF('Données projet'!$A$88&gt;35,BD10+BC11-BL10,IF(A11&lt;'Données projet'!$A$88,$BA$205^A11,IF(A11='Données projet'!$A$88,'Données projet'!$B$88,BD10+BC11-BL10)))</f>
        <v>5.7539422013952093</v>
      </c>
      <c r="BE11" s="13">
        <f>BD11*VLOOKUP('Données projet'!$B$11,Paramètres!$A$1:$I$89,3,0)*VLOOKUP('Données projet'!$B$11,Paramètres!$A$1:$I$89,5,0)</f>
        <v>3.4408574364343356</v>
      </c>
      <c r="BF11" s="13">
        <f t="shared" si="37"/>
        <v>1.3732535882427113</v>
      </c>
      <c r="BG11" s="20">
        <f t="shared" si="7"/>
        <v>8.3845767013125236</v>
      </c>
      <c r="BH11" s="59">
        <f t="shared" si="8"/>
        <v>274.829021145757</v>
      </c>
      <c r="BI11" s="59">
        <f ca="1">AVERAGE(OFFSET($BH$3,0,0,'Données projet'!$E$11+1,1))-AVERAGE(OFFSET($H$3,0,0,'Données projet'!$E$11+1,1))</f>
        <v>225.63994281336028</v>
      </c>
      <c r="BJ11" s="59">
        <f t="shared" si="38"/>
        <v>231.19476400361157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275.07603134727827</v>
      </c>
      <c r="CD11" s="59">
        <f ca="1">AVERAGE(OFFSET($CC$3,0,0,'Données projet'!$E$12+1,1))-AVERAGE(OFFSET($H$3,0,0,'Données projet'!$E$12+1,1))</f>
        <v>111.69585394603672</v>
      </c>
      <c r="CE11" s="59">
        <f t="shared" si="40"/>
        <v>162.6701214629764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14.2</v>
      </c>
      <c r="N12" s="13">
        <f>IF('Données projet'!$A$36&gt;35,N11+M12-V11,IF(A12&lt;'Données projet'!$A$36,$K$205^A12,IF(A12='Données projet'!$A$36,'Données projet'!$B$36,N11+M12-V11)))</f>
        <v>84.800000000000011</v>
      </c>
      <c r="O12" s="13">
        <f>N12*VLOOKUP('Données projet'!$B$9,Paramètres!$A$1:$I$89,3,0)*VLOOKUP('Données projet'!$B$9,Paramètres!$A$1:$I$89,5,0)</f>
        <v>76.727040000000017</v>
      </c>
      <c r="P12" s="13">
        <f t="shared" si="33"/>
        <v>21.334993267156719</v>
      </c>
      <c r="Q12" s="20">
        <f t="shared" si="2"/>
        <v>170.79137460696464</v>
      </c>
      <c r="R12" s="59">
        <f t="shared" si="0"/>
        <v>438.45804127363135</v>
      </c>
      <c r="S12" s="59">
        <f ca="1">AVERAGE(OFFSET($R$3,0,0,'Données projet'!$E$9+1,1))-AVERAGE(OFFSET($H$3,0,0,'Données projet'!$E$9+1,1))</f>
        <v>320.93171542656671</v>
      </c>
      <c r="T12" s="59">
        <f t="shared" si="34"/>
        <v>452.7298965816143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6.6</v>
      </c>
      <c r="AI12" s="13">
        <f>IF('Données projet'!$A$62&gt;35,AI11+AH12-AQ11,IF(A12&lt;'Données projet'!$A$62,$AF$205^A12,IF(A12='Données projet'!$A$62,'Données projet'!$B$62,AI11+AH12-AQ11)))</f>
        <v>9.0003265963745314</v>
      </c>
      <c r="AJ12" s="13">
        <f>AI12*VLOOKUP('Données projet'!$B$10,Paramètres!$A$1:$I$89,3,0)*VLOOKUP('Données projet'!$B$10,Paramètres!$A$1:$I$89,5,0)</f>
        <v>7.8626853145927917</v>
      </c>
      <c r="AK12" s="13">
        <f t="shared" si="35"/>
        <v>2.8502208135558442</v>
      </c>
      <c r="AL12" s="20">
        <f t="shared" si="4"/>
        <v>18.658311506525539</v>
      </c>
      <c r="AM12" s="59">
        <f t="shared" si="5"/>
        <v>286.32497817319222</v>
      </c>
      <c r="AN12" s="59">
        <f ca="1">AVERAGE(OFFSET($AM$3,0,0,'Données projet'!$E$10+1,1))-AVERAGE(OFFSET($H$3,0,0,'Données projet'!$E$10+1,1))</f>
        <v>201.61452816909701</v>
      </c>
      <c r="AO12" s="59">
        <f t="shared" si="36"/>
        <v>287.77679930887746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5.5909090909090908</v>
      </c>
      <c r="BD12" s="12">
        <f>IF('Données projet'!$A$88&gt;35,BD11+BC12-BL11,IF(A12&lt;'Données projet'!$A$88,$BA$205^A12,IF(A12='Données projet'!$A$88,'Données projet'!$B$88,BD11+BC12-BL11)))</f>
        <v>7.1607940284521145</v>
      </c>
      <c r="BE12" s="13">
        <f>BD12*VLOOKUP('Données projet'!$B$11,Paramètres!$A$1:$I$89,3,0)*VLOOKUP('Données projet'!$B$11,Paramètres!$A$1:$I$89,5,0)</f>
        <v>4.2821548290143649</v>
      </c>
      <c r="BF12" s="13">
        <f t="shared" si="37"/>
        <v>1.6660534544894132</v>
      </c>
      <c r="BG12" s="20">
        <f t="shared" si="7"/>
        <v>10.359796093769079</v>
      </c>
      <c r="BH12" s="59">
        <f t="shared" si="8"/>
        <v>278.02646276043578</v>
      </c>
      <c r="BI12" s="59">
        <f ca="1">AVERAGE(OFFSET($BH$3,0,0,'Données projet'!$E$11+1,1))-AVERAGE(OFFSET($H$3,0,0,'Données projet'!$E$11+1,1))</f>
        <v>225.63994281336028</v>
      </c>
      <c r="BJ12" s="59">
        <f t="shared" si="38"/>
        <v>231.19476400361157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278.6927340463364</v>
      </c>
      <c r="CD12" s="59">
        <f ca="1">AVERAGE(OFFSET($CC$3,0,0,'Données projet'!$E$12+1,1))-AVERAGE(OFFSET($H$3,0,0,'Données projet'!$E$12+1,1))</f>
        <v>111.69585394603672</v>
      </c>
      <c r="CE12" s="59">
        <f t="shared" si="40"/>
        <v>162.6701214629764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99</v>
      </c>
      <c r="L13" s="12">
        <f>VLOOKUP(A13,'Données projet'!$A$35:$I$55,9,0)</f>
        <v>14.2</v>
      </c>
      <c r="M13" s="12">
        <f t="array" ref="M13">INDEX(L:L,MIN(IF(ISNUMBER(L13:L209),ROW(L13:L209),"")))</f>
        <v>14.2</v>
      </c>
      <c r="N13" s="13">
        <f>IF('Données projet'!$A$36&gt;35,N12+M13-V12,IF(A13&lt;'Données projet'!$A$36,$K$205^A13,IF(A13='Données projet'!$A$36,'Données projet'!$B$36,N12+M13-V12)))</f>
        <v>99.000000000000014</v>
      </c>
      <c r="O13" s="13">
        <f>N13*VLOOKUP('Données projet'!$B$9,Paramètres!$A$1:$I$89,3,0)*VLOOKUP('Données projet'!$B$9,Paramètres!$A$1:$I$89,5,0)</f>
        <v>89.575200000000009</v>
      </c>
      <c r="P13" s="13">
        <f t="shared" si="33"/>
        <v>24.462745269668691</v>
      </c>
      <c r="Q13" s="20">
        <f t="shared" si="2"/>
        <v>198.61608801133966</v>
      </c>
      <c r="R13" s="59">
        <f t="shared" si="0"/>
        <v>467.50497690022848</v>
      </c>
      <c r="S13" s="59">
        <f ca="1">AVERAGE(OFFSET($R$3,0,0,'Données projet'!$E$9+1,1))-AVERAGE(OFFSET($H$3,0,0,'Données projet'!$E$9+1,1))</f>
        <v>320.93171542656671</v>
      </c>
      <c r="T13" s="59">
        <f t="shared" si="34"/>
        <v>452.7298965816143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28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6.6</v>
      </c>
      <c r="AI13" s="13">
        <f>IF('Données projet'!$A$62&gt;35,AI12+AH13-AQ12,IF(A13&lt;'Données projet'!$A$62,$AF$205^A13,IF(A13='Données projet'!$A$62,'Données projet'!$B$62,AI12+AH13-AQ12)))</f>
        <v>11.489125293076063</v>
      </c>
      <c r="AJ13" s="13">
        <f>AI13*VLOOKUP('Données projet'!$B$10,Paramètres!$A$1:$I$89,3,0)*VLOOKUP('Données projet'!$B$10,Paramètres!$A$1:$I$89,5,0)</f>
        <v>10.036899856031249</v>
      </c>
      <c r="AK13" s="13">
        <f t="shared" si="35"/>
        <v>3.5364332356333024</v>
      </c>
      <c r="AL13" s="20">
        <f t="shared" si="4"/>
        <v>23.640221801315761</v>
      </c>
      <c r="AM13" s="59">
        <f t="shared" si="5"/>
        <v>292.52911069020462</v>
      </c>
      <c r="AN13" s="59">
        <f ca="1">AVERAGE(OFFSET($AM$3,0,0,'Données projet'!$E$10+1,1))-AVERAGE(OFFSET($H$3,0,0,'Données projet'!$E$10+1,1))</f>
        <v>201.61452816909701</v>
      </c>
      <c r="AO13" s="59">
        <f t="shared" si="36"/>
        <v>287.77679930887746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5.5909090909090908</v>
      </c>
      <c r="BD13" s="12">
        <f>IF('Données projet'!$A$88&gt;35,BD12+BC13-BL12,IF(A13&lt;'Données projet'!$A$88,$BA$205^A13,IF(A13='Données projet'!$A$88,'Données projet'!$B$88,BD12+BC13-BL12)))</f>
        <v>8.9116242956840761</v>
      </c>
      <c r="BE13" s="13">
        <f>BD13*VLOOKUP('Données projet'!$B$11,Paramètres!$A$1:$I$89,3,0)*VLOOKUP('Données projet'!$B$11,Paramètres!$A$1:$I$89,5,0)</f>
        <v>5.3291513288190782</v>
      </c>
      <c r="BF13" s="13">
        <f t="shared" si="37"/>
        <v>2.0212829858817885</v>
      </c>
      <c r="BG13" s="20">
        <f t="shared" si="7"/>
        <v>12.802006431437341</v>
      </c>
      <c r="BH13" s="59">
        <f t="shared" si="8"/>
        <v>281.69089532032621</v>
      </c>
      <c r="BI13" s="59">
        <f ca="1">AVERAGE(OFFSET($BH$3,0,0,'Données projet'!$E$11+1,1))-AVERAGE(OFFSET($H$3,0,0,'Données projet'!$E$11+1,1))</f>
        <v>225.63994281336028</v>
      </c>
      <c r="BJ13" s="59">
        <f t="shared" si="38"/>
        <v>231.19476400361157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282.97614497005429</v>
      </c>
      <c r="CD13" s="59">
        <f ca="1">AVERAGE(OFFSET($CC$3,0,0,'Données projet'!$E$12+1,1))-AVERAGE(OFFSET($H$3,0,0,'Données projet'!$E$12+1,1))</f>
        <v>111.69585394603672</v>
      </c>
      <c r="CE13" s="59">
        <f t="shared" si="40"/>
        <v>162.6701214629764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13.8</v>
      </c>
      <c r="N14" s="13">
        <f>IF('Données projet'!$A$36&gt;35,N13+M14-V13,IF(A14&lt;'Données projet'!$A$36,$K$205^A14,IF(A14='Données projet'!$A$36,'Données projet'!$B$36,N13+M14-V13)))</f>
        <v>84.800000000000011</v>
      </c>
      <c r="O14" s="13">
        <f>N14*VLOOKUP('Données projet'!$B$9,Paramètres!$A$1:$I$89,3,0)*VLOOKUP('Données projet'!$B$9,Paramètres!$A$1:$I$89,5,0)</f>
        <v>76.727040000000017</v>
      </c>
      <c r="P14" s="13">
        <f t="shared" si="33"/>
        <v>21.334993267156719</v>
      </c>
      <c r="Q14" s="20">
        <f t="shared" si="2"/>
        <v>170.79137460696464</v>
      </c>
      <c r="R14" s="59">
        <f t="shared" si="0"/>
        <v>440.90248571807581</v>
      </c>
      <c r="S14" s="59">
        <f ca="1">AVERAGE(OFFSET($R$3,0,0,'Données projet'!$E$9+1,1))-AVERAGE(OFFSET($H$3,0,0,'Données projet'!$E$9+1,1))</f>
        <v>320.93171542656671</v>
      </c>
      <c r="T14" s="59">
        <f t="shared" si="34"/>
        <v>452.7298965816143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6.6</v>
      </c>
      <c r="AI14" s="13">
        <f>IF('Données projet'!$A$62&gt;35,AI13+AH14-AQ13,IF(A14&lt;'Données projet'!$A$62,$AF$205^A14,IF(A14='Données projet'!$A$62,'Données projet'!$B$62,AI13+AH14-AQ13)))</f>
        <v>14.666134454850974</v>
      </c>
      <c r="AJ14" s="13">
        <f>AI14*VLOOKUP('Données projet'!$B$10,Paramètres!$A$1:$I$89,3,0)*VLOOKUP('Données projet'!$B$10,Paramètres!$A$1:$I$89,5,0)</f>
        <v>12.812335059757812</v>
      </c>
      <c r="AK14" s="13">
        <f t="shared" si="35"/>
        <v>4.3878565375042955</v>
      </c>
      <c r="AL14" s="20">
        <f t="shared" si="4"/>
        <v>29.957000365231504</v>
      </c>
      <c r="AM14" s="59">
        <f t="shared" si="5"/>
        <v>300.06811147634266</v>
      </c>
      <c r="AN14" s="59">
        <f ca="1">AVERAGE(OFFSET($AM$3,0,0,'Données projet'!$E$10+1,1))-AVERAGE(OFFSET($H$3,0,0,'Données projet'!$E$10+1,1))</f>
        <v>201.61452816909701</v>
      </c>
      <c r="AO14" s="59">
        <f t="shared" si="36"/>
        <v>287.77679930887746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5.5909090909090908</v>
      </c>
      <c r="BD14" s="12">
        <f>IF('Données projet'!$A$88&gt;35,BD13+BC14-BL13,IF(A14&lt;'Données projet'!$A$88,$BA$205^A14,IF(A14='Données projet'!$A$88,'Données projet'!$B$88,BD13+BC14-BL13)))</f>
        <v>11.090536506409412</v>
      </c>
      <c r="BE14" s="13">
        <f>BD14*VLOOKUP('Données projet'!$B$11,Paramètres!$A$1:$I$89,3,0)*VLOOKUP('Données projet'!$B$11,Paramètres!$A$1:$I$89,5,0)</f>
        <v>6.6321408308328289</v>
      </c>
      <c r="BF14" s="13">
        <f t="shared" si="37"/>
        <v>2.4522531963221348</v>
      </c>
      <c r="BG14" s="20">
        <f t="shared" si="7"/>
        <v>15.821986263961561</v>
      </c>
      <c r="BH14" s="59">
        <f t="shared" si="8"/>
        <v>285.93309737507269</v>
      </c>
      <c r="BI14" s="59">
        <f ca="1">AVERAGE(OFFSET($BH$3,0,0,'Données projet'!$E$11+1,1))-AVERAGE(OFFSET($H$3,0,0,'Données projet'!$E$11+1,1))</f>
        <v>225.63994281336028</v>
      </c>
      <c r="BJ14" s="59">
        <f t="shared" si="38"/>
        <v>231.19476400361157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288.11253895675651</v>
      </c>
      <c r="CD14" s="59">
        <f ca="1">AVERAGE(OFFSET($CC$3,0,0,'Données projet'!$E$12+1,1))-AVERAGE(OFFSET($H$3,0,0,'Données projet'!$E$12+1,1))</f>
        <v>111.69585394603672</v>
      </c>
      <c r="CE14" s="59">
        <f t="shared" si="40"/>
        <v>162.6701214629764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13.8</v>
      </c>
      <c r="N15" s="13">
        <f>IF('Données projet'!$A$36&gt;35,N14+M15-V14,IF(A15&lt;'Données projet'!$A$36,$K$205^A15,IF(A15='Données projet'!$A$36,'Données projet'!$B$36,N14+M15-V14)))</f>
        <v>98.600000000000009</v>
      </c>
      <c r="O15" s="13">
        <f>N15*VLOOKUP('Données projet'!$B$9,Paramètres!$A$1:$I$89,3,0)*VLOOKUP('Données projet'!$B$9,Paramètres!$A$1:$I$89,5,0)</f>
        <v>89.213280000000012</v>
      </c>
      <c r="P15" s="13">
        <f t="shared" si="33"/>
        <v>24.375390230293569</v>
      </c>
      <c r="Q15" s="20">
        <f t="shared" si="2"/>
        <v>197.83360065109466</v>
      </c>
      <c r="R15" s="59">
        <f t="shared" si="0"/>
        <v>469.16693398442794</v>
      </c>
      <c r="S15" s="59">
        <f ca="1">AVERAGE(OFFSET($R$3,0,0,'Données projet'!$E$9+1,1))-AVERAGE(OFFSET($H$3,0,0,'Données projet'!$E$9+1,1))</f>
        <v>320.93171542656671</v>
      </c>
      <c r="T15" s="59">
        <f t="shared" si="34"/>
        <v>452.7298965816143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6.6</v>
      </c>
      <c r="AI15" s="13">
        <f>IF('Données projet'!$A$62&gt;35,AI14+AH15-AQ14,IF(A15&lt;'Données projet'!$A$62,$AF$205^A15,IF(A15='Données projet'!$A$62,'Données projet'!$B$62,AI14+AH15-AQ14)))</f>
        <v>18.721660210059202</v>
      </c>
      <c r="AJ15" s="13">
        <f>AI15*VLOOKUP('Données projet'!$B$10,Paramètres!$A$1:$I$89,3,0)*VLOOKUP('Données projet'!$B$10,Paramètres!$A$1:$I$89,5,0)</f>
        <v>16.35524235950772</v>
      </c>
      <c r="AK15" s="13">
        <f t="shared" si="35"/>
        <v>5.4442664998513175</v>
      </c>
      <c r="AL15" s="20">
        <f t="shared" si="4"/>
        <v>37.967477930050322</v>
      </c>
      <c r="AM15" s="59">
        <f t="shared" si="5"/>
        <v>309.30081126338365</v>
      </c>
      <c r="AN15" s="59">
        <f ca="1">AVERAGE(OFFSET($AM$3,0,0,'Données projet'!$E$10+1,1))-AVERAGE(OFFSET($H$3,0,0,'Données projet'!$E$10+1,1))</f>
        <v>201.61452816909701</v>
      </c>
      <c r="AO15" s="59">
        <f t="shared" si="36"/>
        <v>287.77679930887746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5.5909090909090908</v>
      </c>
      <c r="BD15" s="12">
        <f>IF('Données projet'!$A$88&gt;35,BD14+BC15-BL14,IF(A15&lt;'Données projet'!$A$88,$BA$205^A15,IF(A15='Données projet'!$A$88,'Données projet'!$B$88,BD14+BC15-BL14)))</f>
        <v>13.802197659922571</v>
      </c>
      <c r="BE15" s="13">
        <f>BD15*VLOOKUP('Données projet'!$B$11,Paramètres!$A$1:$I$89,3,0)*VLOOKUP('Données projet'!$B$11,Paramètres!$A$1:$I$89,5,0)</f>
        <v>8.2537142006336985</v>
      </c>
      <c r="BF15" s="13">
        <f t="shared" si="37"/>
        <v>2.9751132230743558</v>
      </c>
      <c r="BG15" s="20">
        <f t="shared" si="7"/>
        <v>19.556874429624859</v>
      </c>
      <c r="BH15" s="59">
        <f t="shared" si="8"/>
        <v>290.8902077629582</v>
      </c>
      <c r="BI15" s="59">
        <f ca="1">AVERAGE(OFFSET($BH$3,0,0,'Données projet'!$E$11+1,1))-AVERAGE(OFFSET($H$3,0,0,'Données projet'!$E$11+1,1))</f>
        <v>225.63994281336028</v>
      </c>
      <c r="BJ15" s="59">
        <f t="shared" si="38"/>
        <v>231.19476400361157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294.3404009375538</v>
      </c>
      <c r="CD15" s="59">
        <f ca="1">AVERAGE(OFFSET($CC$3,0,0,'Données projet'!$E$12+1,1))-AVERAGE(OFFSET($H$3,0,0,'Données projet'!$E$12+1,1))</f>
        <v>111.69585394603672</v>
      </c>
      <c r="CE15" s="59">
        <f t="shared" si="40"/>
        <v>162.6701214629764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13.8</v>
      </c>
      <c r="N16" s="13">
        <f>IF('Données projet'!$A$36&gt;35,N15+M16-V15,IF(A16&lt;'Données projet'!$A$36,$K$205^A16,IF(A16='Données projet'!$A$36,'Données projet'!$B$36,N15+M16-V15)))</f>
        <v>112.4</v>
      </c>
      <c r="O16" s="13">
        <f>N16*VLOOKUP('Données projet'!$B$9,Paramètres!$A$1:$I$89,3,0)*VLOOKUP('Données projet'!$B$9,Paramètres!$A$1:$I$89,5,0)</f>
        <v>101.69951999999999</v>
      </c>
      <c r="P16" s="13">
        <f t="shared" si="33"/>
        <v>27.366486780557949</v>
      </c>
      <c r="Q16" s="20">
        <f t="shared" si="2"/>
        <v>224.78996180947172</v>
      </c>
      <c r="R16" s="59">
        <f t="shared" si="0"/>
        <v>497.34551736502726</v>
      </c>
      <c r="S16" s="59">
        <f ca="1">AVERAGE(OFFSET($R$3,0,0,'Données projet'!$E$9+1,1))-AVERAGE(OFFSET($H$3,0,0,'Données projet'!$E$9+1,1))</f>
        <v>320.93171542656671</v>
      </c>
      <c r="T16" s="59">
        <f t="shared" si="34"/>
        <v>452.7298965816143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6.6</v>
      </c>
      <c r="AI16" s="13">
        <f>IF('Données projet'!$A$62&gt;35,AI15+AH16-AQ15,IF(A16&lt;'Données projet'!$A$62,$AF$205^A16,IF(A16='Données projet'!$A$62,'Données projet'!$B$62,AI15+AH16-AQ15)))</f>
        <v>23.89863273788427</v>
      </c>
      <c r="AJ16" s="13">
        <f>AI16*VLOOKUP('Données projet'!$B$10,Paramètres!$A$1:$I$89,3,0)*VLOOKUP('Données projet'!$B$10,Paramètres!$A$1:$I$89,5,0)</f>
        <v>20.8778455598157</v>
      </c>
      <c r="AK16" s="13">
        <f t="shared" si="35"/>
        <v>6.7550152262411558</v>
      </c>
      <c r="AL16" s="20">
        <f t="shared" si="4"/>
        <v>48.127232535715684</v>
      </c>
      <c r="AM16" s="59">
        <f t="shared" si="5"/>
        <v>320.68278809127122</v>
      </c>
      <c r="AN16" s="59">
        <f ca="1">AVERAGE(OFFSET($AM$3,0,0,'Données projet'!$E$10+1,1))-AVERAGE(OFFSET($H$3,0,0,'Données projet'!$E$10+1,1))</f>
        <v>201.61452816909701</v>
      </c>
      <c r="AO16" s="59">
        <f t="shared" si="36"/>
        <v>287.77679930887746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5.5909090909090908</v>
      </c>
      <c r="BD16" s="12">
        <f>IF('Données projet'!$A$88&gt;35,BD15+BC16-BL15,IF(A16&lt;'Données projet'!$A$88,$BA$205^A16,IF(A16='Données projet'!$A$88,'Données projet'!$B$88,BD15+BC16-BL15)))</f>
        <v>17.17686607257264</v>
      </c>
      <c r="BE16" s="13">
        <f>BD16*VLOOKUP('Données projet'!$B$11,Paramètres!$A$1:$I$89,3,0)*VLOOKUP('Données projet'!$B$11,Paramètres!$A$1:$I$89,5,0)</f>
        <v>10.27176591139844</v>
      </c>
      <c r="BF16" s="13">
        <f t="shared" si="37"/>
        <v>3.609455460548272</v>
      </c>
      <c r="BG16" s="20">
        <f t="shared" si="7"/>
        <v>24.176460556140523</v>
      </c>
      <c r="BH16" s="59">
        <f t="shared" si="8"/>
        <v>296.73201611169605</v>
      </c>
      <c r="BI16" s="59">
        <f ca="1">AVERAGE(OFFSET($BH$3,0,0,'Données projet'!$E$11+1,1))-AVERAGE(OFFSET($H$3,0,0,'Données projet'!$E$11+1,1))</f>
        <v>225.63994281336028</v>
      </c>
      <c r="BJ16" s="59">
        <f t="shared" si="38"/>
        <v>231.19476400361157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301.9651025183199</v>
      </c>
      <c r="CD16" s="59">
        <f ca="1">AVERAGE(OFFSET($CC$3,0,0,'Données projet'!$E$12+1,1))-AVERAGE(OFFSET($H$3,0,0,'Données projet'!$E$12+1,1))</f>
        <v>111.69585394603672</v>
      </c>
      <c r="CE16" s="59">
        <f t="shared" si="40"/>
        <v>162.6701214629764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13.8</v>
      </c>
      <c r="N17" s="13">
        <f>IF('Données projet'!$A$36&gt;35,N16+M17-V16,IF(A17&lt;'Données projet'!$A$36,$K$205^A17,IF(A17='Données projet'!$A$36,'Données projet'!$B$36,N16+M17-V16)))</f>
        <v>126.2</v>
      </c>
      <c r="O17" s="13">
        <f>N17*VLOOKUP('Données projet'!$B$9,Paramètres!$A$1:$I$89,3,0)*VLOOKUP('Données projet'!$B$9,Paramètres!$A$1:$I$89,5,0)</f>
        <v>114.18576</v>
      </c>
      <c r="P17" s="13">
        <f t="shared" si="33"/>
        <v>30.315028515433259</v>
      </c>
      <c r="Q17" s="20">
        <f t="shared" si="2"/>
        <v>251.67220666437959</v>
      </c>
      <c r="R17" s="59">
        <f t="shared" si="0"/>
        <v>525.4499844421573</v>
      </c>
      <c r="S17" s="59">
        <f ca="1">AVERAGE(OFFSET($R$3,0,0,'Données projet'!$E$9+1,1))-AVERAGE(OFFSET($H$3,0,0,'Données projet'!$E$9+1,1))</f>
        <v>320.93171542656671</v>
      </c>
      <c r="T17" s="59">
        <f t="shared" si="34"/>
        <v>452.7298965816143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6.6</v>
      </c>
      <c r="AI17" s="13">
        <f>IF('Données projet'!$A$62&gt;35,AI16+AH17-AQ16,IF(A17&lt;'Données projet'!$A$62,$AF$205^A17,IF(A17='Données projet'!$A$62,'Données projet'!$B$62,AI16+AH17-AQ16)))</f>
        <v>30.50715803683886</v>
      </c>
      <c r="AJ17" s="13">
        <f>AI17*VLOOKUP('Données projet'!$B$10,Paramètres!$A$1:$I$89,3,0)*VLOOKUP('Données projet'!$B$10,Paramètres!$A$1:$I$89,5,0)</f>
        <v>26.651053260982433</v>
      </c>
      <c r="AK17" s="13">
        <f t="shared" si="35"/>
        <v>8.3813367159737684</v>
      </c>
      <c r="AL17" s="20">
        <f t="shared" si="4"/>
        <v>61.014745876532061</v>
      </c>
      <c r="AM17" s="59">
        <f t="shared" si="5"/>
        <v>334.79252365430983</v>
      </c>
      <c r="AN17" s="59">
        <f ca="1">AVERAGE(OFFSET($AM$3,0,0,'Données projet'!$E$10+1,1))-AVERAGE(OFFSET($H$3,0,0,'Données projet'!$E$10+1,1))</f>
        <v>201.61452816909701</v>
      </c>
      <c r="AO17" s="59">
        <f t="shared" si="36"/>
        <v>287.77679930887746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5.5909090909090908</v>
      </c>
      <c r="BD17" s="12">
        <f>IF('Données projet'!$A$88&gt;35,BD16+BC17-BL16,IF(A17&lt;'Données projet'!$A$88,$BA$205^A17,IF(A17='Données projet'!$A$88,'Données projet'!$B$88,BD16+BC17-BL16)))</f>
        <v>21.376648512419013</v>
      </c>
      <c r="BE17" s="13">
        <f>BD17*VLOOKUP('Données projet'!$B$11,Paramètres!$A$1:$I$89,3,0)*VLOOKUP('Données projet'!$B$11,Paramètres!$A$1:$I$89,5,0)</f>
        <v>12.783235810426572</v>
      </c>
      <c r="BF17" s="13">
        <f t="shared" si="37"/>
        <v>4.3790497183898731</v>
      </c>
      <c r="BG17" s="20">
        <f t="shared" si="7"/>
        <v>29.890980629355308</v>
      </c>
      <c r="BH17" s="59">
        <f t="shared" si="8"/>
        <v>303.66875840713305</v>
      </c>
      <c r="BI17" s="59">
        <f ca="1">AVERAGE(OFFSET($BH$3,0,0,'Données projet'!$E$11+1,1))-AVERAGE(OFFSET($H$3,0,0,'Données projet'!$E$11+1,1))</f>
        <v>225.63994281336028</v>
      </c>
      <c r="BJ17" s="59">
        <f t="shared" si="38"/>
        <v>231.19476400361157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311.37771528134829</v>
      </c>
      <c r="CD17" s="59">
        <f ca="1">AVERAGE(OFFSET($CC$3,0,0,'Données projet'!$E$12+1,1))-AVERAGE(OFFSET($H$3,0,0,'Données projet'!$E$12+1,1))</f>
        <v>111.69585394603672</v>
      </c>
      <c r="CE17" s="59">
        <f t="shared" si="40"/>
        <v>162.6701214629764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140</v>
      </c>
      <c r="L18" s="12">
        <f>VLOOKUP(A18,'Données projet'!$A$35:$I$55,9,0)</f>
        <v>13.8</v>
      </c>
      <c r="M18" s="12">
        <f t="array" ref="M18">INDEX(L:L,MIN(IF(ISNUMBER(L18:L214),ROW(L18:L214),"")))</f>
        <v>13.8</v>
      </c>
      <c r="N18" s="13">
        <f>IF('Données projet'!$A$36&gt;35,N17+M18-V17,IF(A18&lt;'Données projet'!$A$36,$K$205^A18,IF(A18='Données projet'!$A$36,'Données projet'!$B$36,N17+M18-V17)))</f>
        <v>140</v>
      </c>
      <c r="O18" s="13">
        <f>N18*VLOOKUP('Données projet'!$B$9,Paramètres!$A$1:$I$89,3,0)*VLOOKUP('Données projet'!$B$9,Paramètres!$A$1:$I$89,5,0)</f>
        <v>126.67199999999998</v>
      </c>
      <c r="P18" s="13">
        <f t="shared" si="33"/>
        <v>33.226199426361347</v>
      </c>
      <c r="Q18" s="20">
        <f t="shared" si="2"/>
        <v>278.48936400091264</v>
      </c>
      <c r="R18" s="59">
        <f t="shared" si="0"/>
        <v>553.4893640009127</v>
      </c>
      <c r="S18" s="59">
        <f ca="1">AVERAGE(OFFSET($R$3,0,0,'Données projet'!$E$9+1,1))-AVERAGE(OFFSET($H$3,0,0,'Données projet'!$E$9+1,1))</f>
        <v>320.93171542656671</v>
      </c>
      <c r="T18" s="59">
        <f t="shared" si="34"/>
        <v>452.7298965816143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23</v>
      </c>
      <c r="W18" s="16">
        <f>IF(ISNA(VLOOKUP(A18,'Données projet'!$A$35:$I$55,5,0)),0%,VLOOKUP(A18,'Données projet'!$A$35:$I$55,5,0)*VLOOKUP('Données projet'!$B$9,Paramètres!$A$1:$I$89,7,0))</f>
        <v>0.06</v>
      </c>
      <c r="X18" s="16">
        <f>IF(ISNA(VLOOKUP(A18,'Données projet'!$A$35:$I$55,6,0)),0%,VLOOKUP(A18,'Données projet'!$A$35:$I$55,6,0)*VLOOKUP('Données projet'!$B$9,Paramètres!$A$1:$I$89,7,0))</f>
        <v>0.06</v>
      </c>
      <c r="Y18" s="16">
        <f>IF(ISNA(VLOOKUP(A18,'Données projet'!$A$35:$I$55,7,0)),0%,VLOOKUP(A18,'Données projet'!$A$35:$I$55,7,0))</f>
        <v>0.3</v>
      </c>
      <c r="Z18" s="21">
        <f>EXP(-LN(2)/35)*Z17+(1-EXP(-LN(2)/35))/(LN(2)/35)*V18*W18*VLOOKUP('Données projet'!$B$9,Paramètres!$A$1:$I$89,3,0)*0.475*44/12</f>
        <v>1.3803168471739502</v>
      </c>
      <c r="AA18" s="21">
        <f>EXP(-LN(2)/25)*AA17+(1-EXP(-LN(2)/25))/(LN(2)/25)*Calculateur!V18*Calculateur!X18*VLOOKUP('Données projet'!$B$9,Paramètres!$A$1:$I$89,3,0)*0.475*44/12</f>
        <v>1.3748820138046745</v>
      </c>
      <c r="AB18" s="21">
        <f>EXP(-LN(2)/2)*AB17+(1-EXP(-LN(2)/2))/(LN(2)/2)*V18*Y18*VLOOKUP('Données projet'!$B$9,Paramètres!$A$1:$I$89,3,0)*0.475*44/12</f>
        <v>5.8905517511111904</v>
      </c>
      <c r="AC18" s="22">
        <f t="shared" si="3"/>
        <v>8.6457506120898149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6.6</v>
      </c>
      <c r="AI18" s="13">
        <f>IF('Données projet'!$A$62&gt;35,AI17+AH18-AQ17,IF(A18&lt;'Données projet'!$A$62,$AF$205^A18,IF(A18='Données projet'!$A$62,'Données projet'!$B$62,AI17+AH18-AQ17)))</f>
        <v>38.943093594192561</v>
      </c>
      <c r="AJ18" s="13">
        <f>AI18*VLOOKUP('Données projet'!$B$10,Paramètres!$A$1:$I$89,3,0)*VLOOKUP('Données projet'!$B$10,Paramètres!$A$1:$I$89,5,0)</f>
        <v>34.02068656388662</v>
      </c>
      <c r="AK18" s="13">
        <f t="shared" si="35"/>
        <v>10.399207521197393</v>
      </c>
      <c r="AL18" s="20">
        <f t="shared" si="4"/>
        <v>77.364648864854644</v>
      </c>
      <c r="AM18" s="59">
        <f t="shared" si="5"/>
        <v>352.36464886485464</v>
      </c>
      <c r="AN18" s="59">
        <f ca="1">AVERAGE(OFFSET($AM$3,0,0,'Données projet'!$E$10+1,1))-AVERAGE(OFFSET($H$3,0,0,'Données projet'!$E$10+1,1))</f>
        <v>201.61452816909701</v>
      </c>
      <c r="AO18" s="59">
        <f t="shared" si="36"/>
        <v>287.77679930887746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5.5909090909090908</v>
      </c>
      <c r="BD18" s="12">
        <f>IF('Données projet'!$A$88&gt;35,BD17+BC18-BL17,IF(A18&lt;'Données projet'!$A$88,$BA$205^A18,IF(A18='Données projet'!$A$88,'Données projet'!$B$88,BD17+BC18-BL17)))</f>
        <v>26.603287217402478</v>
      </c>
      <c r="BE18" s="13">
        <f>BD18*VLOOKUP('Données projet'!$B$11,Paramètres!$A$1:$I$89,3,0)*VLOOKUP('Données projet'!$B$11,Paramètres!$A$1:$I$89,5,0)</f>
        <v>15.908765756006684</v>
      </c>
      <c r="BF18" s="13">
        <f t="shared" si="37"/>
        <v>5.312733913945455</v>
      </c>
      <c r="BG18" s="20">
        <f t="shared" si="7"/>
        <v>36.960778591833304</v>
      </c>
      <c r="BH18" s="59">
        <f t="shared" si="8"/>
        <v>311.96077859183333</v>
      </c>
      <c r="BI18" s="59">
        <f ca="1">AVERAGE(OFFSET($BH$3,0,0,'Données projet'!$E$11+1,1))-AVERAGE(OFFSET($H$3,0,0,'Données projet'!$E$11+1,1))</f>
        <v>225.63994281336028</v>
      </c>
      <c r="BJ18" s="59">
        <f t="shared" si="38"/>
        <v>231.19476400361157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323.07912961223798</v>
      </c>
      <c r="CD18" s="59">
        <f ca="1">AVERAGE(OFFSET($CC$3,0,0,'Données projet'!$E$12+1,1))-AVERAGE(OFFSET($H$3,0,0,'Données projet'!$E$12+1,1))</f>
        <v>111.69585394603672</v>
      </c>
      <c r="CE18" s="59">
        <f t="shared" si="40"/>
        <v>162.6701214629764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12.6</v>
      </c>
      <c r="N19" s="13">
        <f>IF('Données projet'!$A$36&gt;35,N18+M19-V18,IF(A19&lt;'Données projet'!$A$36,$K$205^A19,IF(A19='Données projet'!$A$36,'Données projet'!$B$36,N18+M19-V18)))</f>
        <v>129.6</v>
      </c>
      <c r="O19" s="13">
        <f>N19*VLOOKUP('Données projet'!$B$9,Paramètres!$A$1:$I$89,3,0)*VLOOKUP('Données projet'!$B$9,Paramètres!$A$1:$I$89,5,0)</f>
        <v>117.26208</v>
      </c>
      <c r="P19" s="13">
        <f t="shared" si="33"/>
        <v>31.035569170075775</v>
      </c>
      <c r="Q19" s="20">
        <f t="shared" si="2"/>
        <v>258.28507230454863</v>
      </c>
      <c r="R19" s="59">
        <f t="shared" si="0"/>
        <v>534.50729452677092</v>
      </c>
      <c r="S19" s="59">
        <f ca="1">AVERAGE(OFFSET($R$3,0,0,'Données projet'!$E$9+1,1))-AVERAGE(OFFSET($H$3,0,0,'Données projet'!$E$9+1,1))</f>
        <v>320.93171542656671</v>
      </c>
      <c r="T19" s="59">
        <f t="shared" si="34"/>
        <v>452.7298965816143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1.3532496757110142</v>
      </c>
      <c r="AA19" s="21">
        <f>EXP(-LN(2)/25)*AA18+(1-EXP(-LN(2)/25))/(LN(2)/25)*Calculateur!V19*Calculateur!X19*VLOOKUP('Données projet'!$B$9,Paramètres!$A$1:$I$89,3,0)*0.475*44/12</f>
        <v>1.3372857928352828</v>
      </c>
      <c r="AB19" s="21">
        <f>EXP(-LN(2)/2)*AB18+(1-EXP(-LN(2)/2))/(LN(2)/2)*V19*Y19*VLOOKUP('Données projet'!$B$9,Paramètres!$A$1:$I$89,3,0)*0.475*44/12</f>
        <v>4.1652490881410156</v>
      </c>
      <c r="AC19" s="22">
        <f t="shared" si="3"/>
        <v>6.855784556687313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6.6</v>
      </c>
      <c r="AI19" s="13">
        <f>IF('Données projet'!$A$62&gt;35,AI18+AH19-AQ18,IF(A19&lt;'Données projet'!$A$62,$AF$205^A19,IF(A19='Données projet'!$A$62,'Données projet'!$B$62,AI18+AH19-AQ18)))</f>
        <v>49.711760658095955</v>
      </c>
      <c r="AJ19" s="13">
        <f>AI19*VLOOKUP('Données projet'!$B$10,Paramètres!$A$1:$I$89,3,0)*VLOOKUP('Données projet'!$B$10,Paramètres!$A$1:$I$89,5,0)</f>
        <v>43.428194110912635</v>
      </c>
      <c r="AK19" s="13">
        <f t="shared" si="35"/>
        <v>12.902896129065022</v>
      </c>
      <c r="AL19" s="20">
        <f t="shared" si="4"/>
        <v>98.109982167961064</v>
      </c>
      <c r="AM19" s="59">
        <f t="shared" si="5"/>
        <v>374.33220439018328</v>
      </c>
      <c r="AN19" s="59">
        <f ca="1">AVERAGE(OFFSET($AM$3,0,0,'Données projet'!$E$10+1,1))-AVERAGE(OFFSET($H$3,0,0,'Données projet'!$E$10+1,1))</f>
        <v>201.61452816909701</v>
      </c>
      <c r="AO19" s="59">
        <f t="shared" si="36"/>
        <v>287.77679930887746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5.5909090909090908</v>
      </c>
      <c r="BD19" s="12">
        <f>IF('Données projet'!$A$88&gt;35,BD18+BC19-BL18,IF(A19&lt;'Données projet'!$A$88,$BA$205^A19,IF(A19='Données projet'!$A$88,'Données projet'!$B$88,BD18+BC19-BL18)))</f>
        <v>33.107850856996748</v>
      </c>
      <c r="BE19" s="13">
        <f>BD19*VLOOKUP('Données projet'!$B$11,Paramètres!$A$1:$I$89,3,0)*VLOOKUP('Données projet'!$B$11,Paramètres!$A$1:$I$89,5,0)</f>
        <v>19.798494812484059</v>
      </c>
      <c r="BF19" s="13">
        <f t="shared" si="37"/>
        <v>6.4454946747588586</v>
      </c>
      <c r="BG19" s="20">
        <f t="shared" si="7"/>
        <v>45.70828169028141</v>
      </c>
      <c r="BH19" s="59">
        <f t="shared" si="8"/>
        <v>321.93050391250364</v>
      </c>
      <c r="BI19" s="59">
        <f ca="1">AVERAGE(OFFSET($BH$3,0,0,'Données projet'!$E$11+1,1))-AVERAGE(OFFSET($H$3,0,0,'Données projet'!$E$11+1,1))</f>
        <v>225.63994281336028</v>
      </c>
      <c r="BJ19" s="59">
        <f t="shared" si="38"/>
        <v>231.19476400361157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337.71097882304434</v>
      </c>
      <c r="CD19" s="59">
        <f ca="1">AVERAGE(OFFSET($CC$3,0,0,'Données projet'!$E$12+1,1))-AVERAGE(OFFSET($H$3,0,0,'Données projet'!$E$12+1,1))</f>
        <v>111.69585394603672</v>
      </c>
      <c r="CE19" s="59">
        <f t="shared" si="40"/>
        <v>162.6701214629764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12.6</v>
      </c>
      <c r="N20" s="13">
        <f>IF('Données projet'!$A$36&gt;35,N19+M20-V19,IF(A20&lt;'Données projet'!$A$36,$K$205^A20,IF(A20='Données projet'!$A$36,'Données projet'!$B$36,N19+M20-V19)))</f>
        <v>142.19999999999999</v>
      </c>
      <c r="O20" s="13">
        <f>N20*VLOOKUP('Données projet'!$B$9,Paramètres!$A$1:$I$89,3,0)*VLOOKUP('Données projet'!$B$9,Paramètres!$A$1:$I$89,5,0)</f>
        <v>128.66255999999998</v>
      </c>
      <c r="P20" s="13">
        <f t="shared" si="33"/>
        <v>33.687130461083775</v>
      </c>
      <c r="Q20" s="20">
        <f t="shared" si="2"/>
        <v>282.75904421972086</v>
      </c>
      <c r="R20" s="59">
        <f t="shared" si="0"/>
        <v>560.20348866416532</v>
      </c>
      <c r="S20" s="59">
        <f ca="1">AVERAGE(OFFSET($R$3,0,0,'Données projet'!$E$9+1,1))-AVERAGE(OFFSET($H$3,0,0,'Données projet'!$E$9+1,1))</f>
        <v>320.93171542656671</v>
      </c>
      <c r="T20" s="59">
        <f t="shared" si="34"/>
        <v>452.7298965816143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1.3267132749711219</v>
      </c>
      <c r="AA20" s="21">
        <f>EXP(-LN(2)/25)*AA19+(1-EXP(-LN(2)/25))/(LN(2)/25)*Calculateur!V20*Calculateur!X20*VLOOKUP('Données projet'!$B$9,Paramètres!$A$1:$I$89,3,0)*0.475*44/12</f>
        <v>1.3007176425053986</v>
      </c>
      <c r="AB20" s="21">
        <f>EXP(-LN(2)/2)*AB19+(1-EXP(-LN(2)/2))/(LN(2)/2)*V20*Y20*VLOOKUP('Données projet'!$B$9,Paramètres!$A$1:$I$89,3,0)*0.475*44/12</f>
        <v>2.9452758755555961</v>
      </c>
      <c r="AC20" s="22">
        <f t="shared" si="3"/>
        <v>5.5727067930321166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6.6</v>
      </c>
      <c r="AI20" s="13">
        <f>IF('Données projet'!$A$62&gt;35,AI19+AH20-AQ19,IF(A20&lt;'Données projet'!$A$62,$AF$205^A20,IF(A20='Données projet'!$A$62,'Données projet'!$B$62,AI19+AH20-AQ19)))</f>
        <v>63.458213501978861</v>
      </c>
      <c r="AJ20" s="13">
        <f>AI20*VLOOKUP('Données projet'!$B$10,Paramètres!$A$1:$I$89,3,0)*VLOOKUP('Données projet'!$B$10,Paramètres!$A$1:$I$89,5,0)</f>
        <v>55.437095315328747</v>
      </c>
      <c r="AK20" s="13">
        <f t="shared" si="35"/>
        <v>16.009366884744278</v>
      </c>
      <c r="AL20" s="20">
        <f t="shared" si="4"/>
        <v>124.4359216651272</v>
      </c>
      <c r="AM20" s="59">
        <f t="shared" si="5"/>
        <v>401.88036610957164</v>
      </c>
      <c r="AN20" s="59">
        <f ca="1">AVERAGE(OFFSET($AM$3,0,0,'Données projet'!$E$10+1,1))-AVERAGE(OFFSET($H$3,0,0,'Données projet'!$E$10+1,1))</f>
        <v>201.61452816909701</v>
      </c>
      <c r="AO20" s="59">
        <f t="shared" si="36"/>
        <v>287.77679930887746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5.5909090909090908</v>
      </c>
      <c r="BD20" s="12">
        <f>IF('Données projet'!$A$88&gt;35,BD19+BC20-BL19,IF(A20&lt;'Données projet'!$A$88,$BA$205^A20,IF(A20='Données projet'!$A$88,'Données projet'!$B$88,BD19+BC20-BL19)))</f>
        <v>41.202794955809431</v>
      </c>
      <c r="BE20" s="13">
        <f>BD20*VLOOKUP('Données projet'!$B$11,Paramètres!$A$1:$I$89,3,0)*VLOOKUP('Données projet'!$B$11,Paramètres!$A$1:$I$89,5,0)</f>
        <v>24.639271383574041</v>
      </c>
      <c r="BF20" s="13">
        <f t="shared" si="37"/>
        <v>7.8197783429910519</v>
      </c>
      <c r="BG20" s="20">
        <f t="shared" si="7"/>
        <v>56.532844940434195</v>
      </c>
      <c r="BH20" s="59">
        <f t="shared" si="8"/>
        <v>333.97728938487865</v>
      </c>
      <c r="BI20" s="59">
        <f ca="1">AVERAGE(OFFSET($BH$3,0,0,'Données projet'!$E$11+1,1))-AVERAGE(OFFSET($H$3,0,0,'Données projet'!$E$11+1,1))</f>
        <v>225.63994281336028</v>
      </c>
      <c r="BJ20" s="59">
        <f t="shared" si="38"/>
        <v>231.19476400361157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356.09529321188012</v>
      </c>
      <c r="CD20" s="59">
        <f ca="1">AVERAGE(OFFSET($CC$3,0,0,'Données projet'!$E$12+1,1))-AVERAGE(OFFSET($H$3,0,0,'Données projet'!$E$12+1,1))</f>
        <v>111.69585394603672</v>
      </c>
      <c r="CE20" s="59">
        <f t="shared" si="40"/>
        <v>162.6701214629764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12.6</v>
      </c>
      <c r="N21" s="13">
        <f>IF('Données projet'!$A$36&gt;35,N20+M21-V20,IF(A21&lt;'Données projet'!$A$36,$K$205^A21,IF(A21='Données projet'!$A$36,'Données projet'!$B$36,N20+M21-V20)))</f>
        <v>154.79999999999998</v>
      </c>
      <c r="O21" s="13">
        <f>N21*VLOOKUP('Données projet'!$B$9,Paramètres!$A$1:$I$89,3,0)*VLOOKUP('Données projet'!$B$9,Paramètres!$A$1:$I$89,5,0)</f>
        <v>140.06303999999997</v>
      </c>
      <c r="P21" s="13">
        <f t="shared" si="33"/>
        <v>36.31144669536954</v>
      </c>
      <c r="Q21" s="20">
        <f t="shared" si="2"/>
        <v>307.18556432776853</v>
      </c>
      <c r="R21" s="59">
        <f t="shared" si="0"/>
        <v>585.85223099443522</v>
      </c>
      <c r="S21" s="59">
        <f ca="1">AVERAGE(OFFSET($R$3,0,0,'Données projet'!$E$9+1,1))-AVERAGE(OFFSET($H$3,0,0,'Données projet'!$E$9+1,1))</f>
        <v>320.93171542656671</v>
      </c>
      <c r="T21" s="59">
        <f t="shared" si="34"/>
        <v>452.7298965816143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1.3006972368641325</v>
      </c>
      <c r="AA21" s="21">
        <f>EXP(-LN(2)/25)*AA20+(1-EXP(-LN(2)/25))/(LN(2)/25)*Calculateur!V21*Calculateur!X21*VLOOKUP('Données projet'!$B$9,Paramètres!$A$1:$I$89,3,0)*0.475*44/12</f>
        <v>1.2651494501693203</v>
      </c>
      <c r="AB21" s="21">
        <f>EXP(-LN(2)/2)*AB20+(1-EXP(-LN(2)/2))/(LN(2)/2)*V21*Y21*VLOOKUP('Données projet'!$B$9,Paramètres!$A$1:$I$89,3,0)*0.475*44/12</f>
        <v>2.0826245440705082</v>
      </c>
      <c r="AC21" s="22">
        <f t="shared" si="3"/>
        <v>4.6484712311039615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6.6</v>
      </c>
      <c r="AI21" s="13">
        <f>IF('Données projet'!$A$62&gt;35,AI20+AH21-AQ20,IF(A21&lt;'Données projet'!$A$62,$AF$205^A21,IF(A21='Données projet'!$A$62,'Données projet'!$B$62,AI20+AH21-AQ20)))</f>
        <v>81.005878841406769</v>
      </c>
      <c r="AJ21" s="13">
        <f>AI21*VLOOKUP('Données projet'!$B$10,Paramètres!$A$1:$I$89,3,0)*VLOOKUP('Données projet'!$B$10,Paramètres!$A$1:$I$89,5,0)</f>
        <v>70.766735755852963</v>
      </c>
      <c r="AK21" s="13">
        <f t="shared" si="35"/>
        <v>19.863744192515547</v>
      </c>
      <c r="AL21" s="20">
        <f t="shared" si="4"/>
        <v>157.84808591007513</v>
      </c>
      <c r="AM21" s="59">
        <f t="shared" si="5"/>
        <v>436.51475257674178</v>
      </c>
      <c r="AN21" s="59">
        <f ca="1">AVERAGE(OFFSET($AM$3,0,0,'Données projet'!$E$10+1,1))-AVERAGE(OFFSET($H$3,0,0,'Données projet'!$E$10+1,1))</f>
        <v>201.61452816909701</v>
      </c>
      <c r="AO21" s="59">
        <f t="shared" si="36"/>
        <v>287.77679930887746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5.5909090909090908</v>
      </c>
      <c r="BD21" s="12">
        <f>IF('Données projet'!$A$88&gt;35,BD20+BC21-BL20,IF(A21&lt;'Données projet'!$A$88,$BA$205^A21,IF(A21='Données projet'!$A$88,'Données projet'!$B$88,BD20+BC21-BL20)))</f>
        <v>51.276971117915458</v>
      </c>
      <c r="BE21" s="13">
        <f>BD21*VLOOKUP('Données projet'!$B$11,Paramètres!$A$1:$I$89,3,0)*VLOOKUP('Données projet'!$B$11,Paramètres!$A$1:$I$89,5,0)</f>
        <v>30.663628728513448</v>
      </c>
      <c r="BF21" s="13">
        <f t="shared" si="37"/>
        <v>9.4870815071768995</v>
      </c>
      <c r="BG21" s="20">
        <f t="shared" si="7"/>
        <v>69.929153660494023</v>
      </c>
      <c r="BH21" s="59">
        <f t="shared" si="8"/>
        <v>348.59582032716071</v>
      </c>
      <c r="BI21" s="59">
        <f ca="1">AVERAGE(OFFSET($BH$3,0,0,'Données projet'!$E$11+1,1))-AVERAGE(OFFSET($H$3,0,0,'Données projet'!$E$11+1,1))</f>
        <v>225.63994281336028</v>
      </c>
      <c r="BJ21" s="59">
        <f t="shared" si="38"/>
        <v>231.19476400361157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379.28535416224724</v>
      </c>
      <c r="CD21" s="59">
        <f ca="1">AVERAGE(OFFSET($CC$3,0,0,'Données projet'!$E$12+1,1))-AVERAGE(OFFSET($H$3,0,0,'Données projet'!$E$12+1,1))</f>
        <v>111.69585394603672</v>
      </c>
      <c r="CE21" s="59">
        <f t="shared" si="40"/>
        <v>162.6701214629764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12.6</v>
      </c>
      <c r="N22" s="13">
        <f>IF('Données projet'!$A$36&gt;35,N21+M22-V21,IF(A22&lt;'Données projet'!$A$36,$K$205^A22,IF(A22='Données projet'!$A$36,'Données projet'!$B$36,N21+M22-V21)))</f>
        <v>167.39999999999998</v>
      </c>
      <c r="O22" s="13">
        <f>N22*VLOOKUP('Données projet'!$B$9,Paramètres!$A$1:$I$89,3,0)*VLOOKUP('Données projet'!$B$9,Paramètres!$A$1:$I$89,5,0)</f>
        <v>151.46351999999999</v>
      </c>
      <c r="P22" s="13">
        <f t="shared" si="33"/>
        <v>38.910987614777085</v>
      </c>
      <c r="Q22" s="20">
        <f t="shared" si="2"/>
        <v>331.56893409573678</v>
      </c>
      <c r="R22" s="59">
        <f t="shared" si="0"/>
        <v>611.45782298462564</v>
      </c>
      <c r="S22" s="59">
        <f ca="1">AVERAGE(OFFSET($R$3,0,0,'Données projet'!$E$9+1,1))-AVERAGE(OFFSET($H$3,0,0,'Données projet'!$E$9+1,1))</f>
        <v>320.93171542656671</v>
      </c>
      <c r="T22" s="59">
        <f t="shared" si="34"/>
        <v>452.7298965816143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1.2751913573962048</v>
      </c>
      <c r="AA22" s="21">
        <f>EXP(-LN(2)/25)*AA21+(1-EXP(-LN(2)/25))/(LN(2)/25)*Calculateur!V22*Calculateur!X22*VLOOKUP('Données projet'!$B$9,Paramètres!$A$1:$I$89,3,0)*0.475*44/12</f>
        <v>1.2305538719231222</v>
      </c>
      <c r="AB22" s="21">
        <f>EXP(-LN(2)/2)*AB21+(1-EXP(-LN(2)/2))/(LN(2)/2)*V22*Y22*VLOOKUP('Données projet'!$B$9,Paramètres!$A$1:$I$89,3,0)*0.475*44/12</f>
        <v>1.4726379377777983</v>
      </c>
      <c r="AC22" s="22">
        <f t="shared" si="3"/>
        <v>3.9783831670971255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6.6</v>
      </c>
      <c r="AI22" s="13">
        <f>IF('Données projet'!$A$62&gt;35,AI21+AH22-AQ21,IF(A22&lt;'Données projet'!$A$62,$AF$205^A22,IF(A22='Données projet'!$A$62,'Données projet'!$B$62,AI21+AH22-AQ21)))</f>
        <v>103.40587994435182</v>
      </c>
      <c r="AJ22" s="13">
        <f>AI22*VLOOKUP('Données projet'!$B$10,Paramètres!$A$1:$I$89,3,0)*VLOOKUP('Données projet'!$B$10,Paramètres!$A$1:$I$89,5,0)</f>
        <v>90.335376719385764</v>
      </c>
      <c r="AK22" s="13">
        <f t="shared" si="35"/>
        <v>24.646092265003244</v>
      </c>
      <c r="AL22" s="20">
        <f t="shared" si="4"/>
        <v>200.25939181447754</v>
      </c>
      <c r="AM22" s="59">
        <f t="shared" si="5"/>
        <v>480.14828070336637</v>
      </c>
      <c r="AN22" s="59">
        <f ca="1">AVERAGE(OFFSET($AM$3,0,0,'Données projet'!$E$10+1,1))-AVERAGE(OFFSET($H$3,0,0,'Données projet'!$E$10+1,1))</f>
        <v>201.61452816909701</v>
      </c>
      <c r="AO22" s="59">
        <f t="shared" si="36"/>
        <v>287.77679930887746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5.5909090909090908</v>
      </c>
      <c r="BD22" s="12">
        <f>IF('Données projet'!$A$88&gt;35,BD21+BC22-BL21,IF(A22&lt;'Données projet'!$A$88,$BA$205^A22,IF(A22='Données projet'!$A$88,'Données projet'!$B$88,BD21+BC22-BL21)))</f>
        <v>63.814306040343304</v>
      </c>
      <c r="BE22" s="13">
        <f>BD22*VLOOKUP('Données projet'!$B$11,Paramètres!$A$1:$I$89,3,0)*VLOOKUP('Données projet'!$B$11,Paramètres!$A$1:$I$89,5,0)</f>
        <v>38.160955012125299</v>
      </c>
      <c r="BF22" s="13">
        <f t="shared" si="37"/>
        <v>11.509880661066306</v>
      </c>
      <c r="BG22" s="20">
        <f t="shared" si="7"/>
        <v>86.510038797475374</v>
      </c>
      <c r="BH22" s="59">
        <f t="shared" si="8"/>
        <v>366.39892768636423</v>
      </c>
      <c r="BI22" s="59">
        <f ca="1">AVERAGE(OFFSET($BH$3,0,0,'Données projet'!$E$11+1,1))-AVERAGE(OFFSET($H$3,0,0,'Données projet'!$E$11+1,1))</f>
        <v>225.63994281336028</v>
      </c>
      <c r="BJ22" s="59">
        <f t="shared" si="38"/>
        <v>231.19476400361157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408.63091873093396</v>
      </c>
      <c r="CD22" s="59">
        <f ca="1">AVERAGE(OFFSET($CC$3,0,0,'Données projet'!$E$12+1,1))-AVERAGE(OFFSET($H$3,0,0,'Données projet'!$E$12+1,1))</f>
        <v>111.69585394603672</v>
      </c>
      <c r="CE22" s="59">
        <f t="shared" si="40"/>
        <v>162.6701214629764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180</v>
      </c>
      <c r="L23" s="12">
        <f>VLOOKUP(A23,'Données projet'!$A$35:$I$55,9,0)</f>
        <v>12.6</v>
      </c>
      <c r="M23" s="12">
        <f t="array" ref="M23">INDEX(L:L,MIN(IF(ISNUMBER(L23:L219),ROW(L23:L219),"")))</f>
        <v>12.6</v>
      </c>
      <c r="N23" s="13">
        <f>IF('Données projet'!$A$36&gt;35,N22+M23-V22,IF(A23&lt;'Données projet'!$A$36,$K$205^A23,IF(A23='Données projet'!$A$36,'Données projet'!$B$36,N22+M23-V22)))</f>
        <v>179.99999999999997</v>
      </c>
      <c r="O23" s="13">
        <f>N23*VLOOKUP('Données projet'!$B$9,Paramètres!$A$1:$I$89,3,0)*VLOOKUP('Données projet'!$B$9,Paramètres!$A$1:$I$89,5,0)</f>
        <v>162.86399999999998</v>
      </c>
      <c r="P23" s="13">
        <f t="shared" si="33"/>
        <v>41.487830069509123</v>
      </c>
      <c r="Q23" s="20">
        <f t="shared" si="2"/>
        <v>355.91277070439497</v>
      </c>
      <c r="R23" s="59">
        <f t="shared" si="0"/>
        <v>637.02388181550612</v>
      </c>
      <c r="S23" s="59">
        <f ca="1">AVERAGE(OFFSET($R$3,0,0,'Données projet'!$E$9+1,1))-AVERAGE(OFFSET($H$3,0,0,'Données projet'!$E$9+1,1))</f>
        <v>320.93171542656671</v>
      </c>
      <c r="T23" s="59">
        <f t="shared" si="34"/>
        <v>452.7298965816143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18</v>
      </c>
      <c r="W23" s="16">
        <f>IF(ISNA(VLOOKUP(A23,'Données projet'!$A$35:$I$55,5,0)),0%,VLOOKUP(A23,'Données projet'!$A$35:$I$55,5,0)*VLOOKUP('Données projet'!$B$9,Paramètres!$A$1:$I$89,7,0))</f>
        <v>0.06</v>
      </c>
      <c r="X23" s="16">
        <f>IF(ISNA(VLOOKUP(A23,'Données projet'!$A$35:$I$55,6,0)),0%,VLOOKUP(A23,'Données projet'!$A$35:$I$55,6,0)*VLOOKUP('Données projet'!$B$9,Paramètres!$A$1:$I$89,7,0))</f>
        <v>0.06</v>
      </c>
      <c r="Y23" s="16">
        <f>IF(ISNA(VLOOKUP(A23,'Données projet'!$A$35:$I$55,7,0)),0%,VLOOKUP(A23,'Données projet'!$A$35:$I$55,7,0))</f>
        <v>0.3</v>
      </c>
      <c r="Z23" s="21">
        <f>EXP(-LN(2)/35)*Z22+(1-EXP(-LN(2)/35))/(LN(2)/35)*V23*W23*VLOOKUP('Données projet'!$B$9,Paramètres!$A$1:$I$89,3,0)*0.475*44/12</f>
        <v>2.3304336000211192</v>
      </c>
      <c r="AA23" s="21">
        <f>EXP(-LN(2)/25)*AA22+(1-EXP(-LN(2)/25))/(LN(2)/25)*Calculateur!V23*Calculateur!X23*VLOOKUP('Données projet'!$B$9,Paramètres!$A$1:$I$89,3,0)*0.475*44/12</f>
        <v>2.272898931082679</v>
      </c>
      <c r="AB23" s="21">
        <f>EXP(-LN(2)/2)*AB22+(1-EXP(-LN(2)/2))/(LN(2)/2)*V23*Y23*VLOOKUP('Données projet'!$B$9,Paramètres!$A$1:$I$89,3,0)*0.475*44/12</f>
        <v>5.6513092946440118</v>
      </c>
      <c r="AC23" s="22">
        <f t="shared" si="3"/>
        <v>10.254641825747811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132</v>
      </c>
      <c r="AG23" s="12">
        <f>VLOOKUP(A23,'Données projet'!$A$61:$I$81,9,0)</f>
        <v>6.6</v>
      </c>
      <c r="AH23" s="12">
        <f t="array" ref="AH23">INDEX(AG:AG,MIN(IF(ISNUMBER(AG23:AG219),ROW(AG23:AG219),"")))</f>
        <v>6.6</v>
      </c>
      <c r="AI23" s="13">
        <f>IF('Données projet'!$A$62&gt;35,AI22+AH23-AQ22,IF(A23&lt;'Données projet'!$A$62,$AF$205^A23,IF(A23='Données projet'!$A$62,'Données projet'!$B$62,AI22+AH23-AQ22)))</f>
        <v>132</v>
      </c>
      <c r="AJ23" s="13">
        <f>AI23*VLOOKUP('Données projet'!$B$10,Paramètres!$A$1:$I$89,3,0)*VLOOKUP('Données projet'!$B$10,Paramètres!$A$1:$I$89,5,0)</f>
        <v>115.3152</v>
      </c>
      <c r="AK23" s="13">
        <f t="shared" si="35"/>
        <v>30.579827148797317</v>
      </c>
      <c r="AL23" s="20">
        <f t="shared" si="4"/>
        <v>254.10050561748861</v>
      </c>
      <c r="AM23" s="59">
        <f t="shared" si="5"/>
        <v>535.21161672859978</v>
      </c>
      <c r="AN23" s="59">
        <f ca="1">AVERAGE(OFFSET($AM$3,0,0,'Données projet'!$E$10+1,1))-AVERAGE(OFFSET($H$3,0,0,'Données projet'!$E$10+1,1))</f>
        <v>201.61452816909701</v>
      </c>
      <c r="AO23" s="59">
        <f t="shared" si="36"/>
        <v>287.77679930887746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4.3000000000000003E-2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2.0681633491014852</v>
      </c>
      <c r="AW23" s="21">
        <f>EXP(-LN(2)/2)*AW22+(1-EXP(-LN(2)/2))/(LN(2)/2)*AQ23*AT23*VLOOKUP('Données projet'!$B$10,Paramètres!$A$1:$I$89,3,0)*0.475*44/12</f>
        <v>20.606627814981682</v>
      </c>
      <c r="AX23" s="21">
        <f t="shared" si="6"/>
        <v>22.674791164083167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5.5909090909090908</v>
      </c>
      <c r="BD23" s="12">
        <f>IF('Données projet'!$A$88&gt;35,BD22+BC23-BL22,IF(A23&lt;'Données projet'!$A$88,$BA$205^A23,IF(A23='Données projet'!$A$88,'Données projet'!$B$88,BD22+BC23-BL22)))</f>
        <v>79.417047587426694</v>
      </c>
      <c r="BE23" s="13">
        <f>BD23*VLOOKUP('Données projet'!$B$11,Paramètres!$A$1:$I$89,3,0)*VLOOKUP('Données projet'!$B$11,Paramètres!$A$1:$I$89,5,0)</f>
        <v>47.49139445728116</v>
      </c>
      <c r="BF23" s="13">
        <f t="shared" si="37"/>
        <v>13.96397329692701</v>
      </c>
      <c r="BG23" s="20">
        <f t="shared" si="7"/>
        <v>107.03476550524589</v>
      </c>
      <c r="BH23" s="59">
        <f t="shared" si="8"/>
        <v>388.14587661635704</v>
      </c>
      <c r="BI23" s="59">
        <f ca="1">AVERAGE(OFFSET($BH$3,0,0,'Données projet'!$E$11+1,1))-AVERAGE(OFFSET($H$3,0,0,'Données projet'!$E$11+1,1))</f>
        <v>225.63994281336028</v>
      </c>
      <c r="BJ23" s="59">
        <f t="shared" si="38"/>
        <v>231.19476400361157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445.86188445423306</v>
      </c>
      <c r="CD23" s="59">
        <f ca="1">AVERAGE(OFFSET($CC$3,0,0,'Données projet'!$E$12+1,1))-AVERAGE(OFFSET($H$3,0,0,'Données projet'!$E$12+1,1))</f>
        <v>111.69585394603672</v>
      </c>
      <c r="CE23" s="59">
        <f t="shared" si="40"/>
        <v>162.6701214629764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0.22000000000000003</v>
      </c>
      <c r="CJ23" s="16">
        <f>IF(ISNA(VLOOKUP(A23,'Données projet'!$A$113:$I$133,7,0)),0%,VLOOKUP(A23,'Données projet'!$A$113:$I$133,7,0))</f>
        <v>0.3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4.7615853851406271</v>
      </c>
      <c r="CM23" s="21">
        <f>EXP(-LN(2)/2)*CM22+(1-EXP(-LN(2)/2))/(LN(2)/2)*CG23*CJ23*VLOOKUP('Données projet'!$B$12,Paramètres!$A$1:$I$89,3,0)*0.475*44/12</f>
        <v>5.5637895100450523</v>
      </c>
      <c r="CN23" s="22">
        <f t="shared" si="12"/>
        <v>10.325374895185679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10.4</v>
      </c>
      <c r="N24" s="13">
        <f>IF('Données projet'!$A$36&gt;35,N23+M24-V23,IF(A24&lt;'Données projet'!$A$36,$K$205^A24,IF(A24='Données projet'!$A$36,'Données projet'!$B$36,N23+M24-V23)))</f>
        <v>172.39999999999998</v>
      </c>
      <c r="O24" s="13">
        <f>N24*VLOOKUP('Données projet'!$B$9,Paramètres!$A$1:$I$89,3,0)*VLOOKUP('Données projet'!$B$9,Paramètres!$A$1:$I$89,5,0)</f>
        <v>155.98751999999996</v>
      </c>
      <c r="P24" s="13">
        <f t="shared" si="33"/>
        <v>39.936155927663087</v>
      </c>
      <c r="Q24" s="20">
        <f t="shared" si="2"/>
        <v>341.23373557401311</v>
      </c>
      <c r="R24" s="59">
        <f t="shared" si="0"/>
        <v>623.56706890734642</v>
      </c>
      <c r="S24" s="59">
        <f ca="1">AVERAGE(OFFSET($R$3,0,0,'Données projet'!$E$9+1,1))-AVERAGE(OFFSET($H$3,0,0,'Données projet'!$E$9+1,1))</f>
        <v>320.93171542656671</v>
      </c>
      <c r="T24" s="59">
        <f t="shared" si="34"/>
        <v>452.7298965816143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2.284735218548847</v>
      </c>
      <c r="AA24" s="21">
        <f>EXP(-LN(2)/25)*AA23+(1-EXP(-LN(2)/25))/(LN(2)/25)*Calculateur!V24*Calculateur!X24*VLOOKUP('Données projet'!$B$9,Paramètres!$A$1:$I$89,3,0)*0.475*44/12</f>
        <v>2.2107463902856632</v>
      </c>
      <c r="AB24" s="21">
        <f>EXP(-LN(2)/2)*AB23+(1-EXP(-LN(2)/2))/(LN(2)/2)*V24*Y24*VLOOKUP('Données projet'!$B$9,Paramètres!$A$1:$I$89,3,0)*0.475*44/12</f>
        <v>3.9960791248253456</v>
      </c>
      <c r="AC24" s="22">
        <f t="shared" si="3"/>
        <v>8.4915607336598562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12.2</v>
      </c>
      <c r="AI24" s="13">
        <f>IF('Données projet'!$A$62&gt;35,AI23+AH24-AQ23,IF(A24&lt;'Données projet'!$A$62,$AF$205^A24,IF(A24='Données projet'!$A$62,'Données projet'!$B$62,AI23+AH24-AQ23)))</f>
        <v>94.199999999999989</v>
      </c>
      <c r="AJ24" s="13">
        <f>AI24*VLOOKUP('Données projet'!$B$10,Paramètres!$A$1:$I$89,3,0)*VLOOKUP('Données projet'!$B$10,Paramètres!$A$1:$I$89,5,0)</f>
        <v>82.293120000000002</v>
      </c>
      <c r="AK24" s="13">
        <f t="shared" si="35"/>
        <v>22.696938367376966</v>
      </c>
      <c r="AL24" s="20">
        <f t="shared" si="4"/>
        <v>182.85768498984825</v>
      </c>
      <c r="AM24" s="59">
        <f t="shared" si="5"/>
        <v>465.19101832318154</v>
      </c>
      <c r="AN24" s="59">
        <f ca="1">AVERAGE(OFFSET($AM$3,0,0,'Données projet'!$E$10+1,1))-AVERAGE(OFFSET($H$3,0,0,'Données projet'!$E$10+1,1))</f>
        <v>201.61452816909701</v>
      </c>
      <c r="AO24" s="59">
        <f t="shared" si="36"/>
        <v>287.77679930887746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2.0116093135603212</v>
      </c>
      <c r="AW24" s="21">
        <f>EXP(-LN(2)/2)*AW23+(1-EXP(-LN(2)/2))/(LN(2)/2)*AQ24*AT24*VLOOKUP('Données projet'!$B$10,Paramètres!$A$1:$I$89,3,0)*0.475*44/12</f>
        <v>14.571086265360877</v>
      </c>
      <c r="AX24" s="21">
        <f t="shared" si="6"/>
        <v>16.5826955789212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5.5909090909090908</v>
      </c>
      <c r="BD24" s="12">
        <f>IF('Données projet'!$A$88&gt;35,BD23+BC24-BL23,IF(A24&lt;'Données projet'!$A$88,$BA$205^A24,IF(A24='Données projet'!$A$88,'Données projet'!$B$88,BD23+BC24-BL23)))</f>
        <v>98.834694582689295</v>
      </c>
      <c r="BE24" s="13">
        <f>BD24*VLOOKUP('Données projet'!$B$11,Paramètres!$A$1:$I$89,3,0)*VLOOKUP('Données projet'!$B$11,Paramètres!$A$1:$I$89,5,0)</f>
        <v>59.103147360448204</v>
      </c>
      <c r="BF24" s="13">
        <f t="shared" si="37"/>
        <v>16.94131815778756</v>
      </c>
      <c r="BG24" s="20">
        <f t="shared" si="7"/>
        <v>132.44411077759398</v>
      </c>
      <c r="BH24" s="59">
        <f t="shared" si="8"/>
        <v>414.77744411092726</v>
      </c>
      <c r="BI24" s="59">
        <f ca="1">AVERAGE(OFFSET($BH$3,0,0,'Données projet'!$E$11+1,1))-AVERAGE(OFFSET($H$3,0,0,'Données projet'!$E$11+1,1))</f>
        <v>225.63994281336028</v>
      </c>
      <c r="BJ24" s="59">
        <f t="shared" si="38"/>
        <v>231.19476400361157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132.19999999999999</v>
      </c>
      <c r="BZ24" s="13">
        <f>BY24*VLOOKUP('Données projet'!$B$12,Paramètres!$A$1:$I$89,3,0)*VLOOKUP('Données projet'!$B$12,Paramètres!$A$1:$I$89,5,0)</f>
        <v>61.869599999999991</v>
      </c>
      <c r="CA24" s="13">
        <f t="shared" si="39"/>
        <v>17.640115095232353</v>
      </c>
      <c r="CB24" s="20">
        <f t="shared" si="10"/>
        <v>138.47942045752964</v>
      </c>
      <c r="CC24" s="59">
        <f t="shared" si="11"/>
        <v>420.81275379086298</v>
      </c>
      <c r="CD24" s="59">
        <f ca="1">AVERAGE(OFFSET($CC$3,0,0,'Données projet'!$E$12+1,1))-AVERAGE(OFFSET($H$3,0,0,'Données projet'!$E$12+1,1))</f>
        <v>111.69585394603672</v>
      </c>
      <c r="CE24" s="59">
        <f t="shared" si="40"/>
        <v>162.6701214629764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4.6313795823830644</v>
      </c>
      <c r="CM24" s="21">
        <f>EXP(-LN(2)/2)*CM23+(1-EXP(-LN(2)/2))/(LN(2)/2)*CG24*CJ24*VLOOKUP('Données projet'!$B$12,Paramètres!$A$1:$I$89,3,0)*0.475*44/12</f>
        <v>3.9341932916474356</v>
      </c>
      <c r="CN24" s="22">
        <f t="shared" si="12"/>
        <v>8.5655728740305008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10.4</v>
      </c>
      <c r="N25" s="13">
        <f>IF('Données projet'!$A$36&gt;35,N24+M25-V24,IF(A25&lt;'Données projet'!$A$36,$K$205^A25,IF(A25='Données projet'!$A$36,'Données projet'!$B$36,N24+M25-V24)))</f>
        <v>182.79999999999998</v>
      </c>
      <c r="O25" s="13">
        <f>N25*VLOOKUP('Données projet'!$B$9,Paramètres!$A$1:$I$89,3,0)*VLOOKUP('Données projet'!$B$9,Paramètres!$A$1:$I$89,5,0)</f>
        <v>165.39743999999999</v>
      </c>
      <c r="P25" s="13">
        <f t="shared" si="33"/>
        <v>42.057562385840804</v>
      </c>
      <c r="Q25" s="20">
        <f t="shared" si="2"/>
        <v>361.31746248867267</v>
      </c>
      <c r="R25" s="59">
        <f t="shared" si="0"/>
        <v>644.87301804422827</v>
      </c>
      <c r="S25" s="59">
        <f ca="1">AVERAGE(OFFSET($R$3,0,0,'Données projet'!$E$9+1,1))-AVERAGE(OFFSET($H$3,0,0,'Données projet'!$E$9+1,1))</f>
        <v>320.93171542656671</v>
      </c>
      <c r="T25" s="59">
        <f t="shared" si="34"/>
        <v>452.7298965816143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2.2399329544639857</v>
      </c>
      <c r="AA25" s="21">
        <f>EXP(-LN(2)/25)*AA24+(1-EXP(-LN(2)/25))/(LN(2)/25)*Calculateur!V25*Calculateur!X25*VLOOKUP('Données projet'!$B$9,Paramètres!$A$1:$I$89,3,0)*0.475*44/12</f>
        <v>2.1502934139852017</v>
      </c>
      <c r="AB25" s="21">
        <f>EXP(-LN(2)/2)*AB24+(1-EXP(-LN(2)/2))/(LN(2)/2)*V25*Y25*VLOOKUP('Données projet'!$B$9,Paramètres!$A$1:$I$89,3,0)*0.475*44/12</f>
        <v>2.8256546473220063</v>
      </c>
      <c r="AC25" s="22">
        <f t="shared" si="3"/>
        <v>7.2158810157711937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12.2</v>
      </c>
      <c r="AI25" s="13">
        <f>IF('Données projet'!$A$62&gt;35,AI24+AH25-AQ24,IF(A25&lt;'Données projet'!$A$62,$AF$205^A25,IF(A25='Données projet'!$A$62,'Données projet'!$B$62,AI24+AH25-AQ24)))</f>
        <v>106.39999999999999</v>
      </c>
      <c r="AJ25" s="13">
        <f>AI25*VLOOKUP('Données projet'!$B$10,Paramètres!$A$1:$I$89,3,0)*VLOOKUP('Données projet'!$B$10,Paramètres!$A$1:$I$89,5,0)</f>
        <v>92.951040000000006</v>
      </c>
      <c r="AK25" s="13">
        <f t="shared" si="35"/>
        <v>25.275602869272223</v>
      </c>
      <c r="AL25" s="20">
        <f t="shared" si="4"/>
        <v>205.9114029973158</v>
      </c>
      <c r="AM25" s="59">
        <f t="shared" si="5"/>
        <v>489.46695855287135</v>
      </c>
      <c r="AN25" s="59">
        <f ca="1">AVERAGE(OFFSET($AM$3,0,0,'Données projet'!$E$10+1,1))-AVERAGE(OFFSET($H$3,0,0,'Données projet'!$E$10+1,1))</f>
        <v>201.61452816909701</v>
      </c>
      <c r="AO25" s="59">
        <f t="shared" si="36"/>
        <v>287.77679930887746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1.9566017510950779</v>
      </c>
      <c r="AW25" s="21">
        <f>EXP(-LN(2)/2)*AW24+(1-EXP(-LN(2)/2))/(LN(2)/2)*AQ25*AT25*VLOOKUP('Données projet'!$B$10,Paramètres!$A$1:$I$89,3,0)*0.475*44/12</f>
        <v>10.303313907490843</v>
      </c>
      <c r="AX25" s="21">
        <f t="shared" si="6"/>
        <v>12.259915658585921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123</v>
      </c>
      <c r="BB25" s="12">
        <f>VLOOKUP(A25,'Données projet'!$A$87:$I$107,9,0)</f>
        <v>5.5909090909090908</v>
      </c>
      <c r="BC25" s="12">
        <f t="array" ref="BC25">INDEX(BB:BB,MIN(IF(ISNUMBER(BB25:BB221),ROW(BB25:BB221),"")))</f>
        <v>5.5909090909090908</v>
      </c>
      <c r="BD25" s="12">
        <f>IF('Données projet'!$A$88&gt;35,BD24+BC25-BL24,IF(A25&lt;'Données projet'!$A$88,$BA$205^A25,IF(A25='Données projet'!$A$88,'Données projet'!$B$88,BD24+BC25-BL24)))</f>
        <v>123</v>
      </c>
      <c r="BE25" s="13">
        <f>BD25*VLOOKUP('Données projet'!$B$11,Paramètres!$A$1:$I$89,3,0)*VLOOKUP('Données projet'!$B$11,Paramètres!$A$1:$I$89,5,0)</f>
        <v>73.554000000000016</v>
      </c>
      <c r="BF25" s="13">
        <f t="shared" si="37"/>
        <v>20.553481077376691</v>
      </c>
      <c r="BG25" s="20">
        <f t="shared" si="7"/>
        <v>163.90386287643108</v>
      </c>
      <c r="BH25" s="59">
        <f t="shared" si="8"/>
        <v>447.45941843198659</v>
      </c>
      <c r="BI25" s="59">
        <f ca="1">AVERAGE(OFFSET($BH$3,0,0,'Données projet'!$E$11+1,1))-AVERAGE(OFFSET($H$3,0,0,'Données projet'!$E$11+1,1))</f>
        <v>225.63994281336028</v>
      </c>
      <c r="BJ25" s="59">
        <f t="shared" si="38"/>
        <v>231.19476400361157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16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0.13500000000000001</v>
      </c>
      <c r="BO25" s="16">
        <f>IF(ISNA(VLOOKUP(A25,'Données projet'!$A$87:$I$107,7,0)),0%,VLOOKUP(A25,'Données projet'!$A$87:$I$107,7,0))</f>
        <v>0.3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1.706750086102355</v>
      </c>
      <c r="BR25" s="21">
        <f>EXP(-LN(2)/2)*BR24+(1-EXP(-LN(2)/2))/(LN(2)/2)*BL25*BO25*VLOOKUP('Données projet'!$B$11,Paramètres!$A$1:$I$89,3,0)*0.475*44/12</f>
        <v>3.2499595868199673</v>
      </c>
      <c r="BS25" s="22">
        <f t="shared" si="9"/>
        <v>4.9567096729223223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141.39999999999998</v>
      </c>
      <c r="BZ25" s="13">
        <f>BY25*VLOOKUP('Données projet'!$B$12,Paramètres!$A$1:$I$89,3,0)*VLOOKUP('Données projet'!$B$12,Paramètres!$A$1:$I$89,5,0)</f>
        <v>66.17519999999999</v>
      </c>
      <c r="CA25" s="13">
        <f t="shared" si="39"/>
        <v>18.720541159483023</v>
      </c>
      <c r="CB25" s="20">
        <f t="shared" si="10"/>
        <v>147.86008251943289</v>
      </c>
      <c r="CC25" s="59">
        <f t="shared" si="11"/>
        <v>431.41563807498846</v>
      </c>
      <c r="CD25" s="59">
        <f ca="1">AVERAGE(OFFSET($CC$3,0,0,'Données projet'!$E$12+1,1))-AVERAGE(OFFSET($H$3,0,0,'Données projet'!$E$12+1,1))</f>
        <v>111.69585394603672</v>
      </c>
      <c r="CE25" s="59">
        <f t="shared" si="40"/>
        <v>162.6701214629764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4.5047342641491328</v>
      </c>
      <c r="CM25" s="21">
        <f>EXP(-LN(2)/2)*CM24+(1-EXP(-LN(2)/2))/(LN(2)/2)*CG25*CJ25*VLOOKUP('Données projet'!$B$12,Paramètres!$A$1:$I$89,3,0)*0.475*44/12</f>
        <v>2.7818947550225266</v>
      </c>
      <c r="CN25" s="22">
        <f t="shared" si="12"/>
        <v>7.2866290191716594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10.4</v>
      </c>
      <c r="N26" s="13">
        <f>IF('Données projet'!$A$36&gt;35,N25+M26-V25,IF(A26&lt;'Données projet'!$A$36,$K$205^A26,IF(A26='Données projet'!$A$36,'Données projet'!$B$36,N25+M26-V25)))</f>
        <v>193.2</v>
      </c>
      <c r="O26" s="13">
        <f>N26*VLOOKUP('Données projet'!$B$9,Paramètres!$A$1:$I$89,3,0)*VLOOKUP('Données projet'!$B$9,Paramètres!$A$1:$I$89,5,0)</f>
        <v>174.80735999999999</v>
      </c>
      <c r="P26" s="13">
        <f t="shared" si="33"/>
        <v>44.164958649772579</v>
      </c>
      <c r="Q26" s="20">
        <f t="shared" si="2"/>
        <v>381.37678831502052</v>
      </c>
      <c r="R26" s="59">
        <f t="shared" si="0"/>
        <v>666.15456609279829</v>
      </c>
      <c r="S26" s="59">
        <f ca="1">AVERAGE(OFFSET($R$3,0,0,'Données projet'!$E$9+1,1))-AVERAGE(OFFSET($H$3,0,0,'Données projet'!$E$9+1,1))</f>
        <v>320.93171542656671</v>
      </c>
      <c r="T26" s="59">
        <f t="shared" si="34"/>
        <v>452.7298965816143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2.1960092354511458</v>
      </c>
      <c r="AA26" s="21">
        <f>EXP(-LN(2)/25)*AA25+(1-EXP(-LN(2)/25))/(LN(2)/25)*Calculateur!V26*Calculateur!X26*VLOOKUP('Données projet'!$B$9,Paramètres!$A$1:$I$89,3,0)*0.475*44/12</f>
        <v>2.0914935275007602</v>
      </c>
      <c r="AB26" s="21">
        <f>EXP(-LN(2)/2)*AB25+(1-EXP(-LN(2)/2))/(LN(2)/2)*V26*Y26*VLOOKUP('Données projet'!$B$9,Paramètres!$A$1:$I$89,3,0)*0.475*44/12</f>
        <v>1.9980395624126732</v>
      </c>
      <c r="AC26" s="22">
        <f t="shared" si="3"/>
        <v>6.2855423253645792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12.2</v>
      </c>
      <c r="AI26" s="13">
        <f>IF('Données projet'!$A$62&gt;35,AI25+AH26-AQ25,IF(A26&lt;'Données projet'!$A$62,$AF$205^A26,IF(A26='Données projet'!$A$62,'Données projet'!$B$62,AI25+AH26-AQ25)))</f>
        <v>118.6</v>
      </c>
      <c r="AJ26" s="13">
        <f>AI26*VLOOKUP('Données projet'!$B$10,Paramètres!$A$1:$I$89,3,0)*VLOOKUP('Données projet'!$B$10,Paramètres!$A$1:$I$89,5,0)</f>
        <v>103.60896</v>
      </c>
      <c r="AK26" s="13">
        <f t="shared" si="35"/>
        <v>27.820000397643376</v>
      </c>
      <c r="AL26" s="20">
        <f t="shared" si="4"/>
        <v>228.90543935922889</v>
      </c>
      <c r="AM26" s="59">
        <f t="shared" si="5"/>
        <v>513.68321713700664</v>
      </c>
      <c r="AN26" s="59">
        <f ca="1">AVERAGE(OFFSET($AM$3,0,0,'Données projet'!$E$10+1,1))-AVERAGE(OFFSET($H$3,0,0,'Données projet'!$E$10+1,1))</f>
        <v>201.61452816909701</v>
      </c>
      <c r="AO26" s="59">
        <f t="shared" si="36"/>
        <v>287.77679930887746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1.9030983733181688</v>
      </c>
      <c r="AW26" s="21">
        <f>EXP(-LN(2)/2)*AW25+(1-EXP(-LN(2)/2))/(LN(2)/2)*AQ26*AT26*VLOOKUP('Données projet'!$B$10,Paramètres!$A$1:$I$89,3,0)*0.475*44/12</f>
        <v>7.2855431326804396</v>
      </c>
      <c r="AX26" s="21">
        <f t="shared" si="6"/>
        <v>9.1886415059986088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12.333333333333334</v>
      </c>
      <c r="BD26" s="12">
        <f>IF('Données projet'!$A$88&gt;35,BD25+BC26-BL25,IF(A26&lt;'Données projet'!$A$88,$BA$205^A26,IF(A26='Données projet'!$A$88,'Données projet'!$B$88,BD25+BC26-BL25)))</f>
        <v>119.33333333333334</v>
      </c>
      <c r="BE26" s="13">
        <f>BD26*VLOOKUP('Données projet'!$B$11,Paramètres!$A$1:$I$89,3,0)*VLOOKUP('Données projet'!$B$11,Paramètres!$A$1:$I$89,5,0)</f>
        <v>71.361333333333349</v>
      </c>
      <c r="BF26" s="13">
        <f t="shared" si="37"/>
        <v>20.011144716858571</v>
      </c>
      <c r="BG26" s="20">
        <f t="shared" si="7"/>
        <v>159.14039927075092</v>
      </c>
      <c r="BH26" s="59">
        <f t="shared" si="8"/>
        <v>443.91817704852872</v>
      </c>
      <c r="BI26" s="59">
        <f ca="1">AVERAGE(OFFSET($BH$3,0,0,'Données projet'!$E$11+1,1))-AVERAGE(OFFSET($H$3,0,0,'Données projet'!$E$11+1,1))</f>
        <v>225.63994281336028</v>
      </c>
      <c r="BJ26" s="59">
        <f t="shared" si="38"/>
        <v>231.19476400361157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1.6600789152438</v>
      </c>
      <c r="BR26" s="21">
        <f>EXP(-LN(2)/2)*BR25+(1-EXP(-LN(2)/2))/(LN(2)/2)*BL26*BO26*VLOOKUP('Données projet'!$B$11,Paramètres!$A$1:$I$89,3,0)*0.475*44/12</f>
        <v>2.2980684624226293</v>
      </c>
      <c r="BS26" s="22">
        <f t="shared" si="9"/>
        <v>3.9581473776664291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150.59999999999997</v>
      </c>
      <c r="BZ26" s="13">
        <f>BY26*VLOOKUP('Données projet'!$B$12,Paramètres!$A$1:$I$89,3,0)*VLOOKUP('Données projet'!$B$12,Paramètres!$A$1:$I$89,5,0)</f>
        <v>70.480799999999988</v>
      </c>
      <c r="CA26" s="13">
        <f t="shared" si="39"/>
        <v>19.792809548371892</v>
      </c>
      <c r="CB26" s="20">
        <f t="shared" si="10"/>
        <v>157.226536630081</v>
      </c>
      <c r="CC26" s="59">
        <f t="shared" si="11"/>
        <v>442.00431440785877</v>
      </c>
      <c r="CD26" s="59">
        <f ca="1">AVERAGE(OFFSET($CC$3,0,0,'Données projet'!$E$12+1,1))-AVERAGE(OFFSET($H$3,0,0,'Données projet'!$E$12+1,1))</f>
        <v>111.69585394603672</v>
      </c>
      <c r="CE26" s="59">
        <f t="shared" si="40"/>
        <v>162.6701214629764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4.3815520688022955</v>
      </c>
      <c r="CM26" s="21">
        <f>EXP(-LN(2)/2)*CM25+(1-EXP(-LN(2)/2))/(LN(2)/2)*CG26*CJ26*VLOOKUP('Données projet'!$B$12,Paramètres!$A$1:$I$89,3,0)*0.475*44/12</f>
        <v>1.967096645823718</v>
      </c>
      <c r="CN26" s="22">
        <f t="shared" si="12"/>
        <v>6.3486487146260133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10.4</v>
      </c>
      <c r="N27" s="13">
        <f>IF('Données projet'!$A$36&gt;35,N26+M27-V26,IF(A27&lt;'Données projet'!$A$36,$K$205^A27,IF(A27='Données projet'!$A$36,'Données projet'!$B$36,N26+M27-V26)))</f>
        <v>203.6</v>
      </c>
      <c r="O27" s="13">
        <f>N27*VLOOKUP('Données projet'!$B$9,Paramètres!$A$1:$I$89,3,0)*VLOOKUP('Données projet'!$B$9,Paramètres!$A$1:$I$89,5,0)</f>
        <v>184.21727999999999</v>
      </c>
      <c r="P27" s="13">
        <f t="shared" si="33"/>
        <v>46.25918487744358</v>
      </c>
      <c r="Q27" s="20">
        <f t="shared" si="2"/>
        <v>401.41317632821421</v>
      </c>
      <c r="R27" s="59">
        <f t="shared" si="0"/>
        <v>687.41317632821415</v>
      </c>
      <c r="S27" s="59">
        <f ca="1">AVERAGE(OFFSET($R$3,0,0,'Données projet'!$E$9+1,1))-AVERAGE(OFFSET($H$3,0,0,'Données projet'!$E$9+1,1))</f>
        <v>320.93171542656671</v>
      </c>
      <c r="T27" s="59">
        <f t="shared" si="34"/>
        <v>452.7298965816143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2.1529468337773245</v>
      </c>
      <c r="AA27" s="21">
        <f>EXP(-LN(2)/25)*AA26+(1-EXP(-LN(2)/25))/(LN(2)/25)*Calculateur!V27*Calculateur!X27*VLOOKUP('Données projet'!$B$9,Paramètres!$A$1:$I$89,3,0)*0.475*44/12</f>
        <v>2.0343015270043874</v>
      </c>
      <c r="AB27" s="21">
        <f>EXP(-LN(2)/2)*AB26+(1-EXP(-LN(2)/2))/(LN(2)/2)*V27*Y27*VLOOKUP('Données projet'!$B$9,Paramètres!$A$1:$I$89,3,0)*0.475*44/12</f>
        <v>1.4128273236610034</v>
      </c>
      <c r="AC27" s="22">
        <f t="shared" si="3"/>
        <v>5.6000756844427162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12.2</v>
      </c>
      <c r="AI27" s="13">
        <f>IF('Données projet'!$A$62&gt;35,AI26+AH27-AQ26,IF(A27&lt;'Données projet'!$A$62,$AF$205^A27,IF(A27='Données projet'!$A$62,'Données projet'!$B$62,AI26+AH27-AQ26)))</f>
        <v>130.79999999999998</v>
      </c>
      <c r="AJ27" s="13">
        <f>AI27*VLOOKUP('Données projet'!$B$10,Paramètres!$A$1:$I$89,3,0)*VLOOKUP('Données projet'!$B$10,Paramètres!$A$1:$I$89,5,0)</f>
        <v>114.26687999999999</v>
      </c>
      <c r="AK27" s="13">
        <f t="shared" si="35"/>
        <v>30.334057329879929</v>
      </c>
      <c r="AL27" s="20">
        <f t="shared" si="4"/>
        <v>251.84663251620748</v>
      </c>
      <c r="AM27" s="59">
        <f t="shared" si="5"/>
        <v>537.84663251620748</v>
      </c>
      <c r="AN27" s="59">
        <f ca="1">AVERAGE(OFFSET($AM$3,0,0,'Données projet'!$E$10+1,1))-AVERAGE(OFFSET($H$3,0,0,'Données projet'!$E$10+1,1))</f>
        <v>201.61452816909701</v>
      </c>
      <c r="AO27" s="59">
        <f t="shared" si="36"/>
        <v>287.77679930887746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1.8510580482201895</v>
      </c>
      <c r="AW27" s="21">
        <f>EXP(-LN(2)/2)*AW26+(1-EXP(-LN(2)/2))/(LN(2)/2)*AQ27*AT27*VLOOKUP('Données projet'!$B$10,Paramètres!$A$1:$I$89,3,0)*0.475*44/12</f>
        <v>5.1516569537454222</v>
      </c>
      <c r="AX27" s="21">
        <f t="shared" si="6"/>
        <v>7.0027150019656119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12.333333333333334</v>
      </c>
      <c r="BD27" s="12">
        <f>IF('Données projet'!$A$88&gt;35,BD26+BC27-BL26,IF(A27&lt;'Données projet'!$A$88,$BA$205^A27,IF(A27='Données projet'!$A$88,'Données projet'!$B$88,BD26+BC27-BL26)))</f>
        <v>131.66666666666669</v>
      </c>
      <c r="BE27" s="13">
        <f>BD27*VLOOKUP('Données projet'!$B$11,Paramètres!$A$1:$I$89,3,0)*VLOOKUP('Données projet'!$B$11,Paramètres!$A$1:$I$89,5,0)</f>
        <v>78.736666666666679</v>
      </c>
      <c r="BF27" s="13">
        <f t="shared" si="37"/>
        <v>21.828006984037064</v>
      </c>
      <c r="BG27" s="20">
        <f t="shared" si="7"/>
        <v>175.15013994164235</v>
      </c>
      <c r="BH27" s="59">
        <f t="shared" si="8"/>
        <v>461.15013994164235</v>
      </c>
      <c r="BI27" s="59">
        <f ca="1">AVERAGE(OFFSET($BH$3,0,0,'Données projet'!$E$11+1,1))-AVERAGE(OFFSET($H$3,0,0,'Données projet'!$E$11+1,1))</f>
        <v>225.63994281336028</v>
      </c>
      <c r="BJ27" s="59">
        <f t="shared" si="38"/>
        <v>231.19476400361157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1.6146839700067024</v>
      </c>
      <c r="BR27" s="21">
        <f>EXP(-LN(2)/2)*BR26+(1-EXP(-LN(2)/2))/(LN(2)/2)*BL27*BO27*VLOOKUP('Données projet'!$B$11,Paramètres!$A$1:$I$89,3,0)*0.475*44/12</f>
        <v>1.6249797934099839</v>
      </c>
      <c r="BS27" s="22">
        <f t="shared" si="9"/>
        <v>3.2396637634166865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159.79999999999995</v>
      </c>
      <c r="BZ27" s="13">
        <f>BY27*VLOOKUP('Données projet'!$B$12,Paramètres!$A$1:$I$89,3,0)*VLOOKUP('Données projet'!$B$12,Paramètres!$A$1:$I$89,5,0)</f>
        <v>74.786399999999986</v>
      </c>
      <c r="CA27" s="13">
        <f t="shared" si="39"/>
        <v>20.857475351088951</v>
      </c>
      <c r="CB27" s="20">
        <f t="shared" si="10"/>
        <v>166.57974956981323</v>
      </c>
      <c r="CC27" s="59">
        <f t="shared" si="11"/>
        <v>452.5797495698132</v>
      </c>
      <c r="CD27" s="59">
        <f ca="1">AVERAGE(OFFSET($CC$3,0,0,'Données projet'!$E$12+1,1))-AVERAGE(OFFSET($H$3,0,0,'Données projet'!$E$12+1,1))</f>
        <v>111.69585394603672</v>
      </c>
      <c r="CE27" s="59">
        <f t="shared" si="40"/>
        <v>162.6701214629764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4.2617382970650874</v>
      </c>
      <c r="CM27" s="21">
        <f>EXP(-LN(2)/2)*CM26+(1-EXP(-LN(2)/2))/(LN(2)/2)*CG27*CJ27*VLOOKUP('Données projet'!$B$12,Paramètres!$A$1:$I$89,3,0)*0.475*44/12</f>
        <v>1.3909473775112635</v>
      </c>
      <c r="CN27" s="22">
        <f t="shared" si="12"/>
        <v>5.6526856745763512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214</v>
      </c>
      <c r="L28" s="12">
        <f>VLOOKUP(A28,'Données projet'!$A$35:$I$55,9,0)</f>
        <v>10.4</v>
      </c>
      <c r="M28" s="12">
        <f t="array" ref="M28">INDEX(L:L,MIN(IF(ISNUMBER(L28:L224),ROW(L28:L224),"")))</f>
        <v>10.4</v>
      </c>
      <c r="N28" s="13">
        <f>IF('Données projet'!$A$36&gt;35,N27+M28-V27,IF(A28&lt;'Données projet'!$A$36,$K$205^A28,IF(A28='Données projet'!$A$36,'Données projet'!$B$36,N27+M28-V27)))</f>
        <v>214</v>
      </c>
      <c r="O28" s="13">
        <f>N28*VLOOKUP('Données projet'!$B$9,Paramètres!$A$1:$I$89,3,0)*VLOOKUP('Données projet'!$B$9,Paramètres!$A$1:$I$89,5,0)</f>
        <v>193.62719999999999</v>
      </c>
      <c r="P28" s="13">
        <f t="shared" si="33"/>
        <v>48.340990547231193</v>
      </c>
      <c r="Q28" s="20">
        <f t="shared" si="2"/>
        <v>421.42793186976093</v>
      </c>
      <c r="R28" s="59">
        <f t="shared" si="0"/>
        <v>708.65015409198315</v>
      </c>
      <c r="S28" s="59">
        <f ca="1">AVERAGE(OFFSET($R$3,0,0,'Données projet'!$E$9+1,1))-AVERAGE(OFFSET($H$3,0,0,'Données projet'!$E$9+1,1))</f>
        <v>320.93171542656671</v>
      </c>
      <c r="T28" s="59">
        <f t="shared" si="34"/>
        <v>452.7298965816143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14</v>
      </c>
      <c r="W28" s="16">
        <f>IF(ISNA(VLOOKUP(A28,'Données projet'!$A$35:$I$55,5,0)),0%,VLOOKUP(A28,'Données projet'!$A$35:$I$55,5,0)*VLOOKUP('Données projet'!$B$9,Paramètres!$A$1:$I$89,7,0))</f>
        <v>0.12</v>
      </c>
      <c r="X28" s="16">
        <f>IF(ISNA(VLOOKUP(A28,'Données projet'!$A$35:$I$55,6,0)),0%,VLOOKUP(A28,'Données projet'!$A$35:$I$55,6,0)*VLOOKUP('Données projet'!$B$9,Paramètres!$A$1:$I$89,7,0))</f>
        <v>0.06</v>
      </c>
      <c r="Y28" s="16">
        <f>IF(ISNA(VLOOKUP(A28,'Données projet'!$A$35:$I$55,7,0)),0%,VLOOKUP(A28,'Données projet'!$A$35:$I$55,7,0))</f>
        <v>0.2</v>
      </c>
      <c r="Z28" s="21">
        <f>EXP(-LN(2)/35)*Z27+(1-EXP(-LN(2)/35))/(LN(2)/35)*V28*W28*VLOOKUP('Données projet'!$B$9,Paramètres!$A$1:$I$89,3,0)*0.475*44/12</f>
        <v>3.7911145865292291</v>
      </c>
      <c r="AA28" s="21">
        <f>EXP(-LN(2)/25)*AA27+(1-EXP(-LN(2)/25))/(LN(2)/25)*Calculateur!V28*Calculateur!X28*VLOOKUP('Données projet'!$B$9,Paramètres!$A$1:$I$89,3,0)*0.475*44/12</f>
        <v>2.8155581488242039</v>
      </c>
      <c r="AB28" s="21">
        <f>EXP(-LN(2)/2)*AB27+(1-EXP(-LN(2)/2))/(LN(2)/2)*V28*Y28*VLOOKUP('Données projet'!$B$9,Paramètres!$A$1:$I$89,3,0)*0.475*44/12</f>
        <v>3.3893886077442112</v>
      </c>
      <c r="AC28" s="22">
        <f t="shared" si="3"/>
        <v>9.9960613430976437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143</v>
      </c>
      <c r="AG28" s="12">
        <f>VLOOKUP(A28,'Données projet'!$A$61:$I$81,9,0)</f>
        <v>12.2</v>
      </c>
      <c r="AH28" s="12">
        <f t="array" ref="AH28">INDEX(AG:AG,MIN(IF(ISNUMBER(AG28:AG224),ROW(AG28:AG224),"")))</f>
        <v>12.2</v>
      </c>
      <c r="AI28" s="13">
        <f>IF('Données projet'!$A$62&gt;35,AI27+AH28-AQ27,IF(A28&lt;'Données projet'!$A$62,$AF$205^A28,IF(A28='Données projet'!$A$62,'Données projet'!$B$62,AI27+AH28-AQ27)))</f>
        <v>142.99999999999997</v>
      </c>
      <c r="AJ28" s="13">
        <f>AI28*VLOOKUP('Données projet'!$B$10,Paramètres!$A$1:$I$89,3,0)*VLOOKUP('Données projet'!$B$10,Paramètres!$A$1:$I$89,5,0)</f>
        <v>124.9248</v>
      </c>
      <c r="AK28" s="13">
        <f t="shared" si="35"/>
        <v>32.820925500842712</v>
      </c>
      <c r="AL28" s="20">
        <f t="shared" si="4"/>
        <v>274.74047191396772</v>
      </c>
      <c r="AM28" s="59">
        <f t="shared" si="5"/>
        <v>561.96269413618995</v>
      </c>
      <c r="AN28" s="59">
        <f ca="1">AVERAGE(OFFSET($AM$3,0,0,'Données projet'!$E$10+1,1))-AVERAGE(OFFSET($H$3,0,0,'Données projet'!$E$10+1,1))</f>
        <v>201.61452816909701</v>
      </c>
      <c r="AO28" s="59">
        <f t="shared" si="36"/>
        <v>287.77679930887746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37</v>
      </c>
      <c r="AR28" s="16">
        <f>IF(ISNA(VLOOKUP(A28,'Données projet'!$A$61:$I$81,5,0)),0%,VLOOKUP(A28,'Données projet'!$A$61:$I$81,5,0)*VLOOKUP('Données projet'!$B$10,Paramètres!$A$1:$I$89,7,0))</f>
        <v>4.3000000000000003E-2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1.5364906273839367</v>
      </c>
      <c r="AV28" s="21">
        <f>EXP(-LN(2)/25)*AV27+(1-EXP(-LN(2)/25))/(LN(2)/25)*Calculateur!AQ28*Calculateur!AS28*VLOOKUP('Données projet'!$B$10,Paramètres!$A$1:$I$89,3,0)*0.475*44/12</f>
        <v>4.8613225252188936</v>
      </c>
      <c r="AW28" s="21">
        <f>EXP(-LN(2)/2)*AW27+(1-EXP(-LN(2)/2))/(LN(2)/2)*AQ28*AT28*VLOOKUP('Données projet'!$B$10,Paramètres!$A$1:$I$89,3,0)*0.475*44/12</f>
        <v>15.841895232809376</v>
      </c>
      <c r="AX28" s="21">
        <f t="shared" si="6"/>
        <v>22.239708385412207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144</v>
      </c>
      <c r="BB28" s="12">
        <f>VLOOKUP(A28,'Données projet'!$A$87:$I$107,9,0)</f>
        <v>12.333333333333334</v>
      </c>
      <c r="BC28" s="12">
        <f t="array" ref="BC28">INDEX(BB:BB,MIN(IF(ISNUMBER(BB28:BB224),ROW(BB28:BB224),"")))</f>
        <v>12.333333333333334</v>
      </c>
      <c r="BD28" s="12">
        <f>IF('Données projet'!$A$88&gt;35,BD27+BC28-BL27,IF(A28&lt;'Données projet'!$A$88,$BA$205^A28,IF(A28='Données projet'!$A$88,'Données projet'!$B$88,BD27+BC28-BL27)))</f>
        <v>144.00000000000003</v>
      </c>
      <c r="BE28" s="13">
        <f>BD28*VLOOKUP('Données projet'!$B$11,Paramètres!$A$1:$I$89,3,0)*VLOOKUP('Données projet'!$B$11,Paramètres!$A$1:$I$89,5,0)</f>
        <v>86.112000000000009</v>
      </c>
      <c r="BF28" s="13">
        <f t="shared" si="37"/>
        <v>23.625136642852297</v>
      </c>
      <c r="BG28" s="20">
        <f t="shared" si="7"/>
        <v>191.12551298630106</v>
      </c>
      <c r="BH28" s="59">
        <f t="shared" si="8"/>
        <v>478.34773520852332</v>
      </c>
      <c r="BI28" s="59">
        <f ca="1">AVERAGE(OFFSET($BH$3,0,0,'Données projet'!$E$11+1,1))-AVERAGE(OFFSET($H$3,0,0,'Données projet'!$E$11+1,1))</f>
        <v>225.63994281336028</v>
      </c>
      <c r="BJ28" s="59">
        <f t="shared" si="38"/>
        <v>231.19476400361157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0.13500000000000001</v>
      </c>
      <c r="BO28" s="16">
        <f>IF(ISNA(VLOOKUP(A28,'Données projet'!$A$87:$I$107,7,0)),0%,VLOOKUP(A28,'Données projet'!$A$87:$I$107,7,0))</f>
        <v>0.3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3.383952318418082</v>
      </c>
      <c r="BR28" s="21">
        <f>EXP(-LN(2)/2)*BR27+(1-EXP(-LN(2)/2))/(LN(2)/2)*BL28*BO28*VLOOKUP('Données projet'!$B$11,Paramètres!$A$1:$I$89,3,0)*0.475*44/12</f>
        <v>4.6021162922075307</v>
      </c>
      <c r="BS28" s="22">
        <f t="shared" si="9"/>
        <v>7.9860686106256127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169</v>
      </c>
      <c r="BW28" s="12">
        <f>VLOOKUP(A28,'Données projet'!$A$113:$I$133,9,0)</f>
        <v>9.1999999999999993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168.99999999999994</v>
      </c>
      <c r="BZ28" s="13">
        <f>BY28*VLOOKUP('Données projet'!$B$12,Paramètres!$A$1:$I$89,3,0)*VLOOKUP('Données projet'!$B$12,Paramètres!$A$1:$I$89,5,0)</f>
        <v>79.09199999999997</v>
      </c>
      <c r="CA28" s="13">
        <f t="shared" si="39"/>
        <v>21.915026131449999</v>
      </c>
      <c r="CB28" s="20">
        <f t="shared" si="10"/>
        <v>175.92057051227536</v>
      </c>
      <c r="CC28" s="59">
        <f t="shared" si="11"/>
        <v>463.14279273449756</v>
      </c>
      <c r="CD28" s="59">
        <f ca="1">AVERAGE(OFFSET($CC$3,0,0,'Données projet'!$E$12+1,1))-AVERAGE(OFFSET($H$3,0,0,'Données projet'!$E$12+1,1))</f>
        <v>111.69585394603672</v>
      </c>
      <c r="CE28" s="59">
        <f t="shared" si="40"/>
        <v>162.6701214629764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5.5000000000000007E-2</v>
      </c>
      <c r="CI28" s="16">
        <f>IF(ISNA(VLOOKUP(A28,'Données projet'!$A$113:$I$133,6,0)),0%,VLOOKUP(A28,'Données projet'!$A$113:$I$133,6,0)*VLOOKUP('Données projet'!$B$12,Paramètres!$A$1:$I$89,7,0))</f>
        <v>0.16500000000000001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1.1951019179054818</v>
      </c>
      <c r="CL28" s="21">
        <f>EXP(-LN(2)/25)*CL27+(1-EXP(-LN(2)/25))/(LN(2)/25)*Calculateur!CG28*Calculateur!CI28*VLOOKUP('Données projet'!$B$12,Paramètres!$A$1:$I$89,3,0)*0.475*44/12</f>
        <v>7.7163898780722366</v>
      </c>
      <c r="CM28" s="21">
        <f>EXP(-LN(2)/2)*CM27+(1-EXP(-LN(2)/2))/(LN(2)/2)*CG28*CJ28*VLOOKUP('Données projet'!$B$12,Paramètres!$A$1:$I$89,3,0)*0.475*44/12</f>
        <v>6.5473378329569112</v>
      </c>
      <c r="CN28" s="22">
        <f t="shared" si="12"/>
        <v>15.45882962893463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8.6</v>
      </c>
      <c r="N29" s="13">
        <f>IF('Données projet'!$A$36&gt;35,N28+M29-V28,IF(A29&lt;'Données projet'!$A$36,$K$205^A29,IF(A29='Données projet'!$A$36,'Données projet'!$B$36,N28+M29-V28)))</f>
        <v>208.6</v>
      </c>
      <c r="O29" s="13">
        <f>N29*VLOOKUP('Données projet'!$B$9,Paramètres!$A$1:$I$89,3,0)*VLOOKUP('Données projet'!$B$9,Paramètres!$A$1:$I$89,5,0)</f>
        <v>188.74127999999999</v>
      </c>
      <c r="P29" s="13">
        <f t="shared" si="33"/>
        <v>47.261560168122358</v>
      </c>
      <c r="Q29" s="20">
        <f t="shared" si="2"/>
        <v>411.03827995947972</v>
      </c>
      <c r="R29" s="59">
        <f t="shared" si="0"/>
        <v>699.48272440392418</v>
      </c>
      <c r="S29" s="59">
        <f ca="1">AVERAGE(OFFSET($R$3,0,0,'Données projet'!$E$9+1,1))-AVERAGE(OFFSET($H$3,0,0,'Données projet'!$E$9+1,1))</f>
        <v>320.93171542656671</v>
      </c>
      <c r="T29" s="59">
        <f t="shared" si="34"/>
        <v>452.7298965816143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3.7167731418389631</v>
      </c>
      <c r="AA29" s="21">
        <f>EXP(-LN(2)/25)*AA28+(1-EXP(-LN(2)/25))/(LN(2)/25)*Calculateur!V29*Calculateur!X29*VLOOKUP('Données projet'!$B$9,Paramètres!$A$1:$I$89,3,0)*0.475*44/12</f>
        <v>2.738566563180838</v>
      </c>
      <c r="AB29" s="21">
        <f>EXP(-LN(2)/2)*AB28+(1-EXP(-LN(2)/2))/(LN(2)/2)*V29*Y29*VLOOKUP('Données projet'!$B$9,Paramètres!$A$1:$I$89,3,0)*0.475*44/12</f>
        <v>2.3966596686123629</v>
      </c>
      <c r="AC29" s="22">
        <f t="shared" si="3"/>
        <v>8.8519993736321645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11.4</v>
      </c>
      <c r="AI29" s="13">
        <f>IF('Données projet'!$A$62&gt;35,AI28+AH29-AQ28,IF(A29&lt;'Données projet'!$A$62,$AF$205^A29,IF(A29='Données projet'!$A$62,'Données projet'!$B$62,AI28+AH29-AQ28)))</f>
        <v>117.39999999999998</v>
      </c>
      <c r="AJ29" s="13">
        <f>AI29*VLOOKUP('Données projet'!$B$10,Paramètres!$A$1:$I$89,3,0)*VLOOKUP('Données projet'!$B$10,Paramètres!$A$1:$I$89,5,0)</f>
        <v>102.56064000000001</v>
      </c>
      <c r="AK29" s="13">
        <f t="shared" si="35"/>
        <v>27.571134131783779</v>
      </c>
      <c r="AL29" s="20">
        <f t="shared" si="4"/>
        <v>226.64617327952342</v>
      </c>
      <c r="AM29" s="59">
        <f t="shared" si="5"/>
        <v>515.09061772396785</v>
      </c>
      <c r="AN29" s="59">
        <f ca="1">AVERAGE(OFFSET($AM$3,0,0,'Données projet'!$E$10+1,1))-AVERAGE(OFFSET($H$3,0,0,'Données projet'!$E$10+1,1))</f>
        <v>201.61452816909701</v>
      </c>
      <c r="AO29" s="59">
        <f t="shared" si="36"/>
        <v>287.77679930887746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1.506360983347683</v>
      </c>
      <c r="AV29" s="21">
        <f>EXP(-LN(2)/25)*AV28+(1-EXP(-LN(2)/25))/(LN(2)/25)*Calculateur!AQ29*Calculateur!AS29*VLOOKUP('Données projet'!$B$10,Paramètres!$A$1:$I$89,3,0)*0.475*44/12</f>
        <v>4.7283894051209421</v>
      </c>
      <c r="AW29" s="21">
        <f>EXP(-LN(2)/2)*AW28+(1-EXP(-LN(2)/2))/(LN(2)/2)*AQ29*AT29*VLOOKUP('Données projet'!$B$10,Paramètres!$A$1:$I$89,3,0)*0.475*44/12</f>
        <v>11.20191154596635</v>
      </c>
      <c r="AX29" s="21">
        <f t="shared" si="6"/>
        <v>17.436661934434976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13.4</v>
      </c>
      <c r="BD29" s="12">
        <f>IF('Données projet'!$A$88&gt;35,BD28+BC29-BL28,IF(A29&lt;'Données projet'!$A$88,$BA$205^A29,IF(A29='Données projet'!$A$88,'Données projet'!$B$88,BD28+BC29-BL28)))</f>
        <v>140.40000000000003</v>
      </c>
      <c r="BE29" s="13">
        <f>BD29*VLOOKUP('Données projet'!$B$11,Paramètres!$A$1:$I$89,3,0)*VLOOKUP('Données projet'!$B$11,Paramètres!$A$1:$I$89,5,0)</f>
        <v>83.959200000000024</v>
      </c>
      <c r="BF29" s="13">
        <f t="shared" si="37"/>
        <v>23.102490880810642</v>
      </c>
      <c r="BG29" s="20">
        <f t="shared" si="7"/>
        <v>186.46577828407854</v>
      </c>
      <c r="BH29" s="59">
        <f t="shared" si="8"/>
        <v>474.91022272852297</v>
      </c>
      <c r="BI29" s="59">
        <f ca="1">AVERAGE(OFFSET($BH$3,0,0,'Données projet'!$E$11+1,1))-AVERAGE(OFFSET($H$3,0,0,'Données projet'!$E$11+1,1))</f>
        <v>225.63994281336028</v>
      </c>
      <c r="BJ29" s="59">
        <f t="shared" si="38"/>
        <v>231.19476400361157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3.2914179643166213</v>
      </c>
      <c r="BR29" s="21">
        <f>EXP(-LN(2)/2)*BR28+(1-EXP(-LN(2)/2))/(LN(2)/2)*BL29*BO29*VLOOKUP('Données projet'!$B$11,Paramètres!$A$1:$I$89,3,0)*0.475*44/12</f>
        <v>3.2541876380290362</v>
      </c>
      <c r="BS29" s="22">
        <f t="shared" si="9"/>
        <v>6.5456056023456579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143.19999999999993</v>
      </c>
      <c r="BZ29" s="13">
        <f>BY29*VLOOKUP('Données projet'!$B$12,Paramètres!$A$1:$I$89,3,0)*VLOOKUP('Données projet'!$B$12,Paramètres!$A$1:$I$89,5,0)</f>
        <v>67.017599999999959</v>
      </c>
      <c r="CA29" s="13">
        <f t="shared" si="39"/>
        <v>18.93095622847579</v>
      </c>
      <c r="CB29" s="20">
        <f t="shared" si="10"/>
        <v>149.69373543126193</v>
      </c>
      <c r="CC29" s="59">
        <f t="shared" si="11"/>
        <v>438.13817987570638</v>
      </c>
      <c r="CD29" s="59">
        <f ca="1">AVERAGE(OFFSET($CC$3,0,0,'Données projet'!$E$12+1,1))-AVERAGE(OFFSET($H$3,0,0,'Données projet'!$E$12+1,1))</f>
        <v>111.69585394603672</v>
      </c>
      <c r="CE29" s="59">
        <f t="shared" si="40"/>
        <v>162.6701214629764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1.1716666982355484</v>
      </c>
      <c r="CL29" s="21">
        <f>EXP(-LN(2)/25)*CL28+(1-EXP(-LN(2)/25))/(LN(2)/25)*Calculateur!CG29*Calculateur!CI29*VLOOKUP('Données projet'!$B$12,Paramètres!$A$1:$I$89,3,0)*0.475*44/12</f>
        <v>7.5053847910690434</v>
      </c>
      <c r="CM29" s="21">
        <f>EXP(-LN(2)/2)*CM28+(1-EXP(-LN(2)/2))/(LN(2)/2)*CG29*CJ29*VLOOKUP('Données projet'!$B$12,Paramètres!$A$1:$I$89,3,0)*0.475*44/12</f>
        <v>4.6296669804030675</v>
      </c>
      <c r="CN29" s="22">
        <f t="shared" si="12"/>
        <v>13.306718469707659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8.6</v>
      </c>
      <c r="N30" s="13">
        <f>IF('Données projet'!$A$36&gt;35,N29+M30-V29,IF(A30&lt;'Données projet'!$A$36,$K$205^A30,IF(A30='Données projet'!$A$36,'Données projet'!$B$36,N29+M30-V29)))</f>
        <v>217.2</v>
      </c>
      <c r="O30" s="13">
        <f>N30*VLOOKUP('Données projet'!$B$9,Paramètres!$A$1:$I$89,3,0)*VLOOKUP('Données projet'!$B$9,Paramètres!$A$1:$I$89,5,0)</f>
        <v>196.52255999999997</v>
      </c>
      <c r="P30" s="13">
        <f t="shared" si="33"/>
        <v>48.979153257338155</v>
      </c>
      <c r="Q30" s="20">
        <f t="shared" si="2"/>
        <v>427.58215058986383</v>
      </c>
      <c r="R30" s="59">
        <f t="shared" si="0"/>
        <v>717.24881725653051</v>
      </c>
      <c r="S30" s="59">
        <f ca="1">AVERAGE(OFFSET($R$3,0,0,'Données projet'!$E$9+1,1))-AVERAGE(OFFSET($H$3,0,0,'Données projet'!$E$9+1,1))</f>
        <v>320.93171542656671</v>
      </c>
      <c r="T30" s="59">
        <f t="shared" si="34"/>
        <v>452.7298965816143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3.6438894875352692</v>
      </c>
      <c r="AA30" s="21">
        <f>EXP(-LN(2)/25)*AA29+(1-EXP(-LN(2)/25))/(LN(2)/25)*Calculateur!V30*Calculateur!X30*VLOOKUP('Données projet'!$B$9,Paramètres!$A$1:$I$89,3,0)*0.475*44/12</f>
        <v>2.6636803164957015</v>
      </c>
      <c r="AB30" s="21">
        <f>EXP(-LN(2)/2)*AB29+(1-EXP(-LN(2)/2))/(LN(2)/2)*V30*Y30*VLOOKUP('Données projet'!$B$9,Paramètres!$A$1:$I$89,3,0)*0.475*44/12</f>
        <v>1.6946943038721056</v>
      </c>
      <c r="AC30" s="22">
        <f t="shared" si="3"/>
        <v>8.002264107903077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11.4</v>
      </c>
      <c r="AI30" s="13">
        <f>IF('Données projet'!$A$62&gt;35,AI29+AH30-AQ29,IF(A30&lt;'Données projet'!$A$62,$AF$205^A30,IF(A30='Données projet'!$A$62,'Données projet'!$B$62,AI29+AH30-AQ29)))</f>
        <v>128.79999999999998</v>
      </c>
      <c r="AJ30" s="13">
        <f>AI30*VLOOKUP('Données projet'!$B$10,Paramètres!$A$1:$I$89,3,0)*VLOOKUP('Données projet'!$B$10,Paramètres!$A$1:$I$89,5,0)</f>
        <v>112.51968000000001</v>
      </c>
      <c r="AK30" s="13">
        <f t="shared" si="35"/>
        <v>29.923856072189899</v>
      </c>
      <c r="AL30" s="20">
        <f t="shared" si="4"/>
        <v>248.08915865906408</v>
      </c>
      <c r="AM30" s="59">
        <f t="shared" si="5"/>
        <v>537.75582532573071</v>
      </c>
      <c r="AN30" s="59">
        <f ca="1">AVERAGE(OFFSET($AM$3,0,0,'Données projet'!$E$10+1,1))-AVERAGE(OFFSET($H$3,0,0,'Données projet'!$E$10+1,1))</f>
        <v>201.61452816909701</v>
      </c>
      <c r="AO30" s="59">
        <f t="shared" si="36"/>
        <v>287.77679930887746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1.4768221632537117</v>
      </c>
      <c r="AV30" s="21">
        <f>EXP(-LN(2)/25)*AV29+(1-EXP(-LN(2)/25))/(LN(2)/25)*Calculateur!AQ30*Calculateur!AS30*VLOOKUP('Données projet'!$B$10,Paramètres!$A$1:$I$89,3,0)*0.475*44/12</f>
        <v>4.5990913481827178</v>
      </c>
      <c r="AW30" s="21">
        <f>EXP(-LN(2)/2)*AW29+(1-EXP(-LN(2)/2))/(LN(2)/2)*AQ30*AT30*VLOOKUP('Données projet'!$B$10,Paramètres!$A$1:$I$89,3,0)*0.475*44/12</f>
        <v>7.920947616404689</v>
      </c>
      <c r="AX30" s="21">
        <f t="shared" si="6"/>
        <v>13.996861127841118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13.4</v>
      </c>
      <c r="BD30" s="12">
        <f>IF('Données projet'!$A$88&gt;35,BD29+BC30-BL29,IF(A30&lt;'Données projet'!$A$88,$BA$205^A30,IF(A30='Données projet'!$A$88,'Données projet'!$B$88,BD29+BC30-BL29)))</f>
        <v>153.80000000000004</v>
      </c>
      <c r="BE30" s="13">
        <f>BD30*VLOOKUP('Données projet'!$B$11,Paramètres!$A$1:$I$89,3,0)*VLOOKUP('Données projet'!$B$11,Paramètres!$A$1:$I$89,5,0)</f>
        <v>91.972400000000022</v>
      </c>
      <c r="BF30" s="13">
        <f t="shared" si="37"/>
        <v>25.040318527820091</v>
      </c>
      <c r="BG30" s="20">
        <f t="shared" si="7"/>
        <v>203.79715143595334</v>
      </c>
      <c r="BH30" s="59">
        <f t="shared" si="8"/>
        <v>493.46381810262005</v>
      </c>
      <c r="BI30" s="59">
        <f ca="1">AVERAGE(OFFSET($BH$3,0,0,'Données projet'!$E$11+1,1))-AVERAGE(OFFSET($H$3,0,0,'Données projet'!$E$11+1,1))</f>
        <v>225.63994281336028</v>
      </c>
      <c r="BJ30" s="59">
        <f t="shared" si="38"/>
        <v>231.19476400361157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3.201413966994235</v>
      </c>
      <c r="BR30" s="21">
        <f>EXP(-LN(2)/2)*BR29+(1-EXP(-LN(2)/2))/(LN(2)/2)*BL30*BO30*VLOOKUP('Données projet'!$B$11,Paramètres!$A$1:$I$89,3,0)*0.475*44/12</f>
        <v>2.3010581461037658</v>
      </c>
      <c r="BS30" s="22">
        <f t="shared" si="9"/>
        <v>5.5024721130980012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152.39999999999992</v>
      </c>
      <c r="BZ30" s="13">
        <f>BY30*VLOOKUP('Données projet'!$B$12,Paramètres!$A$1:$I$89,3,0)*VLOOKUP('Données projet'!$B$12,Paramètres!$A$1:$I$89,5,0)</f>
        <v>71.323199999999957</v>
      </c>
      <c r="CA30" s="13">
        <f t="shared" si="39"/>
        <v>20.001695779651133</v>
      </c>
      <c r="CB30" s="20">
        <f t="shared" si="10"/>
        <v>159.05752681622565</v>
      </c>
      <c r="CC30" s="59">
        <f t="shared" si="11"/>
        <v>448.72419348289236</v>
      </c>
      <c r="CD30" s="59">
        <f ca="1">AVERAGE(OFFSET($CC$3,0,0,'Données projet'!$E$12+1,1))-AVERAGE(OFFSET($H$3,0,0,'Données projet'!$E$12+1,1))</f>
        <v>111.69585394603672</v>
      </c>
      <c r="CE30" s="59">
        <f t="shared" si="40"/>
        <v>162.6701214629764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1.1486910289292698</v>
      </c>
      <c r="CL30" s="21">
        <f>EXP(-LN(2)/25)*CL29+(1-EXP(-LN(2)/25))/(LN(2)/25)*Calculateur!CG30*Calculateur!CI30*VLOOKUP('Données projet'!$B$12,Paramètres!$A$1:$I$89,3,0)*0.475*44/12</f>
        <v>7.3001496492662277</v>
      </c>
      <c r="CM30" s="21">
        <f>EXP(-LN(2)/2)*CM29+(1-EXP(-LN(2)/2))/(LN(2)/2)*CG30*CJ30*VLOOKUP('Données projet'!$B$12,Paramètres!$A$1:$I$89,3,0)*0.475*44/12</f>
        <v>3.273668916478456</v>
      </c>
      <c r="CN30" s="22">
        <f t="shared" si="12"/>
        <v>11.722509594673953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8.6</v>
      </c>
      <c r="N31" s="13">
        <f>IF('Données projet'!$A$36&gt;35,N30+M31-V30,IF(A31&lt;'Données projet'!$A$36,$K$205^A31,IF(A31='Données projet'!$A$36,'Données projet'!$B$36,N30+M31-V30)))</f>
        <v>225.79999999999998</v>
      </c>
      <c r="O31" s="13">
        <f>N31*VLOOKUP('Données projet'!$B$9,Paramètres!$A$1:$I$89,3,0)*VLOOKUP('Données projet'!$B$9,Paramètres!$A$1:$I$89,5,0)</f>
        <v>204.30383999999995</v>
      </c>
      <c r="P31" s="13">
        <f t="shared" si="33"/>
        <v>50.688846269088558</v>
      </c>
      <c r="Q31" s="20">
        <f t="shared" si="2"/>
        <v>444.11226191866245</v>
      </c>
      <c r="R31" s="59">
        <f t="shared" si="0"/>
        <v>735.00115080755131</v>
      </c>
      <c r="S31" s="59">
        <f ca="1">AVERAGE(OFFSET($R$3,0,0,'Données projet'!$E$9+1,1))-AVERAGE(OFFSET($H$3,0,0,'Données projet'!$E$9+1,1))</f>
        <v>320.93171542656671</v>
      </c>
      <c r="T31" s="59">
        <f t="shared" si="34"/>
        <v>452.7298965816143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3.5724350372378311</v>
      </c>
      <c r="AA31" s="21">
        <f>EXP(-LN(2)/25)*AA30+(1-EXP(-LN(2)/25))/(LN(2)/25)*Calculateur!V31*Calculateur!X31*VLOOKUP('Données projet'!$B$9,Paramètres!$A$1:$I$89,3,0)*0.475*44/12</f>
        <v>2.5908418381642666</v>
      </c>
      <c r="AB31" s="21">
        <f>EXP(-LN(2)/2)*AB30+(1-EXP(-LN(2)/2))/(LN(2)/2)*V31*Y31*VLOOKUP('Données projet'!$B$9,Paramètres!$A$1:$I$89,3,0)*0.475*44/12</f>
        <v>1.1983298343061815</v>
      </c>
      <c r="AC31" s="22">
        <f t="shared" si="3"/>
        <v>7.3616067097082789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11.4</v>
      </c>
      <c r="AI31" s="13">
        <f>IF('Données projet'!$A$62&gt;35,AI30+AH31-AQ30,IF(A31&lt;'Données projet'!$A$62,$AF$205^A31,IF(A31='Données projet'!$A$62,'Données projet'!$B$62,AI30+AH31-AQ30)))</f>
        <v>140.19999999999999</v>
      </c>
      <c r="AJ31" s="13">
        <f>AI31*VLOOKUP('Données projet'!$B$10,Paramètres!$A$1:$I$89,3,0)*VLOOKUP('Données projet'!$B$10,Paramètres!$A$1:$I$89,5,0)</f>
        <v>122.47872000000001</v>
      </c>
      <c r="AK31" s="13">
        <f t="shared" si="35"/>
        <v>32.252430308904003</v>
      </c>
      <c r="AL31" s="20">
        <f t="shared" si="4"/>
        <v>269.49008678800777</v>
      </c>
      <c r="AM31" s="59">
        <f t="shared" si="5"/>
        <v>560.37897567689663</v>
      </c>
      <c r="AN31" s="59">
        <f ca="1">AVERAGE(OFFSET($AM$3,0,0,'Données projet'!$E$10+1,1))-AVERAGE(OFFSET($H$3,0,0,'Données projet'!$E$10+1,1))</f>
        <v>201.61452816909701</v>
      </c>
      <c r="AO31" s="59">
        <f t="shared" si="36"/>
        <v>287.77679930887746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1.4478625814048822</v>
      </c>
      <c r="AV31" s="21">
        <f>EXP(-LN(2)/25)*AV30+(1-EXP(-LN(2)/25))/(LN(2)/25)*Calculateur!AQ31*Calculateur!AS31*VLOOKUP('Données projet'!$B$10,Paramètres!$A$1:$I$89,3,0)*0.475*44/12</f>
        <v>4.4733289534109586</v>
      </c>
      <c r="AW31" s="21">
        <f>EXP(-LN(2)/2)*AW30+(1-EXP(-LN(2)/2))/(LN(2)/2)*AQ31*AT31*VLOOKUP('Données projet'!$B$10,Paramètres!$A$1:$I$89,3,0)*0.475*44/12</f>
        <v>5.600955772983176</v>
      </c>
      <c r="AX31" s="21">
        <f t="shared" si="6"/>
        <v>11.522147307799017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13.4</v>
      </c>
      <c r="BD31" s="12">
        <f>IF('Données projet'!$A$88&gt;35,BD30+BC31-BL30,IF(A31&lt;'Données projet'!$A$88,$BA$205^A31,IF(A31='Données projet'!$A$88,'Données projet'!$B$88,BD30+BC31-BL30)))</f>
        <v>167.20000000000005</v>
      </c>
      <c r="BE31" s="13">
        <f>BD31*VLOOKUP('Données projet'!$B$11,Paramètres!$A$1:$I$89,3,0)*VLOOKUP('Données projet'!$B$11,Paramètres!$A$1:$I$89,5,0)</f>
        <v>99.985600000000034</v>
      </c>
      <c r="BF31" s="13">
        <f t="shared" si="37"/>
        <v>26.958566918169435</v>
      </c>
      <c r="BG31" s="20">
        <f t="shared" si="7"/>
        <v>221.09442404914515</v>
      </c>
      <c r="BH31" s="59">
        <f t="shared" si="8"/>
        <v>511.98331293803403</v>
      </c>
      <c r="BI31" s="59">
        <f ca="1">AVERAGE(OFFSET($BH$3,0,0,'Données projet'!$E$11+1,1))-AVERAGE(OFFSET($H$3,0,0,'Données projet'!$E$11+1,1))</f>
        <v>225.63994281336028</v>
      </c>
      <c r="BJ31" s="59">
        <f t="shared" si="38"/>
        <v>231.19476400361157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3.1138711337117342</v>
      </c>
      <c r="BR31" s="21">
        <f>EXP(-LN(2)/2)*BR30+(1-EXP(-LN(2)/2))/(LN(2)/2)*BL31*BO31*VLOOKUP('Données projet'!$B$11,Paramètres!$A$1:$I$89,3,0)*0.475*44/12</f>
        <v>1.6270938190145183</v>
      </c>
      <c r="BS31" s="22">
        <f t="shared" si="9"/>
        <v>4.7409649527262525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161.59999999999991</v>
      </c>
      <c r="BZ31" s="13">
        <f>BY31*VLOOKUP('Données projet'!$B$12,Paramètres!$A$1:$I$89,3,0)*VLOOKUP('Données projet'!$B$12,Paramètres!$A$1:$I$89,5,0)</f>
        <v>75.628799999999956</v>
      </c>
      <c r="CA31" s="13">
        <f t="shared" si="39"/>
        <v>21.064933051654201</v>
      </c>
      <c r="CB31" s="20">
        <f t="shared" si="10"/>
        <v>168.408251731631</v>
      </c>
      <c r="CC31" s="59">
        <f t="shared" si="11"/>
        <v>459.29714062051983</v>
      </c>
      <c r="CD31" s="59">
        <f ca="1">AVERAGE(OFFSET($CC$3,0,0,'Données projet'!$E$12+1,1))-AVERAGE(OFFSET($H$3,0,0,'Données projet'!$E$12+1,1))</f>
        <v>111.69585394603672</v>
      </c>
      <c r="CE31" s="59">
        <f t="shared" si="40"/>
        <v>162.6701214629764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1.1261658984843128</v>
      </c>
      <c r="CL31" s="21">
        <f>EXP(-LN(2)/25)*CL30+(1-EXP(-LN(2)/25))/(LN(2)/25)*Calculateur!CG31*Calculateur!CI31*VLOOKUP('Données projet'!$B$12,Paramètres!$A$1:$I$89,3,0)*0.475*44/12</f>
        <v>7.100526673208857</v>
      </c>
      <c r="CM31" s="21">
        <f>EXP(-LN(2)/2)*CM30+(1-EXP(-LN(2)/2))/(LN(2)/2)*CG31*CJ31*VLOOKUP('Données projet'!$B$12,Paramètres!$A$1:$I$89,3,0)*0.475*44/12</f>
        <v>2.3148334902015337</v>
      </c>
      <c r="CN31" s="22">
        <f t="shared" si="12"/>
        <v>10.541526061894704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8.6</v>
      </c>
      <c r="N32" s="13">
        <f>IF('Données projet'!$A$36&gt;35,N31+M32-V31,IF(A32&lt;'Données projet'!$A$36,$K$205^A32,IF(A32='Données projet'!$A$36,'Données projet'!$B$36,N31+M32-V31)))</f>
        <v>234.39999999999998</v>
      </c>
      <c r="O32" s="13">
        <f>N32*VLOOKUP('Données projet'!$B$9,Paramètres!$A$1:$I$89,3,0)*VLOOKUP('Données projet'!$B$9,Paramètres!$A$1:$I$89,5,0)</f>
        <v>212.08511999999996</v>
      </c>
      <c r="P32" s="13">
        <f t="shared" si="33"/>
        <v>52.390974537063087</v>
      </c>
      <c r="Q32" s="20">
        <f t="shared" si="2"/>
        <v>460.62919798538474</v>
      </c>
      <c r="R32" s="59">
        <f t="shared" si="0"/>
        <v>752.74030909649582</v>
      </c>
      <c r="S32" s="59">
        <f ca="1">AVERAGE(OFFSET($R$3,0,0,'Données projet'!$E$9+1,1))-AVERAGE(OFFSET($H$3,0,0,'Données projet'!$E$9+1,1))</f>
        <v>320.93171542656671</v>
      </c>
      <c r="T32" s="59">
        <f t="shared" si="34"/>
        <v>452.7298965816143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3.5023817651278146</v>
      </c>
      <c r="AA32" s="21">
        <f>EXP(-LN(2)/25)*AA31+(1-EXP(-LN(2)/25))/(LN(2)/25)*Calculateur!V32*Calculateur!X32*VLOOKUP('Données projet'!$B$9,Paramètres!$A$1:$I$89,3,0)*0.475*44/12</f>
        <v>2.5199951318532139</v>
      </c>
      <c r="AB32" s="21">
        <f>EXP(-LN(2)/2)*AB31+(1-EXP(-LN(2)/2))/(LN(2)/2)*V32*Y32*VLOOKUP('Données projet'!$B$9,Paramètres!$A$1:$I$89,3,0)*0.475*44/12</f>
        <v>0.84734715193605281</v>
      </c>
      <c r="AC32" s="22">
        <f t="shared" si="3"/>
        <v>6.8697240489170817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11.4</v>
      </c>
      <c r="AI32" s="13">
        <f>IF('Données projet'!$A$62&gt;35,AI31+AH32-AQ31,IF(A32&lt;'Données projet'!$A$62,$AF$205^A32,IF(A32='Données projet'!$A$62,'Données projet'!$B$62,AI31+AH32-AQ31)))</f>
        <v>151.6</v>
      </c>
      <c r="AJ32" s="13">
        <f>AI32*VLOOKUP('Données projet'!$B$10,Paramètres!$A$1:$I$89,3,0)*VLOOKUP('Données projet'!$B$10,Paramètres!$A$1:$I$89,5,0)</f>
        <v>132.43776</v>
      </c>
      <c r="AK32" s="13">
        <f t="shared" si="35"/>
        <v>34.559043580858436</v>
      </c>
      <c r="AL32" s="20">
        <f t="shared" si="4"/>
        <v>290.85276623666175</v>
      </c>
      <c r="AM32" s="59">
        <f t="shared" si="5"/>
        <v>582.96387734777295</v>
      </c>
      <c r="AN32" s="59">
        <f ca="1">AVERAGE(OFFSET($AM$3,0,0,'Données projet'!$E$10+1,1))-AVERAGE(OFFSET($H$3,0,0,'Données projet'!$E$10+1,1))</f>
        <v>201.61452816909701</v>
      </c>
      <c r="AO32" s="59">
        <f t="shared" si="36"/>
        <v>287.77679930887746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1.4194708792925073</v>
      </c>
      <c r="AV32" s="21">
        <f>EXP(-LN(2)/25)*AV31+(1-EXP(-LN(2)/25))/(LN(2)/25)*Calculateur!AQ32*Calculateur!AS32*VLOOKUP('Données projet'!$B$10,Paramètres!$A$1:$I$89,3,0)*0.475*44/12</f>
        <v>4.3510055379377901</v>
      </c>
      <c r="AW32" s="21">
        <f>EXP(-LN(2)/2)*AW31+(1-EXP(-LN(2)/2))/(LN(2)/2)*AQ32*AT32*VLOOKUP('Données projet'!$B$10,Paramètres!$A$1:$I$89,3,0)*0.475*44/12</f>
        <v>3.960473808202345</v>
      </c>
      <c r="AX32" s="21">
        <f t="shared" si="6"/>
        <v>9.7309502254326414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13.4</v>
      </c>
      <c r="BD32" s="12">
        <f>IF('Données projet'!$A$88&gt;35,BD31+BC32-BL31,IF(A32&lt;'Données projet'!$A$88,$BA$205^A32,IF(A32='Données projet'!$A$88,'Données projet'!$B$88,BD31+BC32-BL31)))</f>
        <v>180.60000000000005</v>
      </c>
      <c r="BE32" s="13">
        <f>BD32*VLOOKUP('Données projet'!$B$11,Paramètres!$A$1:$I$89,3,0)*VLOOKUP('Données projet'!$B$11,Paramètres!$A$1:$I$89,5,0)</f>
        <v>107.99880000000003</v>
      </c>
      <c r="BF32" s="13">
        <f t="shared" si="37"/>
        <v>28.85898360070161</v>
      </c>
      <c r="BG32" s="20">
        <f t="shared" si="7"/>
        <v>238.36063977122203</v>
      </c>
      <c r="BH32" s="59">
        <f t="shared" si="8"/>
        <v>530.47175088233314</v>
      </c>
      <c r="BI32" s="59">
        <f ca="1">AVERAGE(OFFSET($BH$3,0,0,'Données projet'!$E$11+1,1))-AVERAGE(OFFSET($H$3,0,0,'Données projet'!$E$11+1,1))</f>
        <v>225.63994281336028</v>
      </c>
      <c r="BJ32" s="59">
        <f t="shared" si="38"/>
        <v>231.19476400361157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3.0287221638090207</v>
      </c>
      <c r="BR32" s="21">
        <f>EXP(-LN(2)/2)*BR31+(1-EXP(-LN(2)/2))/(LN(2)/2)*BL32*BO32*VLOOKUP('Données projet'!$B$11,Paramètres!$A$1:$I$89,3,0)*0.475*44/12</f>
        <v>1.1505290730518831</v>
      </c>
      <c r="BS32" s="22">
        <f t="shared" si="9"/>
        <v>4.1792512368609041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170.7999999999999</v>
      </c>
      <c r="BZ32" s="13">
        <f>BY32*VLOOKUP('Données projet'!$B$12,Paramètres!$A$1:$I$89,3,0)*VLOOKUP('Données projet'!$B$12,Paramètres!$A$1:$I$89,5,0)</f>
        <v>79.934399999999954</v>
      </c>
      <c r="CA32" s="13">
        <f t="shared" si="39"/>
        <v>22.121143821921795</v>
      </c>
      <c r="CB32" s="20">
        <f t="shared" si="10"/>
        <v>177.74673882318038</v>
      </c>
      <c r="CC32" s="59">
        <f t="shared" si="11"/>
        <v>469.85784993429149</v>
      </c>
      <c r="CD32" s="59">
        <f ca="1">AVERAGE(OFFSET($CC$3,0,0,'Données projet'!$E$12+1,1))-AVERAGE(OFFSET($H$3,0,0,'Données projet'!$E$12+1,1))</f>
        <v>111.69585394603672</v>
      </c>
      <c r="CE32" s="59">
        <f t="shared" si="40"/>
        <v>162.6701214629764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1.1040824721084084</v>
      </c>
      <c r="CL32" s="21">
        <f>EXP(-LN(2)/25)*CL31+(1-EXP(-LN(2)/25))/(LN(2)/25)*Calculateur!CG32*Calculateur!CI32*VLOOKUP('Données projet'!$B$12,Paramètres!$A$1:$I$89,3,0)*0.475*44/12</f>
        <v>6.9063623979294917</v>
      </c>
      <c r="CM32" s="21">
        <f>EXP(-LN(2)/2)*CM31+(1-EXP(-LN(2)/2))/(LN(2)/2)*CG32*CJ32*VLOOKUP('Données projet'!$B$12,Paramètres!$A$1:$I$89,3,0)*0.475*44/12</f>
        <v>1.636834458239228</v>
      </c>
      <c r="CN32" s="22">
        <f t="shared" si="12"/>
        <v>9.6472793282771292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243</v>
      </c>
      <c r="L33" s="12">
        <f>VLOOKUP(A33,'Données projet'!$A$35:$I$55,9,0)</f>
        <v>8.6</v>
      </c>
      <c r="M33" s="12">
        <f t="array" ref="M33">INDEX(L:L,MIN(IF(ISNUMBER(L33:L229),ROW(L33:L229),"")))</f>
        <v>8.6</v>
      </c>
      <c r="N33" s="13">
        <f>IF('Données projet'!$A$36&gt;35,N32+M33-V32,IF(A33&lt;'Données projet'!$A$36,$K$205^A33,IF(A33='Données projet'!$A$36,'Données projet'!$B$36,N32+M33-V32)))</f>
        <v>242.99999999999997</v>
      </c>
      <c r="O33" s="13">
        <f>N33*VLOOKUP('Données projet'!$B$9,Paramètres!$A$1:$I$89,3,0)*VLOOKUP('Données projet'!$B$9,Paramètres!$A$1:$I$89,5,0)</f>
        <v>219.86639999999997</v>
      </c>
      <c r="P33" s="13">
        <f t="shared" si="33"/>
        <v>54.085847394182416</v>
      </c>
      <c r="Q33" s="20">
        <f t="shared" si="2"/>
        <v>477.13349754486762</v>
      </c>
      <c r="R33" s="59">
        <f t="shared" si="0"/>
        <v>770.46683087820088</v>
      </c>
      <c r="S33" s="59">
        <f ca="1">AVERAGE(OFFSET($R$3,0,0,'Données projet'!$E$9+1,1))-AVERAGE(OFFSET($H$3,0,0,'Données projet'!$E$9+1,1))</f>
        <v>320.93171542656671</v>
      </c>
      <c r="T33" s="59">
        <f t="shared" si="34"/>
        <v>452.7298965816143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11</v>
      </c>
      <c r="W33" s="16">
        <f>IF(ISNA(VLOOKUP(A33,'Données projet'!$A$35:$I$55,5,0)),0%,VLOOKUP(A33,'Données projet'!$A$35:$I$55,5,0)*VLOOKUP('Données projet'!$B$9,Paramètres!$A$1:$I$89,7,0))</f>
        <v>0.12</v>
      </c>
      <c r="X33" s="16">
        <f>IF(ISNA(VLOOKUP(A33,'Données projet'!$A$35:$I$55,6,0)),0%,VLOOKUP(A33,'Données projet'!$A$35:$I$55,6,0)*VLOOKUP('Données projet'!$B$9,Paramètres!$A$1:$I$89,7,0))</f>
        <v>0.06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4.7540052661654641</v>
      </c>
      <c r="AA33" s="21">
        <f>EXP(-LN(2)/25)*AA32+(1-EXP(-LN(2)/25))/(LN(2)/25)*Calculateur!V33*Calculateur!X33*VLOOKUP('Données projet'!$B$9,Paramètres!$A$1:$I$89,3,0)*0.475*44/12</f>
        <v>3.1086379999237042</v>
      </c>
      <c r="AB33" s="21">
        <f>EXP(-LN(2)/2)*AB32+(1-EXP(-LN(2)/2))/(LN(2)/2)*V33*Y33*VLOOKUP('Données projet'!$B$9,Paramètres!$A$1:$I$89,3,0)*0.475*44/12</f>
        <v>2.4773118522899922</v>
      </c>
      <c r="AC33" s="22">
        <f t="shared" si="3"/>
        <v>10.33995511837916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163</v>
      </c>
      <c r="AG33" s="12">
        <f>VLOOKUP(A33,'Données projet'!$A$61:$I$81,9,0)</f>
        <v>11.4</v>
      </c>
      <c r="AH33" s="12">
        <f t="array" ref="AH33">INDEX(AG:AG,MIN(IF(ISNUMBER(AG33:AG229),ROW(AG33:AG229),"")))</f>
        <v>11.4</v>
      </c>
      <c r="AI33" s="13">
        <f>IF('Données projet'!$A$62&gt;35,AI32+AH33-AQ32,IF(A33&lt;'Données projet'!$A$62,$AF$205^A33,IF(A33='Données projet'!$A$62,'Données projet'!$B$62,AI32+AH33-AQ32)))</f>
        <v>163</v>
      </c>
      <c r="AJ33" s="13">
        <f>AI33*VLOOKUP('Données projet'!$B$10,Paramètres!$A$1:$I$89,3,0)*VLOOKUP('Données projet'!$B$10,Paramètres!$A$1:$I$89,5,0)</f>
        <v>142.39680000000004</v>
      </c>
      <c r="AK33" s="13">
        <f t="shared" si="35"/>
        <v>36.845535084476985</v>
      </c>
      <c r="AL33" s="20">
        <f t="shared" si="4"/>
        <v>312.18040027213078</v>
      </c>
      <c r="AM33" s="59">
        <f t="shared" si="5"/>
        <v>605.51373360546404</v>
      </c>
      <c r="AN33" s="59">
        <f ca="1">AVERAGE(OFFSET($AM$3,0,0,'Données projet'!$E$10+1,1))-AVERAGE(OFFSET($H$3,0,0,'Données projet'!$E$10+1,1))</f>
        <v>201.61452816909701</v>
      </c>
      <c r="AO33" s="59">
        <f t="shared" si="36"/>
        <v>287.77679930887746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37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0.129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2.9281265485252645</v>
      </c>
      <c r="AV33" s="21">
        <f>EXP(-LN(2)/25)*AV32+(1-EXP(-LN(2)/25))/(LN(2)/25)*Calculateur!AQ33*Calculateur!AS33*VLOOKUP('Données projet'!$B$10,Paramètres!$A$1:$I$89,3,0)*0.475*44/12</f>
        <v>8.82334969769874</v>
      </c>
      <c r="AW33" s="21">
        <f>EXP(-LN(2)/2)*AW32+(1-EXP(-LN(2)/2))/(LN(2)/2)*AQ33*AT33*VLOOKUP('Données projet'!$B$10,Paramètres!$A$1:$I$89,3,0)*0.475*44/12</f>
        <v>11.949820636343453</v>
      </c>
      <c r="AX33" s="21">
        <f t="shared" si="6"/>
        <v>23.701296882567458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194</v>
      </c>
      <c r="BB33" s="12">
        <f>VLOOKUP(A33,'Données projet'!$A$87:$I$107,9,0)</f>
        <v>13.4</v>
      </c>
      <c r="BC33" s="12">
        <f t="array" ref="BC33">INDEX(BB:BB,MIN(IF(ISNUMBER(BB33:BB229),ROW(BB33:BB229),"")))</f>
        <v>13.4</v>
      </c>
      <c r="BD33" s="12">
        <f>IF('Données projet'!$A$88&gt;35,BD32+BC33-BL32,IF(A33&lt;'Données projet'!$A$88,$BA$205^A33,IF(A33='Données projet'!$A$88,'Données projet'!$B$88,BD32+BC33-BL32)))</f>
        <v>194.00000000000006</v>
      </c>
      <c r="BE33" s="13">
        <f>BD33*VLOOKUP('Données projet'!$B$11,Paramètres!$A$1:$I$89,3,0)*VLOOKUP('Données projet'!$B$11,Paramètres!$A$1:$I$89,5,0)</f>
        <v>116.01200000000003</v>
      </c>
      <c r="BF33" s="13">
        <f t="shared" si="37"/>
        <v>30.743042086238173</v>
      </c>
      <c r="BG33" s="20">
        <f t="shared" si="7"/>
        <v>255.59836496686489</v>
      </c>
      <c r="BH33" s="59">
        <f t="shared" si="8"/>
        <v>548.93169830019815</v>
      </c>
      <c r="BI33" s="59">
        <f ca="1">AVERAGE(OFFSET($BH$3,0,0,'Données projet'!$E$11+1,1))-AVERAGE(OFFSET($H$3,0,0,'Données projet'!$E$11+1,1))</f>
        <v>225.63994281336028</v>
      </c>
      <c r="BJ33" s="59">
        <f t="shared" si="38"/>
        <v>231.19476400361157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34</v>
      </c>
      <c r="BM33" s="16">
        <f>IF(ISNA(VLOOKUP(A33,'Données projet'!$A$87:$I$107,5,0)),0%,VLOOKUP(A33,'Données projet'!$A$87:$I$107,5,0)*VLOOKUP('Données projet'!$B$11,Paramètres!$A$1:$I$89,7,0))</f>
        <v>4.5000000000000005E-2</v>
      </c>
      <c r="BN33" s="16">
        <f>IF(ISNA(VLOOKUP(A33,'Données projet'!$A$87:$I$107,6,0)),0%,VLOOKUP(A33,'Données projet'!$A$87:$I$107,6,0)*VLOOKUP('Données projet'!$B$11,Paramètres!$A$1:$I$89,7,0))</f>
        <v>0.13500000000000001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1.2137268828598531</v>
      </c>
      <c r="BQ33" s="21">
        <f>EXP(-LN(2)/25)*BQ32+(1-EXP(-LN(2)/25))/(LN(2)/25)*Calculateur!BL33*Calculateur!BN33*VLOOKUP('Données projet'!$B$11,Paramètres!$A$1:$I$89,3,0)*0.475*44/12</f>
        <v>6.5727455299335915</v>
      </c>
      <c r="BR33" s="21">
        <f>EXP(-LN(2)/2)*BR32+(1-EXP(-LN(2)/2))/(LN(2)/2)*BL33*BO33*VLOOKUP('Données projet'!$B$11,Paramètres!$A$1:$I$89,3,0)*0.475*44/12</f>
        <v>7.7197110314996911</v>
      </c>
      <c r="BS33" s="22">
        <f t="shared" si="9"/>
        <v>15.506183444293136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180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179.99999999999989</v>
      </c>
      <c r="BZ33" s="13">
        <f>BY33*VLOOKUP('Données projet'!$B$12,Paramètres!$A$1:$I$89,3,0)*VLOOKUP('Données projet'!$B$12,Paramètres!$A$1:$I$89,5,0)</f>
        <v>84.239999999999938</v>
      </c>
      <c r="CA33" s="13">
        <f t="shared" si="39"/>
        <v>23.170749718409446</v>
      </c>
      <c r="CB33" s="20">
        <f t="shared" si="10"/>
        <v>187.07372242622966</v>
      </c>
      <c r="CC33" s="59">
        <f t="shared" si="11"/>
        <v>480.40705575956298</v>
      </c>
      <c r="CD33" s="59">
        <f ca="1">AVERAGE(OFFSET($CC$3,0,0,'Données projet'!$E$12+1,1))-AVERAGE(OFFSET($H$3,0,0,'Données projet'!$E$12+1,1))</f>
        <v>111.69585394603672</v>
      </c>
      <c r="CE33" s="59">
        <f t="shared" si="40"/>
        <v>162.6701214629764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50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0.16500000000000001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4.497008996555552</v>
      </c>
      <c r="CL33" s="21">
        <f>EXP(-LN(2)/25)*CL32+(1-EXP(-LN(2)/25))/(LN(2)/25)*Calculateur!CG33*Calculateur!CI33*VLOOKUP('Données projet'!$B$12,Paramètres!$A$1:$I$89,3,0)*0.475*44/12</f>
        <v>11.819206181904681</v>
      </c>
      <c r="CM33" s="21">
        <f>EXP(-LN(2)/2)*CM32+(1-EXP(-LN(2)/2))/(LN(2)/2)*CG33*CJ33*VLOOKUP('Données projet'!$B$12,Paramètres!$A$1:$I$89,3,0)*0.475*44/12</f>
        <v>9.1056874737365572</v>
      </c>
      <c r="CN33" s="22">
        <f t="shared" si="12"/>
        <v>25.421902652196792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</v>
      </c>
      <c r="N34" s="13">
        <f>IF('Données projet'!$A$36&gt;35,N33+M34-V33,IF(A34&lt;'Données projet'!$A$36,$K$205^A34,IF(A34='Données projet'!$A$36,'Données projet'!$B$36,N33+M34-V33)))</f>
        <v>238.99999999999997</v>
      </c>
      <c r="O34" s="13">
        <f>N34*VLOOKUP('Données projet'!$B$9,Paramètres!$A$1:$I$89,3,0)*VLOOKUP('Données projet'!$B$9,Paramètres!$A$1:$I$89,5,0)</f>
        <v>216.24719999999996</v>
      </c>
      <c r="P34" s="13">
        <f t="shared" si="33"/>
        <v>53.298418226645332</v>
      </c>
      <c r="Q34" s="20">
        <f t="shared" si="2"/>
        <v>469.45861841140714</v>
      </c>
      <c r="R34" s="59">
        <f t="shared" si="0"/>
        <v>762.79195174474046</v>
      </c>
      <c r="S34" s="59">
        <f ca="1">AVERAGE(OFFSET($R$3,0,0,'Données projet'!$E$9+1,1))-AVERAGE(OFFSET($H$3,0,0,'Données projet'!$E$9+1,1))</f>
        <v>320.93171542656671</v>
      </c>
      <c r="T34" s="59">
        <f t="shared" si="34"/>
        <v>452.7298965816143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4.6607821225528543</v>
      </c>
      <c r="AA34" s="21">
        <f>EXP(-LN(2)/25)*AA33+(1-EXP(-LN(2)/25))/(LN(2)/25)*Calculateur!V34*Calculateur!X34*VLOOKUP('Données projet'!$B$9,Paramètres!$A$1:$I$89,3,0)*0.475*44/12</f>
        <v>3.0236321303396227</v>
      </c>
      <c r="AB34" s="21">
        <f>EXP(-LN(2)/2)*AB33+(1-EXP(-LN(2)/2))/(LN(2)/2)*V34*Y34*VLOOKUP('Données projet'!$B$9,Paramètres!$A$1:$I$89,3,0)*0.475*44/12</f>
        <v>1.7517240098680604</v>
      </c>
      <c r="AC34" s="22">
        <f t="shared" si="3"/>
        <v>9.4361382627605366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10.6</v>
      </c>
      <c r="AI34" s="13">
        <f>IF('Données projet'!$A$62&gt;35,AI33+AH34-AQ33,IF(A34&lt;'Données projet'!$A$62,$AF$205^A34,IF(A34='Données projet'!$A$62,'Données projet'!$B$62,AI33+AH34-AQ33)))</f>
        <v>136.6</v>
      </c>
      <c r="AJ34" s="13">
        <f>AI34*VLOOKUP('Données projet'!$B$10,Paramètres!$A$1:$I$89,3,0)*VLOOKUP('Données projet'!$B$10,Paramètres!$A$1:$I$89,5,0)</f>
        <v>119.33376000000001</v>
      </c>
      <c r="AK34" s="13">
        <f t="shared" si="35"/>
        <v>31.519559440518702</v>
      </c>
      <c r="AL34" s="20">
        <f t="shared" si="4"/>
        <v>262.7361980255701</v>
      </c>
      <c r="AM34" s="59">
        <f t="shared" si="5"/>
        <v>556.06953135890342</v>
      </c>
      <c r="AN34" s="59">
        <f ca="1">AVERAGE(OFFSET($AM$3,0,0,'Données projet'!$E$10+1,1))-AVERAGE(OFFSET($H$3,0,0,'Données projet'!$E$10+1,1))</f>
        <v>201.61452816909701</v>
      </c>
      <c r="AO34" s="59">
        <f t="shared" si="36"/>
        <v>287.77679930887746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2.8707077728895278</v>
      </c>
      <c r="AV34" s="21">
        <f>EXP(-LN(2)/25)*AV33+(1-EXP(-LN(2)/25))/(LN(2)/25)*Calculateur!AQ34*Calculateur!AS34*VLOOKUP('Données projet'!$B$10,Paramètres!$A$1:$I$89,3,0)*0.475*44/12</f>
        <v>8.5820747362153735</v>
      </c>
      <c r="AW34" s="21">
        <f>EXP(-LN(2)/2)*AW33+(1-EXP(-LN(2)/2))/(LN(2)/2)*AQ34*AT34*VLOOKUP('Données projet'!$B$10,Paramètres!$A$1:$I$89,3,0)*0.475*44/12</f>
        <v>8.4497992059214013</v>
      </c>
      <c r="AX34" s="21">
        <f t="shared" si="6"/>
        <v>19.902581715026301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14.6</v>
      </c>
      <c r="BD34" s="12">
        <f>IF('Données projet'!$A$88&gt;35,BD33+BC34-BL33,IF(A34&lt;'Données projet'!$A$88,$BA$205^A34,IF(A34='Données projet'!$A$88,'Données projet'!$B$88,BD33+BC34-BL33)))</f>
        <v>174.60000000000005</v>
      </c>
      <c r="BE34" s="13">
        <f>BD34*VLOOKUP('Données projet'!$B$11,Paramètres!$A$1:$I$89,3,0)*VLOOKUP('Données projet'!$B$11,Paramètres!$A$1:$I$89,5,0)</f>
        <v>104.41080000000004</v>
      </c>
      <c r="BF34" s="13">
        <f t="shared" si="37"/>
        <v>28.010155571424168</v>
      </c>
      <c r="BG34" s="20">
        <f t="shared" si="7"/>
        <v>230.63316428689714</v>
      </c>
      <c r="BH34" s="59">
        <f t="shared" si="8"/>
        <v>523.96649762023048</v>
      </c>
      <c r="BI34" s="59">
        <f ca="1">AVERAGE(OFFSET($BH$3,0,0,'Données projet'!$E$11+1,1))-AVERAGE(OFFSET($H$3,0,0,'Données projet'!$E$11+1,1))</f>
        <v>225.63994281336028</v>
      </c>
      <c r="BJ34" s="59">
        <f t="shared" si="38"/>
        <v>231.19476400361157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1.1899264389872712</v>
      </c>
      <c r="BQ34" s="21">
        <f>EXP(-LN(2)/25)*BQ33+(1-EXP(-LN(2)/25))/(LN(2)/25)*Calculateur!BL34*Calculateur!BN34*VLOOKUP('Données projet'!$B$11,Paramètres!$A$1:$I$89,3,0)*0.475*44/12</f>
        <v>6.3930134577718922</v>
      </c>
      <c r="BR34" s="21">
        <f>EXP(-LN(2)/2)*BR33+(1-EXP(-LN(2)/2))/(LN(2)/2)*BL34*BO34*VLOOKUP('Données projet'!$B$11,Paramètres!$A$1:$I$89,3,0)*0.475*44/12</f>
        <v>5.4586600191740295</v>
      </c>
      <c r="BS34" s="22">
        <f t="shared" si="9"/>
        <v>13.041599915933194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</v>
      </c>
      <c r="BY34" s="12">
        <f>IF('Données projet'!$A$114&gt;35,BY33+BX34-CG33,IF(A34&lt;'Données projet'!$A$114,$BV$205^A34,IF(A34='Données projet'!$A$114,'Données projet'!$B$114,BY33+BX34-CG33)))</f>
        <v>139.99999999999989</v>
      </c>
      <c r="BZ34" s="13">
        <f>BY34*VLOOKUP('Données projet'!$B$12,Paramètres!$A$1:$I$89,3,0)*VLOOKUP('Données projet'!$B$12,Paramètres!$A$1:$I$89,5,0)</f>
        <v>65.519999999999939</v>
      </c>
      <c r="CA34" s="13">
        <f t="shared" si="39"/>
        <v>18.556669503136707</v>
      </c>
      <c r="CB34" s="20">
        <f t="shared" si="10"/>
        <v>146.43353271796298</v>
      </c>
      <c r="CC34" s="59">
        <f t="shared" si="11"/>
        <v>439.76686605129629</v>
      </c>
      <c r="CD34" s="59">
        <f ca="1">AVERAGE(OFFSET($CC$3,0,0,'Données projet'!$E$12+1,1))-AVERAGE(OFFSET($H$3,0,0,'Données projet'!$E$12+1,1))</f>
        <v>111.69585394603672</v>
      </c>
      <c r="CE34" s="59">
        <f t="shared" si="40"/>
        <v>162.6701214629764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4.4088253930377466</v>
      </c>
      <c r="CL34" s="21">
        <f>EXP(-LN(2)/25)*CL33+(1-EXP(-LN(2)/25))/(LN(2)/25)*Calculateur!CG34*Calculateur!CI34*VLOOKUP('Données projet'!$B$12,Paramètres!$A$1:$I$89,3,0)*0.475*44/12</f>
        <v>11.496009367315457</v>
      </c>
      <c r="CM34" s="21">
        <f>EXP(-LN(2)/2)*CM33+(1-EXP(-LN(2)/2))/(LN(2)/2)*CG34*CJ34*VLOOKUP('Données projet'!$B$12,Paramètres!$A$1:$I$89,3,0)*0.475*44/12</f>
        <v>6.4386933600445229</v>
      </c>
      <c r="CN34" s="22">
        <f t="shared" si="12"/>
        <v>22.343528120397728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</v>
      </c>
      <c r="N35" s="13">
        <f>IF('Données projet'!$A$36&gt;35,N34+M35-V34,IF(A35&lt;'Données projet'!$A$36,$K$205^A35,IF(A35='Données projet'!$A$36,'Données projet'!$B$36,N34+M35-V34)))</f>
        <v>245.99999999999997</v>
      </c>
      <c r="O35" s="13">
        <f>N35*VLOOKUP('Données projet'!$B$9,Paramètres!$A$1:$I$89,3,0)*VLOOKUP('Données projet'!$B$9,Paramètres!$A$1:$I$89,5,0)</f>
        <v>222.58079999999998</v>
      </c>
      <c r="P35" s="13">
        <f t="shared" si="33"/>
        <v>54.675428546153199</v>
      </c>
      <c r="Q35" s="20">
        <f t="shared" ref="Q35:Q66" si="53">(O35+P35)*0.475*44/12</f>
        <v>482.88793138455003</v>
      </c>
      <c r="R35" s="59">
        <f t="shared" si="0"/>
        <v>776.22126471788329</v>
      </c>
      <c r="S35" s="59">
        <f ca="1">AVERAGE(OFFSET($R$3,0,0,'Données projet'!$E$9+1,1))-AVERAGE(OFFSET($H$3,0,0,'Données projet'!$E$9+1,1))</f>
        <v>320.93171542656671</v>
      </c>
      <c r="T35" s="59">
        <f t="shared" si="34"/>
        <v>452.7298965816143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4.5693870279259849</v>
      </c>
      <c r="AA35" s="21">
        <f>EXP(-LN(2)/25)*AA34+(1-EXP(-LN(2)/25))/(LN(2)/25)*Calculateur!V35*Calculateur!X35*VLOOKUP('Données projet'!$B$9,Paramètres!$A$1:$I$89,3,0)*0.475*44/12</f>
        <v>2.9409507507295825</v>
      </c>
      <c r="AB35" s="21">
        <f>EXP(-LN(2)/2)*AB34+(1-EXP(-LN(2)/2))/(LN(2)/2)*V35*Y35*VLOOKUP('Données projet'!$B$9,Paramètres!$A$1:$I$89,3,0)*0.475*44/12</f>
        <v>1.2386559261449963</v>
      </c>
      <c r="AC35" s="22">
        <f t="shared" si="3"/>
        <v>8.7489937048005633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10.6</v>
      </c>
      <c r="AI35" s="13">
        <f>IF('Données projet'!$A$62&gt;35,AI34+AH35-AQ34,IF(A35&lt;'Données projet'!$A$62,$AF$205^A35,IF(A35='Données projet'!$A$62,'Données projet'!$B$62,AI34+AH35-AQ34)))</f>
        <v>147.19999999999999</v>
      </c>
      <c r="AJ35" s="13">
        <f>AI35*VLOOKUP('Données projet'!$B$10,Paramètres!$A$1:$I$89,3,0)*VLOOKUP('Données projet'!$B$10,Paramètres!$A$1:$I$89,5,0)</f>
        <v>128.59392</v>
      </c>
      <c r="AK35" s="13">
        <f t="shared" si="35"/>
        <v>33.671250175837564</v>
      </c>
      <c r="AL35" s="20">
        <f t="shared" si="4"/>
        <v>282.61183805625041</v>
      </c>
      <c r="AM35" s="59">
        <f t="shared" si="5"/>
        <v>575.94517138958372</v>
      </c>
      <c r="AN35" s="59">
        <f ca="1">AVERAGE(OFFSET($AM$3,0,0,'Données projet'!$E$10+1,1))-AVERAGE(OFFSET($H$3,0,0,'Données projet'!$E$10+1,1))</f>
        <v>201.61452816909701</v>
      </c>
      <c r="AO35" s="59">
        <f t="shared" si="36"/>
        <v>287.77679930887746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2.8144149444220128</v>
      </c>
      <c r="AV35" s="21">
        <f>EXP(-LN(2)/25)*AV34+(1-EXP(-LN(2)/25))/(LN(2)/25)*Calculateur!AQ35*Calculateur!AS35*VLOOKUP('Données projet'!$B$10,Paramètres!$A$1:$I$89,3,0)*0.475*44/12</f>
        <v>8.3473974512418678</v>
      </c>
      <c r="AW35" s="21">
        <f>EXP(-LN(2)/2)*AW34+(1-EXP(-LN(2)/2))/(LN(2)/2)*AQ35*AT35*VLOOKUP('Données projet'!$B$10,Paramètres!$A$1:$I$89,3,0)*0.475*44/12</f>
        <v>5.9749103181717276</v>
      </c>
      <c r="AX35" s="21">
        <f t="shared" si="6"/>
        <v>17.136722713835606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14.6</v>
      </c>
      <c r="BD35" s="12">
        <f>IF('Données projet'!$A$88&gt;35,BD34+BC35-BL34,IF(A35&lt;'Données projet'!$A$88,$BA$205^A35,IF(A35='Données projet'!$A$88,'Données projet'!$B$88,BD34+BC35-BL34)))</f>
        <v>189.20000000000005</v>
      </c>
      <c r="BE35" s="13">
        <f>BD35*VLOOKUP('Données projet'!$B$11,Paramètres!$A$1:$I$89,3,0)*VLOOKUP('Données projet'!$B$11,Paramètres!$A$1:$I$89,5,0)</f>
        <v>113.14160000000004</v>
      </c>
      <c r="BF35" s="13">
        <f t="shared" si="37"/>
        <v>30.069952587742019</v>
      </c>
      <c r="BG35" s="20">
        <f t="shared" si="7"/>
        <v>249.42678742365072</v>
      </c>
      <c r="BH35" s="59">
        <f t="shared" si="8"/>
        <v>542.76012075698407</v>
      </c>
      <c r="BI35" s="59">
        <f ca="1">AVERAGE(OFFSET($BH$3,0,0,'Données projet'!$E$11+1,1))-AVERAGE(OFFSET($H$3,0,0,'Données projet'!$E$11+1,1))</f>
        <v>225.63994281336028</v>
      </c>
      <c r="BJ35" s="59">
        <f t="shared" si="38"/>
        <v>231.19476400361157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1.1665927073021936</v>
      </c>
      <c r="BQ35" s="21">
        <f>EXP(-LN(2)/25)*BQ34+(1-EXP(-LN(2)/25))/(LN(2)/25)*Calculateur!BL35*Calculateur!BN35*VLOOKUP('Données projet'!$B$11,Paramètres!$A$1:$I$89,3,0)*0.475*44/12</f>
        <v>6.2181961685751537</v>
      </c>
      <c r="BR35" s="21">
        <f>EXP(-LN(2)/2)*BR34+(1-EXP(-LN(2)/2))/(LN(2)/2)*BL35*BO35*VLOOKUP('Données projet'!$B$11,Paramètres!$A$1:$I$89,3,0)*0.475*44/12</f>
        <v>3.859855515749846</v>
      </c>
      <c r="BS35" s="22">
        <f t="shared" si="9"/>
        <v>11.244644391627194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</v>
      </c>
      <c r="BY35" s="12">
        <f>IF('Données projet'!$A$114&gt;35,BY34+BX35-CG34,IF(A35&lt;'Données projet'!$A$114,$BV$205^A35,IF(A35='Données projet'!$A$114,'Données projet'!$B$114,BY34+BX35-CG34)))</f>
        <v>149.99999999999989</v>
      </c>
      <c r="BZ35" s="13">
        <f>BY35*VLOOKUP('Données projet'!$B$12,Paramètres!$A$1:$I$89,3,0)*VLOOKUP('Données projet'!$B$12,Paramètres!$A$1:$I$89,5,0)</f>
        <v>70.199999999999946</v>
      </c>
      <c r="CA35" s="13">
        <f t="shared" si="39"/>
        <v>19.723116370112184</v>
      </c>
      <c r="CB35" s="20">
        <f t="shared" si="10"/>
        <v>156.61609434461192</v>
      </c>
      <c r="CC35" s="59">
        <f t="shared" si="11"/>
        <v>449.94942767794521</v>
      </c>
      <c r="CD35" s="59">
        <f ca="1">AVERAGE(OFFSET($CC$3,0,0,'Données projet'!$E$12+1,1))-AVERAGE(OFFSET($H$3,0,0,'Données projet'!$E$12+1,1))</f>
        <v>111.69585394603672</v>
      </c>
      <c r="CE35" s="59">
        <f t="shared" si="40"/>
        <v>162.6701214629764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4.3223710161982378</v>
      </c>
      <c r="CL35" s="21">
        <f>EXP(-LN(2)/25)*CL34+(1-EXP(-LN(2)/25))/(LN(2)/25)*Calculateur!CG35*Calculateur!CI35*VLOOKUP('Données projet'!$B$12,Paramètres!$A$1:$I$89,3,0)*0.475*44/12</f>
        <v>11.181650386617358</v>
      </c>
      <c r="CM35" s="21">
        <f>EXP(-LN(2)/2)*CM34+(1-EXP(-LN(2)/2))/(LN(2)/2)*CG35*CJ35*VLOOKUP('Données projet'!$B$12,Paramètres!$A$1:$I$89,3,0)*0.475*44/12</f>
        <v>4.5528437368682795</v>
      </c>
      <c r="CN35" s="22">
        <f t="shared" si="12"/>
        <v>20.056865139683875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</v>
      </c>
      <c r="N36" s="13">
        <f>IF('Données projet'!$A$36&gt;35,N35+M36-V35,IF(A36&lt;'Données projet'!$A$36,$K$205^A36,IF(A36='Données projet'!$A$36,'Données projet'!$B$36,N35+M36-V35)))</f>
        <v>252.99999999999997</v>
      </c>
      <c r="O36" s="13">
        <f>N36*VLOOKUP('Données projet'!$B$9,Paramètres!$A$1:$I$89,3,0)*VLOOKUP('Données projet'!$B$9,Paramètres!$A$1:$I$89,5,0)</f>
        <v>228.91439999999997</v>
      </c>
      <c r="P36" s="13">
        <f t="shared" si="33"/>
        <v>56.047884834417424</v>
      </c>
      <c r="Q36" s="20">
        <f t="shared" si="53"/>
        <v>496.30931275327697</v>
      </c>
      <c r="R36" s="59">
        <f t="shared" si="0"/>
        <v>789.64264608661028</v>
      </c>
      <c r="S36" s="59">
        <f ca="1">AVERAGE(OFFSET($R$3,0,0,'Données projet'!$E$9+1,1))-AVERAGE(OFFSET($H$3,0,0,'Données projet'!$E$9+1,1))</f>
        <v>320.93171542656671</v>
      </c>
      <c r="T36" s="59">
        <f t="shared" si="34"/>
        <v>452.7298965816143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4.4797841353592451</v>
      </c>
      <c r="AA36" s="21">
        <f>EXP(-LN(2)/25)*AA35+(1-EXP(-LN(2)/25))/(LN(2)/25)*Calculateur!V36*Calculateur!X36*VLOOKUP('Données projet'!$B$9,Paramètres!$A$1:$I$89,3,0)*0.475*44/12</f>
        <v>2.8605302977930038</v>
      </c>
      <c r="AB36" s="21">
        <f>EXP(-LN(2)/2)*AB35+(1-EXP(-LN(2)/2))/(LN(2)/2)*V36*Y36*VLOOKUP('Données projet'!$B$9,Paramètres!$A$1:$I$89,3,0)*0.475*44/12</f>
        <v>0.87586200493403032</v>
      </c>
      <c r="AC36" s="22">
        <f t="shared" si="3"/>
        <v>8.2161764380862792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10.6</v>
      </c>
      <c r="AI36" s="13">
        <f>IF('Données projet'!$A$62&gt;35,AI35+AH36-AQ35,IF(A36&lt;'Données projet'!$A$62,$AF$205^A36,IF(A36='Données projet'!$A$62,'Données projet'!$B$62,AI35+AH36-AQ35)))</f>
        <v>157.79999999999998</v>
      </c>
      <c r="AJ36" s="13">
        <f>AI36*VLOOKUP('Données projet'!$B$10,Paramètres!$A$1:$I$89,3,0)*VLOOKUP('Données projet'!$B$10,Paramètres!$A$1:$I$89,5,0)</f>
        <v>137.85408000000001</v>
      </c>
      <c r="AK36" s="13">
        <f t="shared" si="35"/>
        <v>35.804964283629964</v>
      </c>
      <c r="AL36" s="20">
        <f t="shared" si="4"/>
        <v>302.45616879398887</v>
      </c>
      <c r="AM36" s="59">
        <f t="shared" si="5"/>
        <v>595.78950212732218</v>
      </c>
      <c r="AN36" s="59">
        <f ca="1">AVERAGE(OFFSET($AM$3,0,0,'Données projet'!$E$10+1,1))-AVERAGE(OFFSET($H$3,0,0,'Données projet'!$E$10+1,1))</f>
        <v>201.61452816909701</v>
      </c>
      <c r="AO36" s="59">
        <f t="shared" si="36"/>
        <v>287.77679930887746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2.7592259839855107</v>
      </c>
      <c r="AV36" s="21">
        <f>EXP(-LN(2)/25)*AV35+(1-EXP(-LN(2)/25))/(LN(2)/25)*Calculateur!AQ36*Calculateur!AS36*VLOOKUP('Données projet'!$B$10,Paramètres!$A$1:$I$89,3,0)*0.475*44/12</f>
        <v>8.1191374289671057</v>
      </c>
      <c r="AW36" s="21">
        <f>EXP(-LN(2)/2)*AW35+(1-EXP(-LN(2)/2))/(LN(2)/2)*AQ36*AT36*VLOOKUP('Données projet'!$B$10,Paramètres!$A$1:$I$89,3,0)*0.475*44/12</f>
        <v>4.2248996029607016</v>
      </c>
      <c r="AX36" s="21">
        <f t="shared" si="6"/>
        <v>15.103263015913317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14.6</v>
      </c>
      <c r="BD36" s="12">
        <f>IF('Données projet'!$A$88&gt;35,BD35+BC36-BL35,IF(A36&lt;'Données projet'!$A$88,$BA$205^A36,IF(A36='Données projet'!$A$88,'Données projet'!$B$88,BD35+BC36-BL35)))</f>
        <v>203.80000000000004</v>
      </c>
      <c r="BE36" s="13">
        <f>BD36*VLOOKUP('Données projet'!$B$11,Paramètres!$A$1:$I$89,3,0)*VLOOKUP('Données projet'!$B$11,Paramètres!$A$1:$I$89,5,0)</f>
        <v>121.87240000000003</v>
      </c>
      <c r="BF36" s="13">
        <f t="shared" si="37"/>
        <v>32.111311550408985</v>
      </c>
      <c r="BG36" s="20">
        <f t="shared" si="7"/>
        <v>268.1882976169623</v>
      </c>
      <c r="BH36" s="59">
        <f t="shared" si="8"/>
        <v>561.52163095029562</v>
      </c>
      <c r="BI36" s="59">
        <f ca="1">AVERAGE(OFFSET($BH$3,0,0,'Données projet'!$E$11+1,1))-AVERAGE(OFFSET($H$3,0,0,'Données projet'!$E$11+1,1))</f>
        <v>225.63994281336028</v>
      </c>
      <c r="BJ36" s="59">
        <f t="shared" si="38"/>
        <v>231.19476400361157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1.143716535863289</v>
      </c>
      <c r="BQ36" s="21">
        <f>EXP(-LN(2)/25)*BQ35+(1-EXP(-LN(2)/25))/(LN(2)/25)*Calculateur!BL36*Calculateur!BN36*VLOOKUP('Données projet'!$B$11,Paramètres!$A$1:$I$89,3,0)*0.475*44/12</f>
        <v>6.0481592673447411</v>
      </c>
      <c r="BR36" s="21">
        <f>EXP(-LN(2)/2)*BR35+(1-EXP(-LN(2)/2))/(LN(2)/2)*BL36*BO36*VLOOKUP('Données projet'!$B$11,Paramètres!$A$1:$I$89,3,0)*0.475*44/12</f>
        <v>2.7293300095870152</v>
      </c>
      <c r="BS36" s="22">
        <f t="shared" si="9"/>
        <v>9.921205812795046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</v>
      </c>
      <c r="BY36" s="12">
        <f>IF('Données projet'!$A$114&gt;35,BY35+BX36-CG35,IF(A36&lt;'Données projet'!$A$114,$BV$205^A36,IF(A36='Données projet'!$A$114,'Données projet'!$B$114,BY35+BX36-CG35)))</f>
        <v>159.99999999999989</v>
      </c>
      <c r="BZ36" s="13">
        <f>BY36*VLOOKUP('Données projet'!$B$12,Paramètres!$A$1:$I$89,3,0)*VLOOKUP('Données projet'!$B$12,Paramètres!$A$1:$I$89,5,0)</f>
        <v>74.879999999999953</v>
      </c>
      <c r="CA36" s="13">
        <f t="shared" si="39"/>
        <v>20.880539585643213</v>
      </c>
      <c r="CB36" s="20">
        <f t="shared" si="10"/>
        <v>166.78293977832848</v>
      </c>
      <c r="CC36" s="59">
        <f t="shared" si="11"/>
        <v>460.11627311166183</v>
      </c>
      <c r="CD36" s="59">
        <f ca="1">AVERAGE(OFFSET($CC$3,0,0,'Données projet'!$E$12+1,1))-AVERAGE(OFFSET($H$3,0,0,'Données projet'!$E$12+1,1))</f>
        <v>111.69585394603672</v>
      </c>
      <c r="CE36" s="59">
        <f t="shared" si="40"/>
        <v>162.6701214629764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4.2376119569565889</v>
      </c>
      <c r="CL36" s="21">
        <f>EXP(-LN(2)/25)*CL35+(1-EXP(-LN(2)/25))/(LN(2)/25)*Calculateur!CG36*Calculateur!CI36*VLOOKUP('Données projet'!$B$12,Paramètres!$A$1:$I$89,3,0)*0.475*44/12</f>
        <v>10.875887568777868</v>
      </c>
      <c r="CM36" s="21">
        <f>EXP(-LN(2)/2)*CM35+(1-EXP(-LN(2)/2))/(LN(2)/2)*CG36*CJ36*VLOOKUP('Données projet'!$B$12,Paramètres!$A$1:$I$89,3,0)*0.475*44/12</f>
        <v>3.2193466800222619</v>
      </c>
      <c r="CN36" s="22">
        <f t="shared" si="12"/>
        <v>18.33284620575672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</v>
      </c>
      <c r="N37" s="13">
        <f>IF('Données projet'!$A$36&gt;35,N36+M37-V36,IF(A37&lt;'Données projet'!$A$36,$K$205^A37,IF(A37='Données projet'!$A$36,'Données projet'!$B$36,N36+M37-V36)))</f>
        <v>260</v>
      </c>
      <c r="O37" s="13">
        <f>N37*VLOOKUP('Données projet'!$B$9,Paramètres!$A$1:$I$89,3,0)*VLOOKUP('Données projet'!$B$9,Paramètres!$A$1:$I$89,5,0)</f>
        <v>235.24799999999999</v>
      </c>
      <c r="P37" s="13">
        <f t="shared" si="33"/>
        <v>57.41592756883739</v>
      </c>
      <c r="Q37" s="20">
        <f t="shared" si="53"/>
        <v>509.72300718239177</v>
      </c>
      <c r="R37" s="59">
        <f t="shared" si="0"/>
        <v>803.05634051572508</v>
      </c>
      <c r="S37" s="59">
        <f ca="1">AVERAGE(OFFSET($R$3,0,0,'Données projet'!$E$9+1,1))-AVERAGE(OFFSET($H$3,0,0,'Données projet'!$E$9+1,1))</f>
        <v>320.93171542656671</v>
      </c>
      <c r="T37" s="59">
        <f t="shared" si="34"/>
        <v>452.7298965816143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4.3919383008633712</v>
      </c>
      <c r="AA37" s="21">
        <f>EXP(-LN(2)/25)*AA36+(1-EXP(-LN(2)/25))/(LN(2)/25)*Calculateur!V37*Calculateur!X37*VLOOKUP('Données projet'!$B$9,Paramètres!$A$1:$I$89,3,0)*0.475*44/12</f>
        <v>2.7823089463711037</v>
      </c>
      <c r="AB37" s="21">
        <f>EXP(-LN(2)/2)*AB36+(1-EXP(-LN(2)/2))/(LN(2)/2)*V37*Y37*VLOOKUP('Données projet'!$B$9,Paramètres!$A$1:$I$89,3,0)*0.475*44/12</f>
        <v>0.61932796307249827</v>
      </c>
      <c r="AC37" s="22">
        <f t="shared" si="3"/>
        <v>7.7935752103069733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10.6</v>
      </c>
      <c r="AI37" s="13">
        <f>IF('Données projet'!$A$62&gt;35,AI36+AH37-AQ36,IF(A37&lt;'Données projet'!$A$62,$AF$205^A37,IF(A37='Données projet'!$A$62,'Données projet'!$B$62,AI36+AH37-AQ36)))</f>
        <v>168.39999999999998</v>
      </c>
      <c r="AJ37" s="13">
        <f>AI37*VLOOKUP('Données projet'!$B$10,Paramètres!$A$1:$I$89,3,0)*VLOOKUP('Données projet'!$B$10,Paramètres!$A$1:$I$89,5,0)</f>
        <v>147.11424</v>
      </c>
      <c r="AK37" s="13">
        <f t="shared" si="35"/>
        <v>37.922046712608186</v>
      </c>
      <c r="AL37" s="20">
        <f t="shared" si="4"/>
        <v>322.27153269112591</v>
      </c>
      <c r="AM37" s="59">
        <f t="shared" si="5"/>
        <v>615.60486602445917</v>
      </c>
      <c r="AN37" s="59">
        <f ca="1">AVERAGE(OFFSET($AM$3,0,0,'Données projet'!$E$10+1,1))-AVERAGE(OFFSET($H$3,0,0,'Données projet'!$E$10+1,1))</f>
        <v>201.61452816909701</v>
      </c>
      <c r="AO37" s="59">
        <f t="shared" si="36"/>
        <v>287.77679930887746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2.7051192454012263</v>
      </c>
      <c r="AV37" s="21">
        <f>EXP(-LN(2)/25)*AV36+(1-EXP(-LN(2)/25))/(LN(2)/25)*Calculateur!AQ37*Calculateur!AS37*VLOOKUP('Données projet'!$B$10,Paramètres!$A$1:$I$89,3,0)*0.475*44/12</f>
        <v>7.8971191890051191</v>
      </c>
      <c r="AW37" s="21">
        <f>EXP(-LN(2)/2)*AW36+(1-EXP(-LN(2)/2))/(LN(2)/2)*AQ37*AT37*VLOOKUP('Données projet'!$B$10,Paramètres!$A$1:$I$89,3,0)*0.475*44/12</f>
        <v>2.9874551590858647</v>
      </c>
      <c r="AX37" s="21">
        <f t="shared" si="6"/>
        <v>13.589693593492211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14.6</v>
      </c>
      <c r="BD37" s="12">
        <f>IF('Données projet'!$A$88&gt;35,BD36+BC37-BL36,IF(A37&lt;'Données projet'!$A$88,$BA$205^A37,IF(A37='Données projet'!$A$88,'Données projet'!$B$88,BD36+BC37-BL36)))</f>
        <v>218.40000000000003</v>
      </c>
      <c r="BE37" s="13">
        <f>BD37*VLOOKUP('Données projet'!$B$11,Paramètres!$A$1:$I$89,3,0)*VLOOKUP('Données projet'!$B$11,Paramètres!$A$1:$I$89,5,0)</f>
        <v>130.60320000000004</v>
      </c>
      <c r="BF37" s="13">
        <f t="shared" si="37"/>
        <v>34.135703567016428</v>
      </c>
      <c r="BG37" s="20">
        <f t="shared" si="7"/>
        <v>286.92025704588701</v>
      </c>
      <c r="BH37" s="59">
        <f t="shared" si="8"/>
        <v>580.25359037922033</v>
      </c>
      <c r="BI37" s="59">
        <f ca="1">AVERAGE(OFFSET($BH$3,0,0,'Données projet'!$E$11+1,1))-AVERAGE(OFFSET($H$3,0,0,'Données projet'!$E$11+1,1))</f>
        <v>225.63994281336028</v>
      </c>
      <c r="BJ37" s="59">
        <f t="shared" si="38"/>
        <v>231.19476400361157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1.1212889521932148</v>
      </c>
      <c r="BQ37" s="21">
        <f>EXP(-LN(2)/25)*BQ36+(1-EXP(-LN(2)/25))/(LN(2)/25)*Calculateur!BL37*Calculateur!BN37*VLOOKUP('Données projet'!$B$11,Paramètres!$A$1:$I$89,3,0)*0.475*44/12</f>
        <v>5.8827720341203262</v>
      </c>
      <c r="BR37" s="21">
        <f>EXP(-LN(2)/2)*BR36+(1-EXP(-LN(2)/2))/(LN(2)/2)*BL37*BO37*VLOOKUP('Données projet'!$B$11,Paramètres!$A$1:$I$89,3,0)*0.475*44/12</f>
        <v>1.9299277578749234</v>
      </c>
      <c r="BS37" s="22">
        <f t="shared" si="9"/>
        <v>8.9339887441884649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</v>
      </c>
      <c r="BY37" s="12">
        <f>IF('Données projet'!$A$114&gt;35,BY36+BX37-CG36,IF(A37&lt;'Données projet'!$A$114,$BV$205^A37,IF(A37='Données projet'!$A$114,'Données projet'!$B$114,BY36+BX37-CG36)))</f>
        <v>169.99999999999989</v>
      </c>
      <c r="BZ37" s="13">
        <f>BY37*VLOOKUP('Données projet'!$B$12,Paramètres!$A$1:$I$89,3,0)*VLOOKUP('Données projet'!$B$12,Paramètres!$A$1:$I$89,5,0)</f>
        <v>79.559999999999945</v>
      </c>
      <c r="CA37" s="13">
        <f t="shared" si="39"/>
        <v>22.029567333453301</v>
      </c>
      <c r="CB37" s="20">
        <f t="shared" si="10"/>
        <v>176.93516310576442</v>
      </c>
      <c r="CC37" s="59">
        <f t="shared" si="11"/>
        <v>470.2684964390977</v>
      </c>
      <c r="CD37" s="59">
        <f ca="1">AVERAGE(OFFSET($CC$3,0,0,'Données projet'!$E$12+1,1))-AVERAGE(OFFSET($H$3,0,0,'Données projet'!$E$12+1,1))</f>
        <v>111.69585394603672</v>
      </c>
      <c r="CE37" s="59">
        <f t="shared" si="40"/>
        <v>162.6701214629764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4.154514971168747</v>
      </c>
      <c r="CL37" s="21">
        <f>EXP(-LN(2)/25)*CL36+(1-EXP(-LN(2)/25))/(LN(2)/25)*Calculateur!CG37*Calculateur!CI37*VLOOKUP('Données projet'!$B$12,Paramètres!$A$1:$I$89,3,0)*0.475*44/12</f>
        <v>10.578485851271568</v>
      </c>
      <c r="CM37" s="21">
        <f>EXP(-LN(2)/2)*CM36+(1-EXP(-LN(2)/2))/(LN(2)/2)*CG37*CJ37*VLOOKUP('Données projet'!$B$12,Paramètres!$A$1:$I$89,3,0)*0.475*44/12</f>
        <v>2.2764218684341397</v>
      </c>
      <c r="CN37" s="22">
        <f t="shared" si="12"/>
        <v>17.009422690874452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267</v>
      </c>
      <c r="L38" s="12">
        <f>VLOOKUP(A38,'Données projet'!$A$35:$I$55,9,0)</f>
        <v>7</v>
      </c>
      <c r="M38" s="12">
        <f t="array" ref="M38">INDEX(L:L,MIN(IF(ISNUMBER(L38:L234),ROW(L38:L234),"")))</f>
        <v>7</v>
      </c>
      <c r="N38" s="13">
        <f>IF('Données projet'!$A$36&gt;35,N37+M38-V37,IF(A38&lt;'Données projet'!$A$36,$K$205^A38,IF(A38='Données projet'!$A$36,'Données projet'!$B$36,N37+M38-V37)))</f>
        <v>267</v>
      </c>
      <c r="O38" s="13">
        <f>N38*VLOOKUP('Données projet'!$B$9,Paramètres!$A$1:$I$89,3,0)*VLOOKUP('Données projet'!$B$9,Paramètres!$A$1:$I$89,5,0)</f>
        <v>241.58159999999998</v>
      </c>
      <c r="P38" s="13">
        <f t="shared" si="33"/>
        <v>58.779689232021951</v>
      </c>
      <c r="Q38" s="20">
        <f t="shared" si="53"/>
        <v>523.12924541243819</v>
      </c>
      <c r="R38" s="59">
        <f t="shared" si="0"/>
        <v>816.46257874577145</v>
      </c>
      <c r="S38" s="59">
        <f ca="1">AVERAGE(OFFSET($R$3,0,0,'Données projet'!$E$9+1,1))-AVERAGE(OFFSET($H$3,0,0,'Données projet'!$E$9+1,1))</f>
        <v>320.93171542656671</v>
      </c>
      <c r="T38" s="59">
        <f t="shared" si="34"/>
        <v>452.7298965816143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9</v>
      </c>
      <c r="W38" s="16">
        <f>IF(ISNA(VLOOKUP(A38,'Données projet'!$A$35:$I$55,5,0)),0%,VLOOKUP(A38,'Données projet'!$A$35:$I$55,5,0)*VLOOKUP('Données projet'!$B$9,Paramètres!$A$1:$I$89,7,0))</f>
        <v>0.12</v>
      </c>
      <c r="X38" s="16">
        <f>IF(ISNA(VLOOKUP(A38,'Données projet'!$A$35:$I$55,6,0)),0%,VLOOKUP(A38,'Données projet'!$A$35:$I$55,6,0)*VLOOKUP('Données projet'!$B$9,Paramètres!$A$1:$I$89,7,0))</f>
        <v>0.06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5.3860630369548188</v>
      </c>
      <c r="AA38" s="21">
        <f>EXP(-LN(2)/25)*AA37+(1-EXP(-LN(2)/25))/(LN(2)/25)*Calculateur!V38*Calculateur!X38*VLOOKUP('Données projet'!$B$9,Paramètres!$A$1:$I$89,3,0)*0.475*44/12</f>
        <v>3.2442238716669727</v>
      </c>
      <c r="AB38" s="21">
        <f>EXP(-LN(2)/2)*AB37+(1-EXP(-LN(2)/2))/(LN(2)/2)*V38*Y38*VLOOKUP('Données projet'!$B$9,Paramètres!$A$1:$I$89,3,0)*0.475*44/12</f>
        <v>1.9745966766699348</v>
      </c>
      <c r="AC38" s="22">
        <f t="shared" si="3"/>
        <v>10.604883585291725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179</v>
      </c>
      <c r="AG38" s="12">
        <f>VLOOKUP(A38,'Données projet'!$A$61:$I$81,9,0)</f>
        <v>10.6</v>
      </c>
      <c r="AH38" s="12">
        <f t="array" ref="AH38">INDEX(AG:AG,MIN(IF(ISNUMBER(AG38:AG234),ROW(AG38:AG234),"")))</f>
        <v>10.6</v>
      </c>
      <c r="AI38" s="13">
        <f>IF('Données projet'!$A$62&gt;35,AI37+AH38-AQ37,IF(A38&lt;'Données projet'!$A$62,$AF$205^A38,IF(A38='Données projet'!$A$62,'Données projet'!$B$62,AI37+AH38-AQ37)))</f>
        <v>178.99999999999997</v>
      </c>
      <c r="AJ38" s="13">
        <f>AI38*VLOOKUP('Données projet'!$B$10,Paramètres!$A$1:$I$89,3,0)*VLOOKUP('Données projet'!$B$10,Paramètres!$A$1:$I$89,5,0)</f>
        <v>156.37440000000001</v>
      </c>
      <c r="AK38" s="13">
        <f t="shared" si="35"/>
        <v>40.023663524293205</v>
      </c>
      <c r="AL38" s="20">
        <f t="shared" si="4"/>
        <v>342.05996063814399</v>
      </c>
      <c r="AM38" s="59">
        <f t="shared" si="5"/>
        <v>635.39329397147731</v>
      </c>
      <c r="AN38" s="59">
        <f ca="1">AVERAGE(OFFSET($AM$3,0,0,'Données projet'!$E$10+1,1))-AVERAGE(OFFSET($H$3,0,0,'Données projet'!$E$10+1,1))</f>
        <v>201.61452816909701</v>
      </c>
      <c r="AO38" s="59">
        <f t="shared" si="36"/>
        <v>287.77679930887746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36</v>
      </c>
      <c r="AR38" s="16">
        <f>IF(ISNA(VLOOKUP(A38,'Données projet'!$A$61:$I$81,5,0)),0%,VLOOKUP(A38,'Données projet'!$A$61:$I$81,5,0)*VLOOKUP('Données projet'!$B$10,Paramètres!$A$1:$I$89,7,0))</f>
        <v>8.6000000000000007E-2</v>
      </c>
      <c r="AS38" s="16">
        <f>IF(ISNA(VLOOKUP(A38,'Données projet'!$A$61:$I$81,6,0)),0%,VLOOKUP(A38,'Données projet'!$A$61:$I$81,6,0)*VLOOKUP('Données projet'!$B$10,Paramètres!$A$1:$I$89,7,0))</f>
        <v>0.129</v>
      </c>
      <c r="AT38" s="16">
        <f>IF(ISNA(VLOOKUP(A38,'Données projet'!$A$61:$I$81,7,0)),0%,VLOOKUP(A38,'Données projet'!$A$61:$I$81,7,0))</f>
        <v>0.3</v>
      </c>
      <c r="AU38" s="21">
        <f>EXP(-LN(2)/35)*AU37+(1-EXP(-LN(2)/35))/(LN(2)/35)*AQ38*AR38*VLOOKUP('Données projet'!$B$10,Paramètres!$A$1:$I$89,3,0)*0.475*44/12</f>
        <v>5.6420012143004428</v>
      </c>
      <c r="AV38" s="21">
        <f>EXP(-LN(2)/25)*AV37+(1-EXP(-LN(2)/25))/(LN(2)/25)*Calculateur!AQ38*Calculateur!AS38*VLOOKUP('Données projet'!$B$10,Paramètres!$A$1:$I$89,3,0)*0.475*44/12</f>
        <v>12.148404883549532</v>
      </c>
      <c r="AW38" s="21">
        <f>EXP(-LN(2)/2)*AW37+(1-EXP(-LN(2)/2))/(LN(2)/2)*AQ38*AT38*VLOOKUP('Données projet'!$B$10,Paramètres!$A$1:$I$89,3,0)*0.475*44/12</f>
        <v>11.014513017552439</v>
      </c>
      <c r="AX38" s="21">
        <f t="shared" si="6"/>
        <v>28.804919115402413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233</v>
      </c>
      <c r="BB38" s="12">
        <f>VLOOKUP(A38,'Données projet'!$A$87:$I$107,9,0)</f>
        <v>14.6</v>
      </c>
      <c r="BC38" s="12">
        <f t="array" ref="BC38">INDEX(BB:BB,MIN(IF(ISNUMBER(BB38:BB234),ROW(BB38:BB234),"")))</f>
        <v>14.6</v>
      </c>
      <c r="BD38" s="12">
        <f>IF('Données projet'!$A$88&gt;35,BD37+BC38-BL37,IF(A38&lt;'Données projet'!$A$88,$BA$205^A38,IF(A38='Données projet'!$A$88,'Données projet'!$B$88,BD37+BC38-BL37)))</f>
        <v>233.00000000000003</v>
      </c>
      <c r="BE38" s="13">
        <f>BD38*VLOOKUP('Données projet'!$B$11,Paramètres!$A$1:$I$89,3,0)*VLOOKUP('Données projet'!$B$11,Paramètres!$A$1:$I$89,5,0)</f>
        <v>139.33400000000003</v>
      </c>
      <c r="BF38" s="13">
        <f t="shared" si="37"/>
        <v>36.144391930570897</v>
      </c>
      <c r="BG38" s="20">
        <f t="shared" si="7"/>
        <v>305.62486594574438</v>
      </c>
      <c r="BH38" s="59">
        <f t="shared" si="8"/>
        <v>598.95819927907769</v>
      </c>
      <c r="BI38" s="59">
        <f ca="1">AVERAGE(OFFSET($BH$3,0,0,'Données projet'!$E$11+1,1))-AVERAGE(OFFSET($H$3,0,0,'Données projet'!$E$11+1,1))</f>
        <v>225.63994281336028</v>
      </c>
      <c r="BJ38" s="59">
        <f t="shared" si="38"/>
        <v>231.19476400361157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41</v>
      </c>
      <c r="BM38" s="16">
        <f>IF(ISNA(VLOOKUP(A38,'Données projet'!$A$87:$I$107,5,0)),0%,VLOOKUP(A38,'Données projet'!$A$87:$I$107,5,0)*VLOOKUP('Données projet'!$B$11,Paramètres!$A$1:$I$89,7,0))</f>
        <v>4.5000000000000005E-2</v>
      </c>
      <c r="BN38" s="16">
        <f>IF(ISNA(VLOOKUP(A38,'Données projet'!$A$87:$I$107,6,0)),0%,VLOOKUP(A38,'Données projet'!$A$87:$I$107,6,0)*VLOOKUP('Données projet'!$B$11,Paramètres!$A$1:$I$89,7,0))</f>
        <v>0.13500000000000001</v>
      </c>
      <c r="BO38" s="16">
        <f>IF(ISNA(VLOOKUP(A38,'Données projet'!$A$87:$I$107,7,0)),0%,VLOOKUP(A38,'Données projet'!$A$87:$I$107,7,0))</f>
        <v>0.3</v>
      </c>
      <c r="BP38" s="21">
        <f>EXP(-LN(2)/35)*BP37+(1-EXP(-LN(2)/35))/(LN(2)/35)*BL38*BM38*VLOOKUP('Données projet'!$B$11,Paramètres!$A$1:$I$89,3,0)*0.475*44/12</f>
        <v>2.5629129890904347</v>
      </c>
      <c r="BQ38" s="21">
        <f>EXP(-LN(2)/25)*BQ37+(1-EXP(-LN(2)/25))/(LN(2)/25)*Calculateur!BL38*Calculateur!BN38*VLOOKUP('Données projet'!$B$11,Paramètres!$A$1:$I$89,3,0)*0.475*44/12</f>
        <v>10.095454419123055</v>
      </c>
      <c r="BR38" s="21">
        <f>EXP(-LN(2)/2)*BR37+(1-EXP(-LN(2)/2))/(LN(2)/2)*BL38*BO38*VLOOKUP('Données projet'!$B$11,Paramètres!$A$1:$I$89,3,0)*0.475*44/12</f>
        <v>9.6926864460196764</v>
      </c>
      <c r="BS38" s="22">
        <f t="shared" si="9"/>
        <v>22.351053854233164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</v>
      </c>
      <c r="BY38" s="12">
        <f>IF('Données projet'!$A$114&gt;35,BY37+BX38-CG37,IF(A38&lt;'Données projet'!$A$114,$BV$205^A38,IF(A38='Données projet'!$A$114,'Données projet'!$B$114,BY37+BX38-CG37)))</f>
        <v>179.99999999999989</v>
      </c>
      <c r="BZ38" s="13">
        <f>BY38*VLOOKUP('Données projet'!$B$12,Paramètres!$A$1:$I$89,3,0)*VLOOKUP('Données projet'!$B$12,Paramètres!$A$1:$I$89,5,0)</f>
        <v>84.239999999999938</v>
      </c>
      <c r="CA38" s="13">
        <f t="shared" si="39"/>
        <v>23.170749718409446</v>
      </c>
      <c r="CB38" s="20">
        <f t="shared" si="10"/>
        <v>187.07372242622966</v>
      </c>
      <c r="CC38" s="59">
        <f t="shared" si="11"/>
        <v>480.40705575956298</v>
      </c>
      <c r="CD38" s="59">
        <f ca="1">AVERAGE(OFFSET($CC$3,0,0,'Données projet'!$E$12+1,1))-AVERAGE(OFFSET($H$3,0,0,'Données projet'!$E$12+1,1))</f>
        <v>111.69585394603672</v>
      </c>
      <c r="CE38" s="59">
        <f t="shared" si="40"/>
        <v>162.6701214629764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4.0730474665880481</v>
      </c>
      <c r="CL38" s="21">
        <f>EXP(-LN(2)/25)*CL37+(1-EXP(-LN(2)/25))/(LN(2)/25)*Calculateur!CG38*Calculateur!CI38*VLOOKUP('Données projet'!$B$12,Paramètres!$A$1:$I$89,3,0)*0.475*44/12</f>
        <v>10.289216599370153</v>
      </c>
      <c r="CM38" s="21">
        <f>EXP(-LN(2)/2)*CM37+(1-EXP(-LN(2)/2))/(LN(2)/2)*CG38*CJ38*VLOOKUP('Données projet'!$B$12,Paramètres!$A$1:$I$89,3,0)*0.475*44/12</f>
        <v>1.6096733400111309</v>
      </c>
      <c r="CN38" s="22">
        <f t="shared" si="12"/>
        <v>15.971937405969332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6.2</v>
      </c>
      <c r="N39" s="13">
        <f>IF('Données projet'!$A$36&gt;35,N38+M39-V38,IF(A39&lt;'Données projet'!$A$36,$K$205^A39,IF(A39='Données projet'!$A$36,'Données projet'!$B$36,N38+M39-V38)))</f>
        <v>264.2</v>
      </c>
      <c r="O39" s="13">
        <f>N39*VLOOKUP('Données projet'!$B$9,Paramètres!$A$1:$I$89,3,0)*VLOOKUP('Données projet'!$B$9,Paramètres!$A$1:$I$89,5,0)</f>
        <v>239.04816</v>
      </c>
      <c r="P39" s="13">
        <f t="shared" si="33"/>
        <v>58.234690128947292</v>
      </c>
      <c r="Q39" s="20">
        <f t="shared" si="53"/>
        <v>517.76763064124987</v>
      </c>
      <c r="R39" s="59">
        <f t="shared" si="0"/>
        <v>811.10096397458324</v>
      </c>
      <c r="S39" s="59">
        <f ca="1">AVERAGE(OFFSET($R$3,0,0,'Données projet'!$E$9+1,1))-AVERAGE(OFFSET($H$3,0,0,'Données projet'!$E$9+1,1))</f>
        <v>320.93171542656671</v>
      </c>
      <c r="T39" s="59">
        <f t="shared" si="34"/>
        <v>452.7298965816143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5.2804456259742034</v>
      </c>
      <c r="AA39" s="21">
        <f>EXP(-LN(2)/25)*AA38+(1-EXP(-LN(2)/25))/(LN(2)/25)*Calculateur!V39*Calculateur!X39*VLOOKUP('Données projet'!$B$9,Paramètres!$A$1:$I$89,3,0)*0.475*44/12</f>
        <v>3.1555103992899207</v>
      </c>
      <c r="AB39" s="21">
        <f>EXP(-LN(2)/2)*AB38+(1-EXP(-LN(2)/2))/(LN(2)/2)*V39*Y39*VLOOKUP('Données projet'!$B$9,Paramètres!$A$1:$I$89,3,0)*0.475*44/12</f>
        <v>1.3962507001817317</v>
      </c>
      <c r="AC39" s="22">
        <f t="shared" si="3"/>
        <v>9.8322067254458556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152.59999999999997</v>
      </c>
      <c r="AJ39" s="13">
        <f>AI39*VLOOKUP('Données projet'!$B$10,Paramètres!$A$1:$I$89,3,0)*VLOOKUP('Données projet'!$B$10,Paramètres!$A$1:$I$89,5,0)</f>
        <v>133.31135999999998</v>
      </c>
      <c r="AK39" s="13">
        <f t="shared" si="35"/>
        <v>34.760393689821633</v>
      </c>
      <c r="AL39" s="20">
        <f t="shared" si="4"/>
        <v>292.72497100977256</v>
      </c>
      <c r="AM39" s="59">
        <f t="shared" si="5"/>
        <v>586.05830434310587</v>
      </c>
      <c r="AN39" s="59">
        <f ca="1">AVERAGE(OFFSET($AM$3,0,0,'Données projet'!$E$10+1,1))-AVERAGE(OFFSET($H$3,0,0,'Données projet'!$E$10+1,1))</f>
        <v>201.61452816909701</v>
      </c>
      <c r="AO39" s="59">
        <f t="shared" si="36"/>
        <v>287.77679930887746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5.5313650117689539</v>
      </c>
      <c r="AV39" s="21">
        <f>EXP(-LN(2)/25)*AV38+(1-EXP(-LN(2)/25))/(LN(2)/25)*Calculateur!AQ39*Calculateur!AS39*VLOOKUP('Données projet'!$B$10,Paramètres!$A$1:$I$89,3,0)*0.475*44/12</f>
        <v>11.816206113152022</v>
      </c>
      <c r="AW39" s="21">
        <f>EXP(-LN(2)/2)*AW38+(1-EXP(-LN(2)/2))/(LN(2)/2)*AQ39*AT39*VLOOKUP('Données projet'!$B$10,Paramètres!$A$1:$I$89,3,0)*0.475*44/12</f>
        <v>7.7884368461788318</v>
      </c>
      <c r="AX39" s="21">
        <f t="shared" si="6"/>
        <v>25.136007971099808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14.4</v>
      </c>
      <c r="BD39" s="12">
        <f>IF('Données projet'!$A$88&gt;35,BD38+BC39-BL38,IF(A39&lt;'Données projet'!$A$88,$BA$205^A39,IF(A39='Données projet'!$A$88,'Données projet'!$B$88,BD38+BC39-BL38)))</f>
        <v>206.40000000000003</v>
      </c>
      <c r="BE39" s="13">
        <f>BD39*VLOOKUP('Données projet'!$B$11,Paramètres!$A$1:$I$89,3,0)*VLOOKUP('Données projet'!$B$11,Paramètres!$A$1:$I$89,5,0)</f>
        <v>123.42720000000003</v>
      </c>
      <c r="BF39" s="13">
        <f t="shared" si="37"/>
        <v>32.473022671122074</v>
      </c>
      <c r="BG39" s="20">
        <f t="shared" si="7"/>
        <v>271.5262211522043</v>
      </c>
      <c r="BH39" s="59">
        <f t="shared" si="8"/>
        <v>564.85955448553761</v>
      </c>
      <c r="BI39" s="59">
        <f ca="1">AVERAGE(OFFSET($BH$3,0,0,'Données projet'!$E$11+1,1))-AVERAGE(OFFSET($H$3,0,0,'Données projet'!$E$11+1,1))</f>
        <v>225.63994281336028</v>
      </c>
      <c r="BJ39" s="59">
        <f t="shared" si="38"/>
        <v>231.19476400361157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2.5126558285969391</v>
      </c>
      <c r="BQ39" s="21">
        <f>EXP(-LN(2)/25)*BQ38+(1-EXP(-LN(2)/25))/(LN(2)/25)*Calculateur!BL39*Calculateur!BN39*VLOOKUP('Données projet'!$B$11,Paramètres!$A$1:$I$89,3,0)*0.475*44/12</f>
        <v>9.8193936871352605</v>
      </c>
      <c r="BR39" s="21">
        <f>EXP(-LN(2)/2)*BR38+(1-EXP(-LN(2)/2))/(LN(2)/2)*BL39*BO39*VLOOKUP('Données projet'!$B$11,Paramètres!$A$1:$I$89,3,0)*0.475*44/12</f>
        <v>6.8537643138954509</v>
      </c>
      <c r="BS39" s="22">
        <f t="shared" si="9"/>
        <v>19.185813829627651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</v>
      </c>
      <c r="BY39" s="12">
        <f>IF('Données projet'!$A$114&gt;35,BY38+BX39-CG38,IF(A39&lt;'Données projet'!$A$114,$BV$205^A39,IF(A39='Données projet'!$A$114,'Données projet'!$B$114,BY38+BX39-CG38)))</f>
        <v>189.99999999999989</v>
      </c>
      <c r="BZ39" s="13">
        <f>BY39*VLOOKUP('Données projet'!$B$12,Paramètres!$A$1:$I$89,3,0)*VLOOKUP('Données projet'!$B$12,Paramètres!$A$1:$I$89,5,0)</f>
        <v>88.919999999999959</v>
      </c>
      <c r="CA39" s="13">
        <f t="shared" si="39"/>
        <v>24.30457227046648</v>
      </c>
      <c r="CB39" s="20">
        <f t="shared" si="10"/>
        <v>197.19946337106239</v>
      </c>
      <c r="CC39" s="59">
        <f t="shared" si="11"/>
        <v>490.53279670439571</v>
      </c>
      <c r="CD39" s="59">
        <f ca="1">AVERAGE(OFFSET($CC$3,0,0,'Données projet'!$E$12+1,1))-AVERAGE(OFFSET($H$3,0,0,'Données projet'!$E$12+1,1))</f>
        <v>111.69585394603672</v>
      </c>
      <c r="CE39" s="59">
        <f t="shared" si="40"/>
        <v>162.6701214629764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3.9931774900819055</v>
      </c>
      <c r="CL39" s="21">
        <f>EXP(-LN(2)/25)*CL38+(1-EXP(-LN(2)/25))/(LN(2)/25)*Calculateur!CG39*Calculateur!CI39*VLOOKUP('Données projet'!$B$12,Paramètres!$A$1:$I$89,3,0)*0.475*44/12</f>
        <v>10.007857430373992</v>
      </c>
      <c r="CM39" s="21">
        <f>EXP(-LN(2)/2)*CM38+(1-EXP(-LN(2)/2))/(LN(2)/2)*CG39*CJ39*VLOOKUP('Données projet'!$B$12,Paramètres!$A$1:$I$89,3,0)*0.475*44/12</f>
        <v>1.1382109342170699</v>
      </c>
      <c r="CN39" s="22">
        <f t="shared" si="12"/>
        <v>15.139245854672968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6.2</v>
      </c>
      <c r="N40" s="13">
        <f>IF('Données projet'!$A$36&gt;35,N39+M40-V39,IF(A40&lt;'Données projet'!$A$36,$K$205^A40,IF(A40='Données projet'!$A$36,'Données projet'!$B$36,N39+M40-V39)))</f>
        <v>270.39999999999998</v>
      </c>
      <c r="O40" s="13">
        <f>N40*VLOOKUP('Données projet'!$B$9,Paramètres!$A$1:$I$89,3,0)*VLOOKUP('Données projet'!$B$9,Paramètres!$A$1:$I$89,5,0)</f>
        <v>244.65791999999996</v>
      </c>
      <c r="P40" s="13">
        <f t="shared" si="33"/>
        <v>59.44058075210868</v>
      </c>
      <c r="Q40" s="20">
        <f t="shared" si="53"/>
        <v>529.6382221432558</v>
      </c>
      <c r="R40" s="59">
        <f t="shared" si="0"/>
        <v>822.97155547658917</v>
      </c>
      <c r="S40" s="59">
        <f ca="1">AVERAGE(OFFSET($R$3,0,0,'Données projet'!$E$9+1,1))-AVERAGE(OFFSET($H$3,0,0,'Données projet'!$E$9+1,1))</f>
        <v>320.93171542656671</v>
      </c>
      <c r="T40" s="59">
        <f t="shared" si="34"/>
        <v>452.7298965816143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5.1768993080026577</v>
      </c>
      <c r="AA40" s="21">
        <f>EXP(-LN(2)/25)*AA39+(1-EXP(-LN(2)/25))/(LN(2)/25)*Calculateur!V40*Calculateur!X40*VLOOKUP('Données projet'!$B$9,Paramètres!$A$1:$I$89,3,0)*0.475*44/12</f>
        <v>3.0692228014802581</v>
      </c>
      <c r="AB40" s="21">
        <f>EXP(-LN(2)/2)*AB39+(1-EXP(-LN(2)/2))/(LN(2)/2)*V40*Y40*VLOOKUP('Données projet'!$B$9,Paramètres!$A$1:$I$89,3,0)*0.475*44/12</f>
        <v>0.98729833833496761</v>
      </c>
      <c r="AC40" s="22">
        <f t="shared" si="3"/>
        <v>9.233420447817883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162.19999999999996</v>
      </c>
      <c r="AJ40" s="13">
        <f>AI40*VLOOKUP('Données projet'!$B$10,Paramètres!$A$1:$I$89,3,0)*VLOOKUP('Données projet'!$B$10,Paramètres!$A$1:$I$89,5,0)</f>
        <v>141.69791999999998</v>
      </c>
      <c r="AK40" s="13">
        <f t="shared" si="35"/>
        <v>36.685701801209362</v>
      </c>
      <c r="AL40" s="20">
        <f t="shared" si="4"/>
        <v>310.68480797043964</v>
      </c>
      <c r="AM40" s="59">
        <f t="shared" si="5"/>
        <v>604.01814130377295</v>
      </c>
      <c r="AN40" s="59">
        <f ca="1">AVERAGE(OFFSET($AM$3,0,0,'Données projet'!$E$10+1,1))-AVERAGE(OFFSET($H$3,0,0,'Données projet'!$E$10+1,1))</f>
        <v>201.61452816909701</v>
      </c>
      <c r="AO40" s="59">
        <f t="shared" si="36"/>
        <v>287.77679930887746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5.4228983176876868</v>
      </c>
      <c r="AV40" s="21">
        <f>EXP(-LN(2)/25)*AV39+(1-EXP(-LN(2)/25))/(LN(2)/25)*Calculateur!AQ40*Calculateur!AS40*VLOOKUP('Données projet'!$B$10,Paramètres!$A$1:$I$89,3,0)*0.475*44/12</f>
        <v>11.493091335600607</v>
      </c>
      <c r="AW40" s="21">
        <f>EXP(-LN(2)/2)*AW39+(1-EXP(-LN(2)/2))/(LN(2)/2)*AQ40*AT40*VLOOKUP('Données projet'!$B$10,Paramètres!$A$1:$I$89,3,0)*0.475*44/12</f>
        <v>5.5072565087762202</v>
      </c>
      <c r="AX40" s="21">
        <f t="shared" si="6"/>
        <v>22.423246162064512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14.4</v>
      </c>
      <c r="BD40" s="12">
        <f>IF('Données projet'!$A$88&gt;35,BD39+BC40-BL39,IF(A40&lt;'Données projet'!$A$88,$BA$205^A40,IF(A40='Données projet'!$A$88,'Données projet'!$B$88,BD39+BC40-BL39)))</f>
        <v>220.80000000000004</v>
      </c>
      <c r="BE40" s="13">
        <f>BD40*VLOOKUP('Données projet'!$B$11,Paramètres!$A$1:$I$89,3,0)*VLOOKUP('Données projet'!$B$11,Paramètres!$A$1:$I$89,5,0)</f>
        <v>132.03840000000005</v>
      </c>
      <c r="BF40" s="13">
        <f t="shared" si="37"/>
        <v>34.466946374534373</v>
      </c>
      <c r="BG40" s="20">
        <f t="shared" si="7"/>
        <v>289.99681160231415</v>
      </c>
      <c r="BH40" s="59">
        <f t="shared" si="8"/>
        <v>583.33014493564747</v>
      </c>
      <c r="BI40" s="59">
        <f ca="1">AVERAGE(OFFSET($BH$3,0,0,'Données projet'!$E$11+1,1))-AVERAGE(OFFSET($H$3,0,0,'Données projet'!$E$11+1,1))</f>
        <v>225.63994281336028</v>
      </c>
      <c r="BJ40" s="59">
        <f t="shared" si="38"/>
        <v>231.19476400361157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2.4633841803668801</v>
      </c>
      <c r="BQ40" s="21">
        <f>EXP(-LN(2)/25)*BQ39+(1-EXP(-LN(2)/25))/(LN(2)/25)*Calculateur!BL40*Calculateur!BN40*VLOOKUP('Données projet'!$B$11,Paramètres!$A$1:$I$89,3,0)*0.475*44/12</f>
        <v>9.5508818503810762</v>
      </c>
      <c r="BR40" s="21">
        <f>EXP(-LN(2)/2)*BR39+(1-EXP(-LN(2)/2))/(LN(2)/2)*BL40*BO40*VLOOKUP('Données projet'!$B$11,Paramètres!$A$1:$I$89,3,0)*0.475*44/12</f>
        <v>4.8463432230098391</v>
      </c>
      <c r="BS40" s="22">
        <f t="shared" si="9"/>
        <v>16.860609253757794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200</v>
      </c>
      <c r="BW40" s="12">
        <f>VLOOKUP(A40,'Données projet'!$A$113:$I$133,9,0)</f>
        <v>10</v>
      </c>
      <c r="BX40" s="12">
        <f t="array" ref="BX40">INDEX(BW:BW,MIN(IF(ISNUMBER(BW40:BW236),ROW(BW40:BW236),"")))</f>
        <v>10</v>
      </c>
      <c r="BY40" s="12">
        <f>IF('Données projet'!$A$114&gt;35,BY39+BX40-CG39,IF(A40&lt;'Données projet'!$A$114,$BV$205^A40,IF(A40='Données projet'!$A$114,'Données projet'!$B$114,BY39+BX40-CG39)))</f>
        <v>199.99999999999989</v>
      </c>
      <c r="BZ40" s="13">
        <f>BY40*VLOOKUP('Données projet'!$B$12,Paramètres!$A$1:$I$89,3,0)*VLOOKUP('Données projet'!$B$12,Paramètres!$A$1:$I$89,5,0)</f>
        <v>93.599999999999952</v>
      </c>
      <c r="CA40" s="13">
        <f t="shared" si="39"/>
        <v>25.431466524572915</v>
      </c>
      <c r="CB40" s="20">
        <f t="shared" si="10"/>
        <v>207.31313753029772</v>
      </c>
      <c r="CC40" s="59">
        <f t="shared" si="11"/>
        <v>500.64647086363107</v>
      </c>
      <c r="CD40" s="59">
        <f ca="1">AVERAGE(OFFSET($CC$3,0,0,'Données projet'!$E$12+1,1))-AVERAGE(OFFSET($H$3,0,0,'Données projet'!$E$12+1,1))</f>
        <v>111.69585394603672</v>
      </c>
      <c r="CE40" s="59">
        <f t="shared" si="40"/>
        <v>162.6701214629764</v>
      </c>
      <c r="CF40" s="15">
        <f>IF(ISNA(VLOOKUP(A40,'Données projet'!$A$113:$I$133,3,0)),0,VLOOKUP(A40,'Données projet'!$A$113:$I$133,3,0))</f>
        <v>4</v>
      </c>
      <c r="CG40" s="15">
        <f>IF(ISNA(VLOOKUP(A40,'Données projet'!$A$113:$I$133,4,0)),0,VLOOKUP(A40,'Données projet'!$A$113:$I$133,4,0))</f>
        <v>50</v>
      </c>
      <c r="CH40" s="16">
        <f>IF(ISNA(VLOOKUP(A40,'Données projet'!$A$113:$I$133,5,0)),0%,VLOOKUP(A40,'Données projet'!$A$113:$I$133,5,0)*VLOOKUP('Données projet'!$B$12,Paramètres!$A$1:$I$89,7,0))</f>
        <v>0.11000000000000001</v>
      </c>
      <c r="CI40" s="16">
        <f>IF(ISNA(VLOOKUP(A40,'Données projet'!$A$113:$I$133,6,0)),0%,VLOOKUP(A40,'Données projet'!$A$113:$I$133,6,0)*VLOOKUP('Données projet'!$B$12,Paramètres!$A$1:$I$89,7,0))</f>
        <v>0.16500000000000001</v>
      </c>
      <c r="CJ40" s="16">
        <f>IF(ISNA(VLOOKUP(A40,'Données projet'!$A$113:$I$133,7,0)),0%,VLOOKUP(A40,'Données projet'!$A$113:$I$133,7,0))</f>
        <v>0.3</v>
      </c>
      <c r="CK40" s="21">
        <f>EXP(-LN(2)/35)*CK39+(1-EXP(-LN(2)/35))/(LN(2)/35)*CG40*CH40*VLOOKUP('Données projet'!$B$12,Paramètres!$A$1:$I$89,3,0)*0.475*44/12</f>
        <v>7.3294506234005503</v>
      </c>
      <c r="CL40" s="21">
        <f>EXP(-LN(2)/25)*CL39+(1-EXP(-LN(2)/25))/(LN(2)/25)*Calculateur!CG40*Calculateur!CI40*VLOOKUP('Données projet'!$B$12,Paramètres!$A$1:$I$89,3,0)*0.475*44/12</f>
        <v>14.835890669586451</v>
      </c>
      <c r="CM40" s="21">
        <f>EXP(-LN(2)/2)*CM39+(1-EXP(-LN(2)/2))/(LN(2)/2)*CG40*CJ40*VLOOKUP('Données projet'!$B$12,Paramètres!$A$1:$I$89,3,0)*0.475*44/12</f>
        <v>8.7531073986413546</v>
      </c>
      <c r="CN40" s="22">
        <f t="shared" si="12"/>
        <v>30.918448691628356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6.2</v>
      </c>
      <c r="N41" s="13">
        <f>IF('Données projet'!$A$36&gt;35,N40+M41-V40,IF(A41&lt;'Données projet'!$A$36,$K$205^A41,IF(A41='Données projet'!$A$36,'Données projet'!$B$36,N40+M41-V40)))</f>
        <v>276.59999999999997</v>
      </c>
      <c r="O41" s="13">
        <f>N41*VLOOKUP('Données projet'!$B$9,Paramètres!$A$1:$I$89,3,0)*VLOOKUP('Données projet'!$B$9,Paramètres!$A$1:$I$89,5,0)</f>
        <v>250.26767999999996</v>
      </c>
      <c r="P41" s="13">
        <f t="shared" si="33"/>
        <v>60.643256925083442</v>
      </c>
      <c r="Q41" s="20">
        <f t="shared" si="53"/>
        <v>541.50321514452014</v>
      </c>
      <c r="R41" s="59">
        <f t="shared" si="0"/>
        <v>834.83654847785351</v>
      </c>
      <c r="S41" s="59">
        <f ca="1">AVERAGE(OFFSET($R$3,0,0,'Données projet'!$E$9+1,1))-AVERAGE(OFFSET($H$3,0,0,'Données projet'!$E$9+1,1))</f>
        <v>320.93171542656671</v>
      </c>
      <c r="T41" s="59">
        <f t="shared" si="34"/>
        <v>452.7298965816143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5.0753834701695171</v>
      </c>
      <c r="AA41" s="21">
        <f>EXP(-LN(2)/25)*AA40+(1-EXP(-LN(2)/25))/(LN(2)/25)*Calculateur!V41*Calculateur!X41*VLOOKUP('Données projet'!$B$9,Paramètres!$A$1:$I$89,3,0)*0.475*44/12</f>
        <v>2.985294742570368</v>
      </c>
      <c r="AB41" s="21">
        <f>EXP(-LN(2)/2)*AB40+(1-EXP(-LN(2)/2))/(LN(2)/2)*V41*Y41*VLOOKUP('Données projet'!$B$9,Paramètres!$A$1:$I$89,3,0)*0.475*44/12</f>
        <v>0.69812535009086596</v>
      </c>
      <c r="AC41" s="22">
        <f t="shared" si="3"/>
        <v>8.7588035628307512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171.79999999999995</v>
      </c>
      <c r="AJ41" s="13">
        <f>AI41*VLOOKUP('Données projet'!$B$10,Paramètres!$A$1:$I$89,3,0)*VLOOKUP('Données projet'!$B$10,Paramètres!$A$1:$I$89,5,0)</f>
        <v>150.08447999999999</v>
      </c>
      <c r="AK41" s="13">
        <f t="shared" si="35"/>
        <v>38.597783374841299</v>
      </c>
      <c r="AL41" s="20">
        <f t="shared" si="4"/>
        <v>328.62160871118186</v>
      </c>
      <c r="AM41" s="59">
        <f t="shared" si="5"/>
        <v>621.95494204451518</v>
      </c>
      <c r="AN41" s="59">
        <f ca="1">AVERAGE(OFFSET($AM$3,0,0,'Données projet'!$E$10+1,1))-AVERAGE(OFFSET($H$3,0,0,'Données projet'!$E$10+1,1))</f>
        <v>201.61452816909701</v>
      </c>
      <c r="AO41" s="59">
        <f t="shared" si="36"/>
        <v>287.77679930887746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5.3165585893192029</v>
      </c>
      <c r="AV41" s="21">
        <f>EXP(-LN(2)/25)*AV40+(1-EXP(-LN(2)/25))/(LN(2)/25)*Calculateur!AQ41*Calculateur!AS41*VLOOKUP('Données projet'!$B$10,Paramètres!$A$1:$I$89,3,0)*0.475*44/12</f>
        <v>11.178812148633202</v>
      </c>
      <c r="AW41" s="21">
        <f>EXP(-LN(2)/2)*AW40+(1-EXP(-LN(2)/2))/(LN(2)/2)*AQ41*AT41*VLOOKUP('Données projet'!$B$10,Paramètres!$A$1:$I$89,3,0)*0.475*44/12</f>
        <v>3.8942184230894168</v>
      </c>
      <c r="AX41" s="21">
        <f t="shared" si="6"/>
        <v>20.389589161041823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14.4</v>
      </c>
      <c r="BD41" s="12">
        <f>IF('Données projet'!$A$88&gt;35,BD40+BC41-BL40,IF(A41&lt;'Données projet'!$A$88,$BA$205^A41,IF(A41='Données projet'!$A$88,'Données projet'!$B$88,BD40+BC41-BL40)))</f>
        <v>235.20000000000005</v>
      </c>
      <c r="BE41" s="13">
        <f>BD41*VLOOKUP('Données projet'!$B$11,Paramètres!$A$1:$I$89,3,0)*VLOOKUP('Données projet'!$B$11,Paramètres!$A$1:$I$89,5,0)</f>
        <v>140.64960000000002</v>
      </c>
      <c r="BF41" s="13">
        <f t="shared" si="37"/>
        <v>36.445779615258601</v>
      </c>
      <c r="BG41" s="20">
        <f t="shared" si="7"/>
        <v>308.44111949657542</v>
      </c>
      <c r="BH41" s="59">
        <f t="shared" si="8"/>
        <v>601.7744528299088</v>
      </c>
      <c r="BI41" s="59">
        <f ca="1">AVERAGE(OFFSET($BH$3,0,0,'Données projet'!$E$11+1,1))-AVERAGE(OFFSET($H$3,0,0,'Données projet'!$E$11+1,1))</f>
        <v>225.63994281336028</v>
      </c>
      <c r="BJ41" s="59">
        <f t="shared" si="38"/>
        <v>231.19476400361157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2.4150787191058747</v>
      </c>
      <c r="BQ41" s="21">
        <f>EXP(-LN(2)/25)*BQ40+(1-EXP(-LN(2)/25))/(LN(2)/25)*Calculateur!BL41*Calculateur!BN41*VLOOKUP('Données projet'!$B$11,Paramètres!$A$1:$I$89,3,0)*0.475*44/12</f>
        <v>9.289712483923358</v>
      </c>
      <c r="BR41" s="21">
        <f>EXP(-LN(2)/2)*BR40+(1-EXP(-LN(2)/2))/(LN(2)/2)*BL41*BO41*VLOOKUP('Données projet'!$B$11,Paramètres!$A$1:$I$89,3,0)*0.475*44/12</f>
        <v>3.4268821569477259</v>
      </c>
      <c r="BS41" s="22">
        <f t="shared" si="9"/>
        <v>15.131673359976958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10.857142857142858</v>
      </c>
      <c r="BY41" s="12">
        <f>IF('Données projet'!$A$114&gt;35,BY40+BX41-CG40,IF(A41&lt;'Données projet'!$A$114,$BV$205^A41,IF(A41='Données projet'!$A$114,'Données projet'!$B$114,BY40+BX41-CG40)))</f>
        <v>160.85714285714275</v>
      </c>
      <c r="BZ41" s="13">
        <f>BY41*VLOOKUP('Données projet'!$B$12,Paramètres!$A$1:$I$89,3,0)*VLOOKUP('Données projet'!$B$12,Paramètres!$A$1:$I$89,5,0)</f>
        <v>75.281142857142797</v>
      </c>
      <c r="CA41" s="13">
        <f t="shared" si="39"/>
        <v>20.979348355748712</v>
      </c>
      <c r="CB41" s="20">
        <f t="shared" si="10"/>
        <v>167.6536888624527</v>
      </c>
      <c r="CC41" s="59">
        <f t="shared" si="11"/>
        <v>460.98702219578604</v>
      </c>
      <c r="CD41" s="59">
        <f ca="1">AVERAGE(OFFSET($CC$3,0,0,'Données projet'!$E$12+1,1))-AVERAGE(OFFSET($H$3,0,0,'Données projet'!$E$12+1,1))</f>
        <v>111.69585394603672</v>
      </c>
      <c r="CE41" s="59">
        <f t="shared" si="40"/>
        <v>162.6701214629764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7.1857245671991183</v>
      </c>
      <c r="CL41" s="21">
        <f>EXP(-LN(2)/25)*CL40+(1-EXP(-LN(2)/25))/(LN(2)/25)*Calculateur!CG41*Calculateur!CI41*VLOOKUP('Données projet'!$B$12,Paramètres!$A$1:$I$89,3,0)*0.475*44/12</f>
        <v>14.430202459041027</v>
      </c>
      <c r="CM41" s="21">
        <f>EXP(-LN(2)/2)*CM40+(1-EXP(-LN(2)/2))/(LN(2)/2)*CG41*CJ41*VLOOKUP('Données projet'!$B$12,Paramètres!$A$1:$I$89,3,0)*0.475*44/12</f>
        <v>6.1893815980334432</v>
      </c>
      <c r="CN41" s="22">
        <f t="shared" si="12"/>
        <v>27.805308624273586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6.2</v>
      </c>
      <c r="N42" s="13">
        <f>IF('Données projet'!$A$36&gt;35,N41+M42-V41,IF(A42&lt;'Données projet'!$A$36,$K$205^A42,IF(A42='Données projet'!$A$36,'Données projet'!$B$36,N41+M42-V41)))</f>
        <v>282.79999999999995</v>
      </c>
      <c r="O42" s="13">
        <f>N42*VLOOKUP('Données projet'!$B$9,Paramètres!$A$1:$I$89,3,0)*VLOOKUP('Données projet'!$B$9,Paramètres!$A$1:$I$89,5,0)</f>
        <v>255.87743999999998</v>
      </c>
      <c r="P42" s="13">
        <f t="shared" si="33"/>
        <v>61.842798995505326</v>
      </c>
      <c r="Q42" s="20">
        <f t="shared" si="53"/>
        <v>553.36274958383854</v>
      </c>
      <c r="R42" s="59">
        <f t="shared" si="0"/>
        <v>846.69608291717191</v>
      </c>
      <c r="S42" s="59">
        <f ca="1">AVERAGE(OFFSET($R$3,0,0,'Données projet'!$E$9+1,1))-AVERAGE(OFFSET($H$3,0,0,'Données projet'!$E$9+1,1))</f>
        <v>320.93171542656671</v>
      </c>
      <c r="T42" s="59">
        <f t="shared" si="34"/>
        <v>452.7298965816143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4.9758582959977371</v>
      </c>
      <c r="AA42" s="21">
        <f>EXP(-LN(2)/25)*AA41+(1-EXP(-LN(2)/25))/(LN(2)/25)*Calculateur!V42*Calculateur!X42*VLOOKUP('Données projet'!$B$9,Paramètres!$A$1:$I$89,3,0)*0.475*44/12</f>
        <v>2.9036617008449537</v>
      </c>
      <c r="AB42" s="21">
        <f>EXP(-LN(2)/2)*AB41+(1-EXP(-LN(2)/2))/(LN(2)/2)*V42*Y42*VLOOKUP('Données projet'!$B$9,Paramètres!$A$1:$I$89,3,0)*0.475*44/12</f>
        <v>0.49364916916748386</v>
      </c>
      <c r="AC42" s="22">
        <f t="shared" si="3"/>
        <v>8.3731691660101735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181.39999999999995</v>
      </c>
      <c r="AJ42" s="13">
        <f>AI42*VLOOKUP('Données projet'!$B$10,Paramètres!$A$1:$I$89,3,0)*VLOOKUP('Données projet'!$B$10,Paramètres!$A$1:$I$89,5,0)</f>
        <v>158.47103999999996</v>
      </c>
      <c r="AK42" s="13">
        <f t="shared" si="35"/>
        <v>40.497461727609561</v>
      </c>
      <c r="AL42" s="20">
        <f t="shared" si="4"/>
        <v>346.53680717558655</v>
      </c>
      <c r="AM42" s="59">
        <f t="shared" si="5"/>
        <v>639.8701405089198</v>
      </c>
      <c r="AN42" s="59">
        <f ca="1">AVERAGE(OFFSET($AM$3,0,0,'Données projet'!$E$10+1,1))-AVERAGE(OFFSET($H$3,0,0,'Données projet'!$E$10+1,1))</f>
        <v>201.61452816909701</v>
      </c>
      <c r="AO42" s="59">
        <f t="shared" si="36"/>
        <v>287.77679930887746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5.2123041181631944</v>
      </c>
      <c r="AV42" s="21">
        <f>EXP(-LN(2)/25)*AV41+(1-EXP(-LN(2)/25))/(LN(2)/25)*Calculateur!AQ42*Calculateur!AS42*VLOOKUP('Données projet'!$B$10,Paramètres!$A$1:$I$89,3,0)*0.475*44/12</f>
        <v>10.873126942560646</v>
      </c>
      <c r="AW42" s="21">
        <f>EXP(-LN(2)/2)*AW41+(1-EXP(-LN(2)/2))/(LN(2)/2)*AQ42*AT42*VLOOKUP('Données projet'!$B$10,Paramètres!$A$1:$I$89,3,0)*0.475*44/12</f>
        <v>2.7536282543881105</v>
      </c>
      <c r="AX42" s="21">
        <f t="shared" si="6"/>
        <v>18.839059315111953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14.4</v>
      </c>
      <c r="BD42" s="12">
        <f>IF('Données projet'!$A$88&gt;35,BD41+BC42-BL41,IF(A42&lt;'Données projet'!$A$88,$BA$205^A42,IF(A42='Données projet'!$A$88,'Données projet'!$B$88,BD41+BC42-BL41)))</f>
        <v>249.60000000000005</v>
      </c>
      <c r="BE42" s="13">
        <f>BD42*VLOOKUP('Données projet'!$B$11,Paramètres!$A$1:$I$89,3,0)*VLOOKUP('Données projet'!$B$11,Paramètres!$A$1:$I$89,5,0)</f>
        <v>149.26080000000005</v>
      </c>
      <c r="BF42" s="13">
        <f t="shared" si="37"/>
        <v>38.410551499792909</v>
      </c>
      <c r="BG42" s="20">
        <f t="shared" si="7"/>
        <v>326.86093719547273</v>
      </c>
      <c r="BH42" s="59">
        <f t="shared" si="8"/>
        <v>620.1942705288061</v>
      </c>
      <c r="BI42" s="59">
        <f ca="1">AVERAGE(OFFSET($BH$3,0,0,'Données projet'!$E$11+1,1))-AVERAGE(OFFSET($H$3,0,0,'Données projet'!$E$11+1,1))</f>
        <v>225.63994281336028</v>
      </c>
      <c r="BJ42" s="59">
        <f t="shared" si="38"/>
        <v>231.19476400361157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2.3677204984767752</v>
      </c>
      <c r="BQ42" s="21">
        <f>EXP(-LN(2)/25)*BQ41+(1-EXP(-LN(2)/25))/(LN(2)/25)*Calculateur!BL42*Calculateur!BN42*VLOOKUP('Données projet'!$B$11,Paramètres!$A$1:$I$89,3,0)*0.475*44/12</f>
        <v>9.0356848075257261</v>
      </c>
      <c r="BR42" s="21">
        <f>EXP(-LN(2)/2)*BR41+(1-EXP(-LN(2)/2))/(LN(2)/2)*BL42*BO42*VLOOKUP('Données projet'!$B$11,Paramètres!$A$1:$I$89,3,0)*0.475*44/12</f>
        <v>2.42317161150492</v>
      </c>
      <c r="BS42" s="22">
        <f t="shared" si="9"/>
        <v>13.82657691750742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10.857142857142858</v>
      </c>
      <c r="BY42" s="12">
        <f>IF('Données projet'!$A$114&gt;35,BY41+BX42-CG41,IF(A42&lt;'Données projet'!$A$114,$BV$205^A42,IF(A42='Données projet'!$A$114,'Données projet'!$B$114,BY41+BX42-CG41)))</f>
        <v>171.71428571428561</v>
      </c>
      <c r="BZ42" s="13">
        <f>BY42*VLOOKUP('Données projet'!$B$12,Paramètres!$A$1:$I$89,3,0)*VLOOKUP('Données projet'!$B$12,Paramètres!$A$1:$I$89,5,0)</f>
        <v>80.362285714285662</v>
      </c>
      <c r="CA42" s="13">
        <f t="shared" si="39"/>
        <v>22.225741561876685</v>
      </c>
      <c r="CB42" s="20">
        <f t="shared" si="10"/>
        <v>178.67414750598275</v>
      </c>
      <c r="CC42" s="59">
        <f t="shared" si="11"/>
        <v>472.00748083931603</v>
      </c>
      <c r="CD42" s="59">
        <f ca="1">AVERAGE(OFFSET($CC$3,0,0,'Données projet'!$E$12+1,1))-AVERAGE(OFFSET($H$3,0,0,'Données projet'!$E$12+1,1))</f>
        <v>111.69585394603672</v>
      </c>
      <c r="CE42" s="59">
        <f t="shared" si="40"/>
        <v>162.6701214629764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7.0448168912955582</v>
      </c>
      <c r="CL42" s="21">
        <f>EXP(-LN(2)/25)*CL41+(1-EXP(-LN(2)/25))/(LN(2)/25)*Calculateur!CG42*Calculateur!CI42*VLOOKUP('Données projet'!$B$12,Paramètres!$A$1:$I$89,3,0)*0.475*44/12</f>
        <v>14.035607813947184</v>
      </c>
      <c r="CM42" s="21">
        <f>EXP(-LN(2)/2)*CM41+(1-EXP(-LN(2)/2))/(LN(2)/2)*CG42*CJ42*VLOOKUP('Données projet'!$B$12,Paramètres!$A$1:$I$89,3,0)*0.475*44/12</f>
        <v>4.3765536993206782</v>
      </c>
      <c r="CN42" s="22">
        <f t="shared" si="12"/>
        <v>25.456978404563419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289</v>
      </c>
      <c r="L43" s="12">
        <f>VLOOKUP(A43,'Données projet'!$A$35:$I$55,9,0)</f>
        <v>6.2</v>
      </c>
      <c r="M43" s="12">
        <f t="array" ref="M43">INDEX(L:L,MIN(IF(ISNUMBER(L43:L239),ROW(L43:L239),"")))</f>
        <v>6.2</v>
      </c>
      <c r="N43" s="13">
        <f>IF('Données projet'!$A$36&gt;35,N42+M43-V42,IF(A43&lt;'Données projet'!$A$36,$K$205^A43,IF(A43='Données projet'!$A$36,'Données projet'!$B$36,N42+M43-V42)))</f>
        <v>288.99999999999994</v>
      </c>
      <c r="O43" s="13">
        <f>N43*VLOOKUP('Données projet'!$B$9,Paramètres!$A$1:$I$89,3,0)*VLOOKUP('Données projet'!$B$9,Paramètres!$A$1:$I$89,5,0)</f>
        <v>261.48719999999992</v>
      </c>
      <c r="P43" s="13">
        <f t="shared" si="33"/>
        <v>63.039283586802391</v>
      </c>
      <c r="Q43" s="20">
        <f t="shared" si="53"/>
        <v>565.21695891368074</v>
      </c>
      <c r="R43" s="59">
        <f t="shared" si="0"/>
        <v>858.55029224701411</v>
      </c>
      <c r="S43" s="59">
        <f ca="1">AVERAGE(OFFSET($R$3,0,0,'Données projet'!$E$9+1,1))-AVERAGE(OFFSET($H$3,0,0,'Données projet'!$E$9+1,1))</f>
        <v>320.93171542656671</v>
      </c>
      <c r="T43" s="59">
        <f t="shared" si="34"/>
        <v>452.7298965816143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7</v>
      </c>
      <c r="W43" s="16">
        <f>IF(ISNA(VLOOKUP(A43,'Données projet'!$A$35:$I$55,5,0)),0%,VLOOKUP(A43,'Données projet'!$A$35:$I$55,5,0)*VLOOKUP('Données projet'!$B$9,Paramètres!$A$1:$I$89,7,0))</f>
        <v>0.12</v>
      </c>
      <c r="X43" s="16">
        <f>IF(ISNA(VLOOKUP(A43,'Données projet'!$A$35:$I$55,6,0)),0%,VLOOKUP(A43,'Données projet'!$A$35:$I$55,6,0)*VLOOKUP('Données projet'!$B$9,Paramètres!$A$1:$I$89,7,0))</f>
        <v>0.06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5.7184776132842901</v>
      </c>
      <c r="AA43" s="21">
        <f>EXP(-LN(2)/25)*AA42+(1-EXP(-LN(2)/25))/(LN(2)/25)*Calculateur!V43*Calculateur!X43*VLOOKUP('Données projet'!$B$9,Paramètres!$A$1:$I$89,3,0)*0.475*44/12</f>
        <v>3.2427032709659254</v>
      </c>
      <c r="AB43" s="21">
        <f>EXP(-LN(2)/2)*AB42+(1-EXP(-LN(2)/2))/(LN(2)/2)*V43*Y43*VLOOKUP('Données projet'!$B$9,Paramètres!$A$1:$I$89,3,0)*0.475*44/12</f>
        <v>1.5442470883143704</v>
      </c>
      <c r="AC43" s="22">
        <f t="shared" si="3"/>
        <v>10.505427972564586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191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190.99999999999994</v>
      </c>
      <c r="AJ43" s="13">
        <f>AI43*VLOOKUP('Données projet'!$B$10,Paramètres!$A$1:$I$89,3,0)*VLOOKUP('Données projet'!$B$10,Paramètres!$A$1:$I$89,5,0)</f>
        <v>166.85759999999996</v>
      </c>
      <c r="AK43" s="13">
        <f t="shared" si="35"/>
        <v>42.385468111966098</v>
      </c>
      <c r="AL43" s="20">
        <f t="shared" si="4"/>
        <v>364.43167696167421</v>
      </c>
      <c r="AM43" s="59">
        <f t="shared" si="5"/>
        <v>657.76501029500753</v>
      </c>
      <c r="AN43" s="59">
        <f ca="1">AVERAGE(OFFSET($AM$3,0,0,'Données projet'!$E$10+1,1))-AVERAGE(OFFSET($H$3,0,0,'Données projet'!$E$10+1,1))</f>
        <v>201.61452816909701</v>
      </c>
      <c r="AO43" s="59">
        <f t="shared" si="36"/>
        <v>287.77679930887746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33</v>
      </c>
      <c r="AR43" s="16">
        <f>IF(ISNA(VLOOKUP(A43,'Données projet'!$A$61:$I$81,5,0)),0%,VLOOKUP(A43,'Données projet'!$A$61:$I$81,5,0)*VLOOKUP('Données projet'!$B$10,Paramètres!$A$1:$I$89,7,0))</f>
        <v>0.129</v>
      </c>
      <c r="AS43" s="16">
        <f>IF(ISNA(VLOOKUP(A43,'Données projet'!$A$61:$I$81,6,0)),0%,VLOOKUP(A43,'Données projet'!$A$61:$I$81,6,0)*VLOOKUP('Données projet'!$B$10,Paramètres!$A$1:$I$89,7,0))</f>
        <v>0.129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9.2212446111924642</v>
      </c>
      <c r="AV43" s="21">
        <f>EXP(-LN(2)/25)*AV42+(1-EXP(-LN(2)/25))/(LN(2)/25)*Calculateur!AQ43*Calculateur!AS43*VLOOKUP('Données projet'!$B$10,Paramètres!$A$1:$I$89,3,0)*0.475*44/12</f>
        <v>14.670764145744368</v>
      </c>
      <c r="AW43" s="21">
        <f>EXP(-LN(2)/2)*AW42+(1-EXP(-LN(2)/2))/(LN(2)/2)*AQ43*AT43*VLOOKUP('Données projet'!$B$10,Paramètres!$A$1:$I$89,3,0)*0.475*44/12</f>
        <v>7.3872589546998721</v>
      </c>
      <c r="AX43" s="21">
        <f t="shared" si="6"/>
        <v>31.279267711636706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264</v>
      </c>
      <c r="BB43" s="12">
        <f>VLOOKUP(A43,'Données projet'!$A$87:$I$107,9,0)</f>
        <v>14.4</v>
      </c>
      <c r="BC43" s="12">
        <f t="array" ref="BC43">INDEX(BB:BB,MIN(IF(ISNUMBER(BB43:BB239),ROW(BB43:BB239),"")))</f>
        <v>14.4</v>
      </c>
      <c r="BD43" s="12">
        <f>IF('Données projet'!$A$88&gt;35,BD42+BC43-BL42,IF(A43&lt;'Données projet'!$A$88,$BA$205^A43,IF(A43='Données projet'!$A$88,'Données projet'!$B$88,BD42+BC43-BL42)))</f>
        <v>264.00000000000006</v>
      </c>
      <c r="BE43" s="13">
        <f>BD43*VLOOKUP('Données projet'!$B$11,Paramètres!$A$1:$I$89,3,0)*VLOOKUP('Données projet'!$B$11,Paramètres!$A$1:$I$89,5,0)</f>
        <v>157.87200000000004</v>
      </c>
      <c r="BF43" s="13">
        <f t="shared" si="37"/>
        <v>40.362165684361159</v>
      </c>
      <c r="BG43" s="20">
        <f t="shared" si="7"/>
        <v>345.25783856692902</v>
      </c>
      <c r="BH43" s="59">
        <f t="shared" si="8"/>
        <v>638.59117190026234</v>
      </c>
      <c r="BI43" s="59">
        <f ca="1">AVERAGE(OFFSET($BH$3,0,0,'Données projet'!$E$11+1,1))-AVERAGE(OFFSET($H$3,0,0,'Données projet'!$E$11+1,1))</f>
        <v>225.63994281336028</v>
      </c>
      <c r="BJ43" s="59">
        <f t="shared" si="38"/>
        <v>231.19476400361157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41</v>
      </c>
      <c r="BM43" s="16">
        <f>IF(ISNA(VLOOKUP(A43,'Données projet'!$A$87:$I$107,5,0)),0%,VLOOKUP(A43,'Données projet'!$A$87:$I$107,5,0)*VLOOKUP('Données projet'!$B$11,Paramètres!$A$1:$I$89,7,0))</f>
        <v>0.13500000000000001</v>
      </c>
      <c r="BN43" s="16">
        <f>IF(ISNA(VLOOKUP(A43,'Données projet'!$A$87:$I$107,6,0)),0%,VLOOKUP(A43,'Données projet'!$A$87:$I$107,6,0)*VLOOKUP('Données projet'!$B$11,Paramètres!$A$1:$I$89,7,0))</f>
        <v>0.13500000000000001</v>
      </c>
      <c r="BO43" s="16">
        <f>IF(ISNA(VLOOKUP(A43,'Données projet'!$A$87:$I$107,7,0)),0%,VLOOKUP(A43,'Données projet'!$A$87:$I$107,7,0))</f>
        <v>0.2</v>
      </c>
      <c r="BP43" s="21">
        <f>EXP(-LN(2)/35)*BP42+(1-EXP(-LN(2)/35))/(LN(2)/35)*BL43*BM43*VLOOKUP('Données projet'!$B$11,Paramètres!$A$1:$I$89,3,0)*0.475*44/12</f>
        <v>6.7121264316615488</v>
      </c>
      <c r="BQ43" s="21">
        <f>EXP(-LN(2)/25)*BQ42+(1-EXP(-LN(2)/25))/(LN(2)/25)*Calculateur!BL43*Calculateur!BN43*VLOOKUP('Données projet'!$B$11,Paramètres!$A$1:$I$89,3,0)*0.475*44/12</f>
        <v>13.162150626935208</v>
      </c>
      <c r="BR43" s="21">
        <f>EXP(-LN(2)/2)*BR42+(1-EXP(-LN(2)/2))/(LN(2)/2)*BL43*BO43*VLOOKUP('Données projet'!$B$11,Paramètres!$A$1:$I$89,3,0)*0.475*44/12</f>
        <v>7.2654553726246425</v>
      </c>
      <c r="BS43" s="22">
        <f t="shared" si="9"/>
        <v>27.1397324312214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10.857142857142858</v>
      </c>
      <c r="BY43" s="12">
        <f>IF('Données projet'!$A$114&gt;35,BY42+BX43-CG42,IF(A43&lt;'Données projet'!$A$114,$BV$205^A43,IF(A43='Données projet'!$A$114,'Données projet'!$B$114,BY42+BX43-CG42)))</f>
        <v>182.57142857142847</v>
      </c>
      <c r="BZ43" s="13">
        <f>BY43*VLOOKUP('Données projet'!$B$12,Paramètres!$A$1:$I$89,3,0)*VLOOKUP('Données projet'!$B$12,Paramètres!$A$1:$I$89,5,0)</f>
        <v>85.443428571428527</v>
      </c>
      <c r="CA43" s="13">
        <f t="shared" si="39"/>
        <v>23.462988887975445</v>
      </c>
      <c r="CB43" s="20">
        <f t="shared" si="10"/>
        <v>189.67867707512858</v>
      </c>
      <c r="CC43" s="59">
        <f t="shared" si="11"/>
        <v>483.01201040846189</v>
      </c>
      <c r="CD43" s="59">
        <f ca="1">AVERAGE(OFFSET($CC$3,0,0,'Données projet'!$E$12+1,1))-AVERAGE(OFFSET($H$3,0,0,'Données projet'!$E$12+1,1))</f>
        <v>111.69585394603672</v>
      </c>
      <c r="CE43" s="59">
        <f t="shared" si="40"/>
        <v>162.6701214629764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6.906672328971271</v>
      </c>
      <c r="CL43" s="21">
        <f>EXP(-LN(2)/25)*CL42+(1-EXP(-LN(2)/25))/(LN(2)/25)*Calculateur!CG43*Calculateur!CI43*VLOOKUP('Données projet'!$B$12,Paramètres!$A$1:$I$89,3,0)*0.475*44/12</f>
        <v>13.651803380174263</v>
      </c>
      <c r="CM43" s="21">
        <f>EXP(-LN(2)/2)*CM42+(1-EXP(-LN(2)/2))/(LN(2)/2)*CG43*CJ43*VLOOKUP('Données projet'!$B$12,Paramètres!$A$1:$I$89,3,0)*0.475*44/12</f>
        <v>3.0946907990167221</v>
      </c>
      <c r="CN43" s="22">
        <f t="shared" si="12"/>
        <v>23.653166508162254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</v>
      </c>
      <c r="N44" s="13">
        <f>IF('Données projet'!$A$36&gt;35,N43+M44-V43,IF(A44&lt;'Données projet'!$A$36,$K$205^A44,IF(A44='Données projet'!$A$36,'Données projet'!$B$36,N43+M44-V43)))</f>
        <v>287.99999999999994</v>
      </c>
      <c r="O44" s="13">
        <f>N44*VLOOKUP('Données projet'!$B$9,Paramètres!$A$1:$I$89,3,0)*VLOOKUP('Données projet'!$B$9,Paramètres!$A$1:$I$89,5,0)</f>
        <v>260.58239999999995</v>
      </c>
      <c r="P44" s="13">
        <f t="shared" si="33"/>
        <v>62.846505929896907</v>
      </c>
      <c r="Q44" s="20">
        <f t="shared" si="53"/>
        <v>563.30534449457025</v>
      </c>
      <c r="R44" s="59">
        <f t="shared" si="0"/>
        <v>856.63867782790362</v>
      </c>
      <c r="S44" s="59">
        <f ca="1">AVERAGE(OFFSET($R$3,0,0,'Données projet'!$E$9+1,1))-AVERAGE(OFFSET($H$3,0,0,'Données projet'!$E$9+1,1))</f>
        <v>320.93171542656671</v>
      </c>
      <c r="T44" s="59">
        <f t="shared" si="34"/>
        <v>452.7298965816143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5.606341755214725</v>
      </c>
      <c r="AA44" s="21">
        <f>EXP(-LN(2)/25)*AA43+(1-EXP(-LN(2)/25))/(LN(2)/25)*Calculateur!V44*Calculateur!X44*VLOOKUP('Données projet'!$B$9,Paramètres!$A$1:$I$89,3,0)*0.475*44/12</f>
        <v>3.1540313794950086</v>
      </c>
      <c r="AB44" s="21">
        <f>EXP(-LN(2)/2)*AB43+(1-EXP(-LN(2)/2))/(LN(2)/2)*V44*Y44*VLOOKUP('Données projet'!$B$9,Paramètres!$A$1:$I$89,3,0)*0.475*44/12</f>
        <v>1.0919475879746727</v>
      </c>
      <c r="AC44" s="22">
        <f t="shared" si="3"/>
        <v>9.8523207226844072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8.6</v>
      </c>
      <c r="AI44" s="13">
        <f>IF('Données projet'!$A$62&gt;35,AI43+AH44-AQ43,IF(A44&lt;'Données projet'!$A$62,$AF$205^A44,IF(A44='Données projet'!$A$62,'Données projet'!$B$62,AI43+AH44-AQ43)))</f>
        <v>166.59999999999994</v>
      </c>
      <c r="AJ44" s="13">
        <f>AI44*VLOOKUP('Données projet'!$B$10,Paramètres!$A$1:$I$89,3,0)*VLOOKUP('Données projet'!$B$10,Paramètres!$A$1:$I$89,5,0)</f>
        <v>145.54175999999998</v>
      </c>
      <c r="AK44" s="13">
        <f t="shared" si="35"/>
        <v>37.563662342876064</v>
      </c>
      <c r="AL44" s="20">
        <f t="shared" si="4"/>
        <v>318.90861058050911</v>
      </c>
      <c r="AM44" s="59">
        <f t="shared" si="5"/>
        <v>612.24194391384242</v>
      </c>
      <c r="AN44" s="59">
        <f ca="1">AVERAGE(OFFSET($AM$3,0,0,'Données projet'!$E$10+1,1))-AVERAGE(OFFSET($H$3,0,0,'Données projet'!$E$10+1,1))</f>
        <v>201.61452816909701</v>
      </c>
      <c r="AO44" s="59">
        <f t="shared" si="36"/>
        <v>287.77679930887746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9.0404216287708294</v>
      </c>
      <c r="AV44" s="21">
        <f>EXP(-LN(2)/25)*AV43+(1-EXP(-LN(2)/25))/(LN(2)/25)*Calculateur!AQ44*Calculateur!AS44*VLOOKUP('Données projet'!$B$10,Paramètres!$A$1:$I$89,3,0)*0.475*44/12</f>
        <v>14.269591328677032</v>
      </c>
      <c r="AW44" s="21">
        <f>EXP(-LN(2)/2)*AW43+(1-EXP(-LN(2)/2))/(LN(2)/2)*AQ44*AT44*VLOOKUP('Données projet'!$B$10,Paramètres!$A$1:$I$89,3,0)*0.475*44/12</f>
        <v>5.2235809012493268</v>
      </c>
      <c r="AX44" s="21">
        <f t="shared" si="6"/>
        <v>28.533593858697188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</v>
      </c>
      <c r="BD44" s="12">
        <f>IF('Données projet'!$A$88&gt;35,BD43+BC44-BL43,IF(A44&lt;'Données projet'!$A$88,$BA$205^A44,IF(A44='Données projet'!$A$88,'Données projet'!$B$88,BD43+BC44-BL43)))</f>
        <v>242.00000000000006</v>
      </c>
      <c r="BE44" s="13">
        <f>BD44*VLOOKUP('Données projet'!$B$11,Paramètres!$A$1:$I$89,3,0)*VLOOKUP('Données projet'!$B$11,Paramètres!$A$1:$I$89,5,0)</f>
        <v>144.71600000000007</v>
      </c>
      <c r="BF44" s="13">
        <f t="shared" si="37"/>
        <v>37.375282885096105</v>
      </c>
      <c r="BG44" s="20">
        <f t="shared" si="7"/>
        <v>317.14231769154247</v>
      </c>
      <c r="BH44" s="59">
        <f t="shared" si="8"/>
        <v>610.47565102487579</v>
      </c>
      <c r="BI44" s="59">
        <f ca="1">AVERAGE(OFFSET($BH$3,0,0,'Données projet'!$E$11+1,1))-AVERAGE(OFFSET($H$3,0,0,'Données projet'!$E$11+1,1))</f>
        <v>225.63994281336028</v>
      </c>
      <c r="BJ44" s="59">
        <f t="shared" si="38"/>
        <v>231.19476400361157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6.580505726329541</v>
      </c>
      <c r="BQ44" s="21">
        <f>EXP(-LN(2)/25)*BQ43+(1-EXP(-LN(2)/25))/(LN(2)/25)*Calculateur!BL44*Calculateur!BN44*VLOOKUP('Données projet'!$B$11,Paramètres!$A$1:$I$89,3,0)*0.475*44/12</f>
        <v>12.802230925874246</v>
      </c>
      <c r="BR44" s="21">
        <f>EXP(-LN(2)/2)*BR43+(1-EXP(-LN(2)/2))/(LN(2)/2)*BL44*BO44*VLOOKUP('Données projet'!$B$11,Paramètres!$A$1:$I$89,3,0)*0.475*44/12</f>
        <v>5.1374527623911197</v>
      </c>
      <c r="BS44" s="22">
        <f t="shared" si="9"/>
        <v>24.52018941459491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10.857142857142858</v>
      </c>
      <c r="BY44" s="12">
        <f>IF('Données projet'!$A$114&gt;35,BY43+BX44-CG43,IF(A44&lt;'Données projet'!$A$114,$BV$205^A44,IF(A44='Données projet'!$A$114,'Données projet'!$B$114,BY43+BX44-CG43)))</f>
        <v>193.42857142857133</v>
      </c>
      <c r="BZ44" s="13">
        <f>BY44*VLOOKUP('Données projet'!$B$12,Paramètres!$A$1:$I$89,3,0)*VLOOKUP('Données projet'!$B$12,Paramètres!$A$1:$I$89,5,0)</f>
        <v>90.524571428571392</v>
      </c>
      <c r="CA44" s="13">
        <f t="shared" si="39"/>
        <v>24.691696167188251</v>
      </c>
      <c r="CB44" s="20">
        <f t="shared" si="10"/>
        <v>200.66833272928136</v>
      </c>
      <c r="CC44" s="59">
        <f t="shared" si="11"/>
        <v>494.00166606261467</v>
      </c>
      <c r="CD44" s="59">
        <f ca="1">AVERAGE(OFFSET($CC$3,0,0,'Données projet'!$E$12+1,1))-AVERAGE(OFFSET($H$3,0,0,'Données projet'!$E$12+1,1))</f>
        <v>111.69585394603672</v>
      </c>
      <c r="CE44" s="59">
        <f t="shared" si="40"/>
        <v>162.6701214629764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6.7712366972542997</v>
      </c>
      <c r="CL44" s="21">
        <f>EXP(-LN(2)/25)*CL43+(1-EXP(-LN(2)/25))/(LN(2)/25)*Calculateur!CG44*Calculateur!CI44*VLOOKUP('Données projet'!$B$12,Paramètres!$A$1:$I$89,3,0)*0.475*44/12</f>
        <v>13.278494098826259</v>
      </c>
      <c r="CM44" s="21">
        <f>EXP(-LN(2)/2)*CM43+(1-EXP(-LN(2)/2))/(LN(2)/2)*CG44*CJ44*VLOOKUP('Données projet'!$B$12,Paramètres!$A$1:$I$89,3,0)*0.475*44/12</f>
        <v>2.1882768496603395</v>
      </c>
      <c r="CN44" s="22">
        <f t="shared" si="12"/>
        <v>22.2380076457409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</v>
      </c>
      <c r="N45" s="13">
        <f>IF('Données projet'!$A$36&gt;35,N44+M45-V44,IF(A45&lt;'Données projet'!$A$36,$K$205^A45,IF(A45='Données projet'!$A$36,'Données projet'!$B$36,N44+M45-V44)))</f>
        <v>293.99999999999994</v>
      </c>
      <c r="O45" s="13">
        <f>N45*VLOOKUP('Données projet'!$B$9,Paramètres!$A$1:$I$89,3,0)*VLOOKUP('Données projet'!$B$9,Paramètres!$A$1:$I$89,5,0)</f>
        <v>266.01119999999992</v>
      </c>
      <c r="P45" s="13">
        <f t="shared" si="33"/>
        <v>64.00201337612566</v>
      </c>
      <c r="Q45" s="20">
        <f t="shared" si="53"/>
        <v>574.77301329675208</v>
      </c>
      <c r="R45" s="59">
        <f t="shared" si="0"/>
        <v>868.10634663008545</v>
      </c>
      <c r="S45" s="59">
        <f ca="1">AVERAGE(OFFSET($R$3,0,0,'Données projet'!$E$9+1,1))-AVERAGE(OFFSET($H$3,0,0,'Données projet'!$E$9+1,1))</f>
        <v>320.93171542656671</v>
      </c>
      <c r="T45" s="59">
        <f t="shared" si="34"/>
        <v>452.7298965816143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5.4964048129257845</v>
      </c>
      <c r="AA45" s="21">
        <f>EXP(-LN(2)/25)*AA44+(1-EXP(-LN(2)/25))/(LN(2)/25)*Calculateur!V45*Calculateur!X45*VLOOKUP('Données projet'!$B$9,Paramètres!$A$1:$I$89,3,0)*0.475*44/12</f>
        <v>3.0677842255594161</v>
      </c>
      <c r="AB45" s="21">
        <f>EXP(-LN(2)/2)*AB44+(1-EXP(-LN(2)/2))/(LN(2)/2)*V45*Y45*VLOOKUP('Données projet'!$B$9,Paramètres!$A$1:$I$89,3,0)*0.475*44/12</f>
        <v>0.77212354415718532</v>
      </c>
      <c r="AC45" s="22">
        <f t="shared" si="3"/>
        <v>9.3363125826423854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8.6</v>
      </c>
      <c r="AI45" s="13">
        <f>IF('Données projet'!$A$62&gt;35,AI44+AH45-AQ44,IF(A45&lt;'Données projet'!$A$62,$AF$205^A45,IF(A45='Données projet'!$A$62,'Données projet'!$B$62,AI44+AH45-AQ44)))</f>
        <v>175.19999999999993</v>
      </c>
      <c r="AJ45" s="13">
        <f>AI45*VLOOKUP('Données projet'!$B$10,Paramètres!$A$1:$I$89,3,0)*VLOOKUP('Données projet'!$B$10,Paramètres!$A$1:$I$89,5,0)</f>
        <v>153.05471999999995</v>
      </c>
      <c r="AK45" s="13">
        <f t="shared" si="35"/>
        <v>39.271965088385166</v>
      </c>
      <c r="AL45" s="20">
        <f t="shared" si="4"/>
        <v>334.96897652893739</v>
      </c>
      <c r="AM45" s="59">
        <f t="shared" si="5"/>
        <v>628.3023098622707</v>
      </c>
      <c r="AN45" s="59">
        <f ca="1">AVERAGE(OFFSET($AM$3,0,0,'Données projet'!$E$10+1,1))-AVERAGE(OFFSET($H$3,0,0,'Données projet'!$E$10+1,1))</f>
        <v>201.61452816909701</v>
      </c>
      <c r="AO45" s="59">
        <f t="shared" si="36"/>
        <v>287.77679930887746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8.8631444747433541</v>
      </c>
      <c r="AV45" s="21">
        <f>EXP(-LN(2)/25)*AV44+(1-EXP(-LN(2)/25))/(LN(2)/25)*Calculateur!AQ45*Calculateur!AS45*VLOOKUP('Données projet'!$B$10,Paramètres!$A$1:$I$89,3,0)*0.475*44/12</f>
        <v>13.879388603389165</v>
      </c>
      <c r="AW45" s="21">
        <f>EXP(-LN(2)/2)*AW44+(1-EXP(-LN(2)/2))/(LN(2)/2)*AQ45*AT45*VLOOKUP('Données projet'!$B$10,Paramètres!$A$1:$I$89,3,0)*0.475*44/12</f>
        <v>3.6936294773499365</v>
      </c>
      <c r="AX45" s="21">
        <f t="shared" si="6"/>
        <v>26.436162555482454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</v>
      </c>
      <c r="BD45" s="12">
        <f>IF('Données projet'!$A$88&gt;35,BD44+BC45-BL44,IF(A45&lt;'Données projet'!$A$88,$BA$205^A45,IF(A45='Données projet'!$A$88,'Données projet'!$B$88,BD44+BC45-BL44)))</f>
        <v>261.00000000000006</v>
      </c>
      <c r="BE45" s="13">
        <f>BD45*VLOOKUP('Données projet'!$B$11,Paramètres!$A$1:$I$89,3,0)*VLOOKUP('Données projet'!$B$11,Paramètres!$A$1:$I$89,5,0)</f>
        <v>156.07800000000003</v>
      </c>
      <c r="BF45" s="13">
        <f t="shared" si="37"/>
        <v>39.956623674978466</v>
      </c>
      <c r="BG45" s="20">
        <f t="shared" si="7"/>
        <v>341.42696956725422</v>
      </c>
      <c r="BH45" s="59">
        <f t="shared" si="8"/>
        <v>634.76030290058748</v>
      </c>
      <c r="BI45" s="59">
        <f ca="1">AVERAGE(OFFSET($BH$3,0,0,'Données projet'!$E$11+1,1))-AVERAGE(OFFSET($H$3,0,0,'Données projet'!$E$11+1,1))</f>
        <v>225.63994281336028</v>
      </c>
      <c r="BJ45" s="59">
        <f t="shared" si="38"/>
        <v>231.19476400361157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6.4514660227483906</v>
      </c>
      <c r="BQ45" s="21">
        <f>EXP(-LN(2)/25)*BQ44+(1-EXP(-LN(2)/25))/(LN(2)/25)*Calculateur!BL45*Calculateur!BN45*VLOOKUP('Données projet'!$B$11,Paramètres!$A$1:$I$89,3,0)*0.475*44/12</f>
        <v>12.45215324796615</v>
      </c>
      <c r="BR45" s="21">
        <f>EXP(-LN(2)/2)*BR44+(1-EXP(-LN(2)/2))/(LN(2)/2)*BL45*BO45*VLOOKUP('Données projet'!$B$11,Paramètres!$A$1:$I$89,3,0)*0.475*44/12</f>
        <v>3.6327276863123217</v>
      </c>
      <c r="BS45" s="22">
        <f t="shared" si="9"/>
        <v>22.536346957026861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10.857142857142858</v>
      </c>
      <c r="BY45" s="12">
        <f>IF('Données projet'!$A$114&gt;35,BY44+BX45-CG44,IF(A45&lt;'Données projet'!$A$114,$BV$205^A45,IF(A45='Données projet'!$A$114,'Données projet'!$B$114,BY44+BX45-CG44)))</f>
        <v>204.28571428571419</v>
      </c>
      <c r="BZ45" s="13">
        <f>BY45*VLOOKUP('Données projet'!$B$12,Paramètres!$A$1:$I$89,3,0)*VLOOKUP('Données projet'!$B$12,Paramètres!$A$1:$I$89,5,0)</f>
        <v>95.605714285714242</v>
      </c>
      <c r="CA45" s="13">
        <f t="shared" si="39"/>
        <v>25.912397380593962</v>
      </c>
      <c r="CB45" s="20">
        <f t="shared" si="10"/>
        <v>211.64404448548677</v>
      </c>
      <c r="CC45" s="59">
        <f t="shared" si="11"/>
        <v>504.97737781882006</v>
      </c>
      <c r="CD45" s="59">
        <f ca="1">AVERAGE(OFFSET($CC$3,0,0,'Données projet'!$E$12+1,1))-AVERAGE(OFFSET($H$3,0,0,'Données projet'!$E$12+1,1))</f>
        <v>111.69585394603672</v>
      </c>
      <c r="CE45" s="59">
        <f t="shared" si="40"/>
        <v>162.6701214629764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6.6384568756677202</v>
      </c>
      <c r="CL45" s="21">
        <f>EXP(-LN(2)/25)*CL44+(1-EXP(-LN(2)/25))/(LN(2)/25)*Calculateur!CG45*Calculateur!CI45*VLOOKUP('Données projet'!$B$12,Paramètres!$A$1:$I$89,3,0)*0.475*44/12</f>
        <v>12.9153929794082</v>
      </c>
      <c r="CM45" s="21">
        <f>EXP(-LN(2)/2)*CM44+(1-EXP(-LN(2)/2))/(LN(2)/2)*CG45*CJ45*VLOOKUP('Données projet'!$B$12,Paramètres!$A$1:$I$89,3,0)*0.475*44/12</f>
        <v>1.5473453995083613</v>
      </c>
      <c r="CN45" s="22">
        <f t="shared" si="12"/>
        <v>21.101195254584283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</v>
      </c>
      <c r="N46" s="13">
        <f>IF('Données projet'!$A$36&gt;35,N45+M46-V45,IF(A46&lt;'Données projet'!$A$36,$K$205^A46,IF(A46='Données projet'!$A$36,'Données projet'!$B$36,N45+M46-V45)))</f>
        <v>299.99999999999994</v>
      </c>
      <c r="O46" s="13">
        <f>N46*VLOOKUP('Données projet'!$B$9,Paramètres!$A$1:$I$89,3,0)*VLOOKUP('Données projet'!$B$9,Paramètres!$A$1:$I$89,5,0)</f>
        <v>271.43999999999994</v>
      </c>
      <c r="P46" s="13">
        <f t="shared" si="33"/>
        <v>65.154778959151173</v>
      </c>
      <c r="Q46" s="20">
        <f t="shared" si="53"/>
        <v>586.23590668718805</v>
      </c>
      <c r="R46" s="59">
        <f t="shared" si="0"/>
        <v>879.56924002052142</v>
      </c>
      <c r="S46" s="59">
        <f ca="1">AVERAGE(OFFSET($R$3,0,0,'Données projet'!$E$9+1,1))-AVERAGE(OFFSET($H$3,0,0,'Données projet'!$E$9+1,1))</f>
        <v>320.93171542656671</v>
      </c>
      <c r="T46" s="59">
        <f t="shared" si="34"/>
        <v>452.7298965816143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5.3886236670202159</v>
      </c>
      <c r="AA46" s="21">
        <f>EXP(-LN(2)/25)*AA45+(1-EXP(-LN(2)/25))/(LN(2)/25)*Calculateur!V46*Calculateur!X46*VLOOKUP('Données projet'!$B$9,Paramètres!$A$1:$I$89,3,0)*0.475*44/12</f>
        <v>2.983895504583733</v>
      </c>
      <c r="AB46" s="21">
        <f>EXP(-LN(2)/2)*AB45+(1-EXP(-LN(2)/2))/(LN(2)/2)*V46*Y46*VLOOKUP('Données projet'!$B$9,Paramètres!$A$1:$I$89,3,0)*0.475*44/12</f>
        <v>0.54597379398733648</v>
      </c>
      <c r="AC46" s="22">
        <f t="shared" si="3"/>
        <v>8.9184929655912857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8.6</v>
      </c>
      <c r="AI46" s="13">
        <f>IF('Données projet'!$A$62&gt;35,AI45+AH46-AQ45,IF(A46&lt;'Données projet'!$A$62,$AF$205^A46,IF(A46='Données projet'!$A$62,'Données projet'!$B$62,AI45+AH46-AQ45)))</f>
        <v>183.79999999999993</v>
      </c>
      <c r="AJ46" s="13">
        <f>AI46*VLOOKUP('Données projet'!$B$10,Paramètres!$A$1:$I$89,3,0)*VLOOKUP('Données projet'!$B$10,Paramètres!$A$1:$I$89,5,0)</f>
        <v>160.56767999999997</v>
      </c>
      <c r="AK46" s="13">
        <f t="shared" si="35"/>
        <v>40.970530810309882</v>
      </c>
      <c r="AL46" s="20">
        <f t="shared" si="4"/>
        <v>351.01238382795628</v>
      </c>
      <c r="AM46" s="59">
        <f t="shared" si="5"/>
        <v>644.3457171612896</v>
      </c>
      <c r="AN46" s="59">
        <f ca="1">AVERAGE(OFFSET($AM$3,0,0,'Données projet'!$E$10+1,1))-AVERAGE(OFFSET($H$3,0,0,'Données projet'!$E$10+1,1))</f>
        <v>201.61452816909701</v>
      </c>
      <c r="AO46" s="59">
        <f t="shared" si="36"/>
        <v>287.77679930887746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8.6893436175779701</v>
      </c>
      <c r="AV46" s="21">
        <f>EXP(-LN(2)/25)*AV45+(1-EXP(-LN(2)/25))/(LN(2)/25)*Calculateur!AQ46*Calculateur!AS46*VLOOKUP('Données projet'!$B$10,Paramètres!$A$1:$I$89,3,0)*0.475*44/12</f>
        <v>13.499855992144163</v>
      </c>
      <c r="AW46" s="21">
        <f>EXP(-LN(2)/2)*AW45+(1-EXP(-LN(2)/2))/(LN(2)/2)*AQ46*AT46*VLOOKUP('Données projet'!$B$10,Paramètres!$A$1:$I$89,3,0)*0.475*44/12</f>
        <v>2.6117904506246634</v>
      </c>
      <c r="AX46" s="21">
        <f t="shared" si="6"/>
        <v>24.800990060346795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</v>
      </c>
      <c r="BD46" s="12">
        <f>IF('Données projet'!$A$88&gt;35,BD45+BC46-BL45,IF(A46&lt;'Données projet'!$A$88,$BA$205^A46,IF(A46='Données projet'!$A$88,'Données projet'!$B$88,BD45+BC46-BL45)))</f>
        <v>280.00000000000006</v>
      </c>
      <c r="BE46" s="13">
        <f>BD46*VLOOKUP('Données projet'!$B$11,Paramètres!$A$1:$I$89,3,0)*VLOOKUP('Données projet'!$B$11,Paramètres!$A$1:$I$89,5,0)</f>
        <v>167.44000000000005</v>
      </c>
      <c r="BF46" s="13">
        <f t="shared" si="37"/>
        <v>42.516163405082935</v>
      </c>
      <c r="BG46" s="20">
        <f t="shared" si="7"/>
        <v>365.67365126385283</v>
      </c>
      <c r="BH46" s="59">
        <f t="shared" si="8"/>
        <v>659.00698459718615</v>
      </c>
      <c r="BI46" s="59">
        <f ca="1">AVERAGE(OFFSET($BH$3,0,0,'Données projet'!$E$11+1,1))-AVERAGE(OFFSET($H$3,0,0,'Données projet'!$E$11+1,1))</f>
        <v>225.63994281336028</v>
      </c>
      <c r="BJ46" s="59">
        <f t="shared" si="38"/>
        <v>231.19476400361157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6.3249567090480188</v>
      </c>
      <c r="BQ46" s="21">
        <f>EXP(-LN(2)/25)*BQ45+(1-EXP(-LN(2)/25))/(LN(2)/25)*Calculateur!BL46*Calculateur!BN46*VLOOKUP('Données projet'!$B$11,Paramètres!$A$1:$I$89,3,0)*0.475*44/12</f>
        <v>12.111648462570235</v>
      </c>
      <c r="BR46" s="21">
        <f>EXP(-LN(2)/2)*BR45+(1-EXP(-LN(2)/2))/(LN(2)/2)*BL46*BO46*VLOOKUP('Données projet'!$B$11,Paramètres!$A$1:$I$89,3,0)*0.475*44/12</f>
        <v>2.5687263811955603</v>
      </c>
      <c r="BS46" s="22">
        <f t="shared" si="9"/>
        <v>21.005331552813814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10.857142857142858</v>
      </c>
      <c r="BY46" s="12">
        <f>IF('Données projet'!$A$114&gt;35,BY45+BX46-CG45,IF(A46&lt;'Données projet'!$A$114,$BV$205^A46,IF(A46='Données projet'!$A$114,'Données projet'!$B$114,BY45+BX46-CG45)))</f>
        <v>215.14285714285705</v>
      </c>
      <c r="BZ46" s="13">
        <f>BY46*VLOOKUP('Données projet'!$B$12,Paramètres!$A$1:$I$89,3,0)*VLOOKUP('Données projet'!$B$12,Paramètres!$A$1:$I$89,5,0)</f>
        <v>100.68685714285711</v>
      </c>
      <c r="CA46" s="13">
        <f t="shared" si="39"/>
        <v>27.125566544771527</v>
      </c>
      <c r="CB46" s="20">
        <f t="shared" si="10"/>
        <v>222.60663792261985</v>
      </c>
      <c r="CC46" s="59">
        <f t="shared" si="11"/>
        <v>515.9399712559532</v>
      </c>
      <c r="CD46" s="59">
        <f ca="1">AVERAGE(OFFSET($CC$3,0,0,'Données projet'!$E$12+1,1))-AVERAGE(OFFSET($H$3,0,0,'Données projet'!$E$12+1,1))</f>
        <v>111.69585394603672</v>
      </c>
      <c r="CE46" s="59">
        <f t="shared" si="40"/>
        <v>162.6701214629764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6.5082807853947591</v>
      </c>
      <c r="CL46" s="21">
        <f>EXP(-LN(2)/25)*CL45+(1-EXP(-LN(2)/25))/(LN(2)/25)*Calculateur!CG46*Calculateur!CI46*VLOOKUP('Données projet'!$B$12,Paramètres!$A$1:$I$89,3,0)*0.475*44/12</f>
        <v>12.562220879195284</v>
      </c>
      <c r="CM46" s="21">
        <f>EXP(-LN(2)/2)*CM45+(1-EXP(-LN(2)/2))/(LN(2)/2)*CG46*CJ46*VLOOKUP('Données projet'!$B$12,Paramètres!$A$1:$I$89,3,0)*0.475*44/12</f>
        <v>1.0941384248301698</v>
      </c>
      <c r="CN46" s="22">
        <f t="shared" si="12"/>
        <v>20.164640089420214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</v>
      </c>
      <c r="N47" s="13">
        <f>IF('Données projet'!$A$36&gt;35,N46+M47-V46,IF(A47&lt;'Données projet'!$A$36,$K$205^A47,IF(A47='Données projet'!$A$36,'Données projet'!$B$36,N46+M47-V46)))</f>
        <v>305.99999999999994</v>
      </c>
      <c r="O47" s="13">
        <f>N47*VLOOKUP('Données projet'!$B$9,Paramètres!$A$1:$I$89,3,0)*VLOOKUP('Données projet'!$B$9,Paramètres!$A$1:$I$89,5,0)</f>
        <v>276.86879999999996</v>
      </c>
      <c r="P47" s="13">
        <f t="shared" si="33"/>
        <v>66.30486383631866</v>
      </c>
      <c r="Q47" s="20">
        <f t="shared" si="53"/>
        <v>597.6941311815882</v>
      </c>
      <c r="R47" s="59">
        <f t="shared" si="0"/>
        <v>891.02746451492158</v>
      </c>
      <c r="S47" s="59">
        <f ca="1">AVERAGE(OFFSET($R$3,0,0,'Données projet'!$E$9+1,1))-AVERAGE(OFFSET($H$3,0,0,'Données projet'!$E$9+1,1))</f>
        <v>320.93171542656671</v>
      </c>
      <c r="T47" s="59">
        <f t="shared" si="34"/>
        <v>452.7298965816143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5.2829560436458483</v>
      </c>
      <c r="AA47" s="21">
        <f>EXP(-LN(2)/25)*AA46+(1-EXP(-LN(2)/25))/(LN(2)/25)*Calculateur!V47*Calculateur!X47*VLOOKUP('Données projet'!$B$9,Paramètres!$A$1:$I$89,3,0)*0.475*44/12</f>
        <v>2.902300725094646</v>
      </c>
      <c r="AB47" s="21">
        <f>EXP(-LN(2)/2)*AB46+(1-EXP(-LN(2)/2))/(LN(2)/2)*V47*Y47*VLOOKUP('Données projet'!$B$9,Paramètres!$A$1:$I$89,3,0)*0.475*44/12</f>
        <v>0.38606177207859271</v>
      </c>
      <c r="AC47" s="22">
        <f t="shared" si="3"/>
        <v>8.5713185408190871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8.6</v>
      </c>
      <c r="AI47" s="13">
        <f>IF('Données projet'!$A$62&gt;35,AI46+AH47-AQ46,IF(A47&lt;'Données projet'!$A$62,$AF$205^A47,IF(A47='Données projet'!$A$62,'Données projet'!$B$62,AI46+AH47-AQ46)))</f>
        <v>192.39999999999992</v>
      </c>
      <c r="AJ47" s="13">
        <f>AI47*VLOOKUP('Données projet'!$B$10,Paramètres!$A$1:$I$89,3,0)*VLOOKUP('Données projet'!$B$10,Paramètres!$A$1:$I$89,5,0)</f>
        <v>168.08063999999996</v>
      </c>
      <c r="AK47" s="13">
        <f t="shared" si="35"/>
        <v>42.659867131343425</v>
      </c>
      <c r="AL47" s="20">
        <f t="shared" si="4"/>
        <v>367.03971658708974</v>
      </c>
      <c r="AM47" s="59">
        <f t="shared" si="5"/>
        <v>660.373049920423</v>
      </c>
      <c r="AN47" s="59">
        <f ca="1">AVERAGE(OFFSET($AM$3,0,0,'Données projet'!$E$10+1,1))-AVERAGE(OFFSET($H$3,0,0,'Données projet'!$E$10+1,1))</f>
        <v>201.61452816909701</v>
      </c>
      <c r="AO47" s="59">
        <f t="shared" si="36"/>
        <v>287.77679930887746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8.5189508892135439</v>
      </c>
      <c r="AV47" s="21">
        <f>EXP(-LN(2)/25)*AV46+(1-EXP(-LN(2)/25))/(LN(2)/25)*Calculateur!AQ47*Calculateur!AS47*VLOOKUP('Données projet'!$B$10,Paramètres!$A$1:$I$89,3,0)*0.475*44/12</f>
        <v>13.130701720112409</v>
      </c>
      <c r="AW47" s="21">
        <f>EXP(-LN(2)/2)*AW46+(1-EXP(-LN(2)/2))/(LN(2)/2)*AQ47*AT47*VLOOKUP('Données projet'!$B$10,Paramètres!$A$1:$I$89,3,0)*0.475*44/12</f>
        <v>1.8468147386749683</v>
      </c>
      <c r="AX47" s="21">
        <f t="shared" si="6"/>
        <v>23.496467348000923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</v>
      </c>
      <c r="BD47" s="12">
        <f>IF('Données projet'!$A$88&gt;35,BD46+BC47-BL46,IF(A47&lt;'Données projet'!$A$88,$BA$205^A47,IF(A47='Données projet'!$A$88,'Données projet'!$B$88,BD46+BC47-BL46)))</f>
        <v>299.00000000000006</v>
      </c>
      <c r="BE47" s="13">
        <f>BD47*VLOOKUP('Données projet'!$B$11,Paramètres!$A$1:$I$89,3,0)*VLOOKUP('Données projet'!$B$11,Paramètres!$A$1:$I$89,5,0)</f>
        <v>178.80200000000002</v>
      </c>
      <c r="BF47" s="13">
        <f t="shared" si="37"/>
        <v>45.055549739375941</v>
      </c>
      <c r="BG47" s="20">
        <f t="shared" si="7"/>
        <v>389.88523246274644</v>
      </c>
      <c r="BH47" s="59">
        <f t="shared" si="8"/>
        <v>683.2185657960797</v>
      </c>
      <c r="BI47" s="59">
        <f ca="1">AVERAGE(OFFSET($BH$3,0,0,'Données projet'!$E$11+1,1))-AVERAGE(OFFSET($H$3,0,0,'Données projet'!$E$11+1,1))</f>
        <v>225.63994281336028</v>
      </c>
      <c r="BJ47" s="59">
        <f t="shared" si="38"/>
        <v>231.19476400361157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6.200928165826249</v>
      </c>
      <c r="BQ47" s="21">
        <f>EXP(-LN(2)/25)*BQ46+(1-EXP(-LN(2)/25))/(LN(2)/25)*Calculateur!BL47*Calculateur!BN47*VLOOKUP('Données projet'!$B$11,Paramètres!$A$1:$I$89,3,0)*0.475*44/12</f>
        <v>11.780454798437342</v>
      </c>
      <c r="BR47" s="21">
        <f>EXP(-LN(2)/2)*BR46+(1-EXP(-LN(2)/2))/(LN(2)/2)*BL47*BO47*VLOOKUP('Données projet'!$B$11,Paramètres!$A$1:$I$89,3,0)*0.475*44/12</f>
        <v>1.8163638431561613</v>
      </c>
      <c r="BS47" s="22">
        <f t="shared" si="9"/>
        <v>19.797746807419752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226</v>
      </c>
      <c r="BW47" s="12">
        <f>VLOOKUP(A47,'Données projet'!$A$113:$I$133,9,0)</f>
        <v>10.857142857142858</v>
      </c>
      <c r="BX47" s="12">
        <f t="array" ref="BX47">INDEX(BW:BW,MIN(IF(ISNUMBER(BW47:BW243),ROW(BW47:BW243),"")))</f>
        <v>10.857142857142858</v>
      </c>
      <c r="BY47" s="12">
        <f>IF('Données projet'!$A$114&gt;35,BY46+BX47-CG46,IF(A47&lt;'Données projet'!$A$114,$BV$205^A47,IF(A47='Données projet'!$A$114,'Données projet'!$B$114,BY46+BX47-CG46)))</f>
        <v>225.99999999999991</v>
      </c>
      <c r="BZ47" s="13">
        <f>BY47*VLOOKUP('Données projet'!$B$12,Paramètres!$A$1:$I$89,3,0)*VLOOKUP('Données projet'!$B$12,Paramètres!$A$1:$I$89,5,0)</f>
        <v>105.76799999999997</v>
      </c>
      <c r="CA47" s="13">
        <f t="shared" si="39"/>
        <v>28.33162713151323</v>
      </c>
      <c r="CB47" s="20">
        <f t="shared" si="10"/>
        <v>233.5568505873855</v>
      </c>
      <c r="CC47" s="59">
        <f t="shared" si="11"/>
        <v>526.89018392071875</v>
      </c>
      <c r="CD47" s="59">
        <f ca="1">AVERAGE(OFFSET($CC$3,0,0,'Données projet'!$E$12+1,1))-AVERAGE(OFFSET($H$3,0,0,'Données projet'!$E$12+1,1))</f>
        <v>111.69585394603672</v>
      </c>
      <c r="CE47" s="59">
        <f t="shared" si="40"/>
        <v>162.6701214629764</v>
      </c>
      <c r="CF47" s="15">
        <f>IF(ISNA(VLOOKUP(A47,'Données projet'!$A$113:$I$133,3,0)),0,VLOOKUP(A47,'Données projet'!$A$113:$I$133,3,0))</f>
        <v>5</v>
      </c>
      <c r="CG47" s="15">
        <f>IF(ISNA(VLOOKUP(A47,'Données projet'!$A$113:$I$133,4,0)),0,VLOOKUP(A47,'Données projet'!$A$113:$I$133,4,0))</f>
        <v>60</v>
      </c>
      <c r="CH47" s="16">
        <f>IF(ISNA(VLOOKUP(A47,'Données projet'!$A$113:$I$133,5,0)),0%,VLOOKUP(A47,'Données projet'!$A$113:$I$133,5,0)*VLOOKUP('Données projet'!$B$12,Paramètres!$A$1:$I$89,7,0))</f>
        <v>0.16500000000000001</v>
      </c>
      <c r="CI47" s="16">
        <f>IF(ISNA(VLOOKUP(A47,'Données projet'!$A$113:$I$133,6,0)),0%,VLOOKUP(A47,'Données projet'!$A$113:$I$133,6,0)*VLOOKUP('Données projet'!$B$12,Paramètres!$A$1:$I$89,7,0))</f>
        <v>0.16500000000000001</v>
      </c>
      <c r="CJ47" s="16">
        <f>IF(ISNA(VLOOKUP(A47,'Données projet'!$A$113:$I$133,7,0)),0%,VLOOKUP(A47,'Données projet'!$A$113:$I$133,7,0))</f>
        <v>0.2</v>
      </c>
      <c r="CK47" s="21">
        <f>EXP(-LN(2)/35)*CK46+(1-EXP(-LN(2)/35))/(LN(2)/35)*CG47*CH47*VLOOKUP('Données projet'!$B$12,Paramètres!$A$1:$I$89,3,0)*0.475*44/12</f>
        <v>12.526895803794954</v>
      </c>
      <c r="CL47" s="21">
        <f>EXP(-LN(2)/25)*CL46+(1-EXP(-LN(2)/25))/(LN(2)/25)*Calculateur!CG47*Calculateur!CI47*VLOOKUP('Données projet'!$B$12,Paramètres!$A$1:$I$89,3,0)*0.475*44/12</f>
        <v>18.340744640958867</v>
      </c>
      <c r="CM47" s="21">
        <f>EXP(-LN(2)/2)*CM46+(1-EXP(-LN(2)/2))/(LN(2)/2)*CG47*CJ47*VLOOKUP('Données projet'!$B$12,Paramètres!$A$1:$I$89,3,0)*0.475*44/12</f>
        <v>7.1322892826628124</v>
      </c>
      <c r="CN47" s="22">
        <f t="shared" si="12"/>
        <v>37.999929727416635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312</v>
      </c>
      <c r="L48" s="12">
        <f>VLOOKUP(A48,'Données projet'!$A$35:$I$55,9,0)</f>
        <v>6</v>
      </c>
      <c r="M48" s="12">
        <f t="array" ref="M48">INDEX(L:L,MIN(IF(ISNUMBER(L48:L244),ROW(L48:L244),"")))</f>
        <v>6</v>
      </c>
      <c r="N48" s="13">
        <f>IF('Données projet'!$A$36&gt;35,N47+M48-V47,IF(A48&lt;'Données projet'!$A$36,$K$205^A48,IF(A48='Données projet'!$A$36,'Données projet'!$B$36,N47+M48-V47)))</f>
        <v>311.99999999999994</v>
      </c>
      <c r="O48" s="13">
        <f>N48*VLOOKUP('Données projet'!$B$9,Paramètres!$A$1:$I$89,3,0)*VLOOKUP('Données projet'!$B$9,Paramètres!$A$1:$I$89,5,0)</f>
        <v>282.29759999999993</v>
      </c>
      <c r="P48" s="13">
        <f t="shared" si="33"/>
        <v>67.452326629470178</v>
      </c>
      <c r="Q48" s="20">
        <f t="shared" si="53"/>
        <v>609.14778887966042</v>
      </c>
      <c r="R48" s="59">
        <f t="shared" si="0"/>
        <v>902.4811222129938</v>
      </c>
      <c r="S48" s="59">
        <f ca="1">AVERAGE(OFFSET($R$3,0,0,'Données projet'!$E$9+1,1))-AVERAGE(OFFSET($H$3,0,0,'Données projet'!$E$9+1,1))</f>
        <v>320.93171542656671</v>
      </c>
      <c r="T48" s="59">
        <f t="shared" si="34"/>
        <v>452.7298965816143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312</v>
      </c>
      <c r="W48" s="16">
        <f>IF(ISNA(VLOOKUP(A48,'Données projet'!$A$35:$I$55,5,0)),0%,VLOOKUP(A48,'Données projet'!$A$35:$I$55,5,0)*VLOOKUP('Données projet'!$B$9,Paramètres!$A$1:$I$89,7,0))</f>
        <v>0.12</v>
      </c>
      <c r="X48" s="16">
        <f>IF(ISNA(VLOOKUP(A48,'Données projet'!$A$35:$I$55,6,0)),0%,VLOOKUP(A48,'Données projet'!$A$35:$I$55,6,0)*VLOOKUP('Données projet'!$B$9,Paramètres!$A$1:$I$89,7,0))</f>
        <v>0.06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42.627956699503869</v>
      </c>
      <c r="AA48" s="21">
        <f>EXP(-LN(2)/25)*AA47+(1-EXP(-LN(2)/25))/(LN(2)/25)*Calculateur!V48*Calculateur!X48*VLOOKUP('Données projet'!$B$9,Paramètres!$A$1:$I$89,3,0)*0.475*44/12</f>
        <v>21.473510563796285</v>
      </c>
      <c r="AB48" s="21">
        <f>EXP(-LN(2)/2)*AB47+(1-EXP(-LN(2)/2))/(LN(2)/2)*V48*Y48*VLOOKUP('Données projet'!$B$9,Paramètres!$A$1:$I$89,3,0)*0.475*44/12</f>
        <v>53.544063602694877</v>
      </c>
      <c r="AC48" s="22">
        <f t="shared" si="3"/>
        <v>117.64553086599503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201</v>
      </c>
      <c r="AG48" s="12">
        <f>VLOOKUP(A48,'Données projet'!$A$61:$I$81,9,0)</f>
        <v>8.6</v>
      </c>
      <c r="AH48" s="12">
        <f t="array" ref="AH48">INDEX(AG:AG,MIN(IF(ISNUMBER(AG48:AG244),ROW(AG48:AG244),"")))</f>
        <v>8.6</v>
      </c>
      <c r="AI48" s="13">
        <f>IF('Données projet'!$A$62&gt;35,AI47+AH48-AQ47,IF(A48&lt;'Données projet'!$A$62,$AF$205^A48,IF(A48='Données projet'!$A$62,'Données projet'!$B$62,AI47+AH48-AQ47)))</f>
        <v>200.99999999999991</v>
      </c>
      <c r="AJ48" s="13">
        <f>AI48*VLOOKUP('Données projet'!$B$10,Paramètres!$A$1:$I$89,3,0)*VLOOKUP('Données projet'!$B$10,Paramètres!$A$1:$I$89,5,0)</f>
        <v>175.59359999999995</v>
      </c>
      <c r="AK48" s="13">
        <f t="shared" si="35"/>
        <v>44.340433728638573</v>
      </c>
      <c r="AL48" s="20">
        <f t="shared" si="4"/>
        <v>383.05177541071203</v>
      </c>
      <c r="AM48" s="59">
        <f t="shared" si="5"/>
        <v>676.38510874404528</v>
      </c>
      <c r="AN48" s="59">
        <f ca="1">AVERAGE(OFFSET($AM$3,0,0,'Données projet'!$E$10+1,1))-AVERAGE(OFFSET($H$3,0,0,'Données projet'!$E$10+1,1))</f>
        <v>201.61452816909701</v>
      </c>
      <c r="AO48" s="59">
        <f t="shared" si="36"/>
        <v>287.77679930887746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31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0.129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12.213889413639423</v>
      </c>
      <c r="AV48" s="21">
        <f>EXP(-LN(2)/25)*AV47+(1-EXP(-LN(2)/25))/(LN(2)/25)*Calculateur!AQ48*Calculateur!AS48*VLOOKUP('Données projet'!$B$10,Paramètres!$A$1:$I$89,3,0)*0.475*44/12</f>
        <v>16.618425820391103</v>
      </c>
      <c r="AW48" s="21">
        <f>EXP(-LN(2)/2)*AW47+(1-EXP(-LN(2)/2))/(LN(2)/2)*AQ48*AT48*VLOOKUP('Données projet'!$B$10,Paramètres!$A$1:$I$89,3,0)*0.475*44/12</f>
        <v>6.416338923427789</v>
      </c>
      <c r="AX48" s="21">
        <f t="shared" si="6"/>
        <v>35.248654157458311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318</v>
      </c>
      <c r="BB48" s="12">
        <f>VLOOKUP(A48,'Données projet'!$A$87:$I$107,9,0)</f>
        <v>19</v>
      </c>
      <c r="BC48" s="12">
        <f t="array" ref="BC48">INDEX(BB:BB,MIN(IF(ISNUMBER(BB48:BB244),ROW(BB48:BB244),"")))</f>
        <v>19</v>
      </c>
      <c r="BD48" s="12">
        <f>IF('Données projet'!$A$88&gt;35,BD47+BC48-BL47,IF(A48&lt;'Données projet'!$A$88,$BA$205^A48,IF(A48='Données projet'!$A$88,'Données projet'!$B$88,BD47+BC48-BL47)))</f>
        <v>318.00000000000006</v>
      </c>
      <c r="BE48" s="13">
        <f>BD48*VLOOKUP('Données projet'!$B$11,Paramètres!$A$1:$I$89,3,0)*VLOOKUP('Données projet'!$B$11,Paramètres!$A$1:$I$89,5,0)</f>
        <v>190.16400000000004</v>
      </c>
      <c r="BF48" s="13">
        <f t="shared" si="37"/>
        <v>47.576209101852911</v>
      </c>
      <c r="BG48" s="20">
        <f t="shared" si="7"/>
        <v>414.06419751906054</v>
      </c>
      <c r="BH48" s="59">
        <f t="shared" si="8"/>
        <v>707.39753085239386</v>
      </c>
      <c r="BI48" s="59">
        <f ca="1">AVERAGE(OFFSET($BH$3,0,0,'Données projet'!$E$11+1,1))-AVERAGE(OFFSET($H$3,0,0,'Données projet'!$E$11+1,1))</f>
        <v>225.63994281336028</v>
      </c>
      <c r="BJ48" s="59">
        <f t="shared" si="38"/>
        <v>231.19476400361157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53</v>
      </c>
      <c r="BM48" s="16">
        <f>IF(ISNA(VLOOKUP(A48,'Données projet'!$A$87:$I$107,5,0)),0%,VLOOKUP(A48,'Données projet'!$A$87:$I$107,5,0)*VLOOKUP('Données projet'!$B$11,Paramètres!$A$1:$I$89,7,0))</f>
        <v>0.13500000000000001</v>
      </c>
      <c r="BN48" s="16">
        <f>IF(ISNA(VLOOKUP(A48,'Données projet'!$A$87:$I$107,6,0)),0%,VLOOKUP(A48,'Données projet'!$A$87:$I$107,6,0)*VLOOKUP('Données projet'!$B$11,Paramètres!$A$1:$I$89,7,0))</f>
        <v>0.13500000000000001</v>
      </c>
      <c r="BO48" s="16">
        <f>IF(ISNA(VLOOKUP(A48,'Données projet'!$A$87:$I$107,7,0)),0%,VLOOKUP(A48,'Données projet'!$A$87:$I$107,7,0))</f>
        <v>0.2</v>
      </c>
      <c r="BP48" s="21">
        <f>EXP(-LN(2)/35)*BP47+(1-EXP(-LN(2)/35))/(LN(2)/35)*BL48*BM48*VLOOKUP('Données projet'!$B$11,Paramètres!$A$1:$I$89,3,0)*0.475*44/12</f>
        <v>11.755289816531725</v>
      </c>
      <c r="BQ48" s="21">
        <f>EXP(-LN(2)/25)*BQ47+(1-EXP(-LN(2)/25))/(LN(2)/25)*Calculateur!BL48*Calculateur!BN48*VLOOKUP('Données projet'!$B$11,Paramètres!$A$1:$I$89,3,0)*0.475*44/12</f>
        <v>17.111927302680929</v>
      </c>
      <c r="BR48" s="21">
        <f>EXP(-LN(2)/2)*BR47+(1-EXP(-LN(2)/2))/(LN(2)/2)*BL48*BO48*VLOOKUP('Données projet'!$B$11,Paramètres!$A$1:$I$89,3,0)*0.475*44/12</f>
        <v>8.4613572781585429</v>
      </c>
      <c r="BS48" s="22">
        <f t="shared" si="9"/>
        <v>37.328574397371199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11.857142857142858</v>
      </c>
      <c r="BY48" s="12">
        <f>IF('Données projet'!$A$114&gt;35,BY47+BX48-CG47,IF(A48&lt;'Données projet'!$A$114,$BV$205^A48,IF(A48='Données projet'!$A$114,'Données projet'!$B$114,BY47+BX48-CG47)))</f>
        <v>177.85714285714278</v>
      </c>
      <c r="BZ48" s="13">
        <f>BY48*VLOOKUP('Données projet'!$B$12,Paramètres!$A$1:$I$89,3,0)*VLOOKUP('Données projet'!$B$12,Paramètres!$A$1:$I$89,5,0)</f>
        <v>83.237142857142814</v>
      </c>
      <c r="CA48" s="13">
        <f t="shared" si="39"/>
        <v>22.926845872875649</v>
      </c>
      <c r="CB48" s="20">
        <f t="shared" si="10"/>
        <v>184.9022803714488</v>
      </c>
      <c r="CC48" s="59">
        <f t="shared" si="11"/>
        <v>478.23561370478211</v>
      </c>
      <c r="CD48" s="59">
        <f ca="1">AVERAGE(OFFSET($CC$3,0,0,'Données projet'!$E$12+1,1))-AVERAGE(OFFSET($H$3,0,0,'Données projet'!$E$12+1,1))</f>
        <v>111.69585394603672</v>
      </c>
      <c r="CE48" s="59">
        <f t="shared" si="40"/>
        <v>162.6701214629764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12.281251017734524</v>
      </c>
      <c r="CL48" s="21">
        <f>EXP(-LN(2)/25)*CL47+(1-EXP(-LN(2)/25))/(LN(2)/25)*Calculateur!CG48*Calculateur!CI48*VLOOKUP('Données projet'!$B$12,Paramètres!$A$1:$I$89,3,0)*0.475*44/12</f>
        <v>17.839216014254006</v>
      </c>
      <c r="CM48" s="21">
        <f>EXP(-LN(2)/2)*CM47+(1-EXP(-LN(2)/2))/(LN(2)/2)*CG48*CJ48*VLOOKUP('Données projet'!$B$12,Paramètres!$A$1:$I$89,3,0)*0.475*44/12</f>
        <v>5.0432901171550117</v>
      </c>
      <c r="CN48" s="22">
        <f t="shared" si="12"/>
        <v>35.163757149143542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-5.1431925385259088E-14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320.93171542656671</v>
      </c>
      <c r="T49" s="59">
        <f t="shared" si="34"/>
        <v>452.7298965816143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41.792048469112849</v>
      </c>
      <c r="AA49" s="21">
        <f>EXP(-LN(2)/25)*AA48+(1-EXP(-LN(2)/25))/(LN(2)/25)*Calculateur!V49*Calculateur!X49*VLOOKUP('Données projet'!$B$9,Paramètres!$A$1:$I$89,3,0)*0.475*44/12</f>
        <v>20.886316288186435</v>
      </c>
      <c r="AB49" s="21">
        <f>EXP(-LN(2)/2)*AB48+(1-EXP(-LN(2)/2))/(LN(2)/2)*V49*Y49*VLOOKUP('Données projet'!$B$9,Paramètres!$A$1:$I$89,3,0)*0.475*44/12</f>
        <v>37.861370465749353</v>
      </c>
      <c r="AC49" s="22">
        <f t="shared" si="3"/>
        <v>100.53973522304864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7.8</v>
      </c>
      <c r="AI49" s="13">
        <f>IF('Données projet'!$A$62&gt;35,AI48+AH49-AQ48,IF(A49&lt;'Données projet'!$A$62,$AF$205^A49,IF(A49='Données projet'!$A$62,'Données projet'!$B$62,AI48+AH49-AQ48)))</f>
        <v>177.79999999999993</v>
      </c>
      <c r="AJ49" s="13">
        <f>AI49*VLOOKUP('Données projet'!$B$10,Paramètres!$A$1:$I$89,3,0)*VLOOKUP('Données projet'!$B$10,Paramètres!$A$1:$I$89,5,0)</f>
        <v>155.32607999999996</v>
      </c>
      <c r="AK49" s="13">
        <f t="shared" si="35"/>
        <v>39.786487601092411</v>
      </c>
      <c r="AL49" s="20">
        <f t="shared" si="4"/>
        <v>339.82105523856922</v>
      </c>
      <c r="AM49" s="59">
        <f t="shared" si="5"/>
        <v>633.15438857190247</v>
      </c>
      <c r="AN49" s="59">
        <f ca="1">AVERAGE(OFFSET($AM$3,0,0,'Données projet'!$E$10+1,1))-AVERAGE(OFFSET($H$3,0,0,'Données projet'!$E$10+1,1))</f>
        <v>201.61452816909701</v>
      </c>
      <c r="AO49" s="59">
        <f t="shared" si="36"/>
        <v>287.77679930887746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11.974382491974897</v>
      </c>
      <c r="AV49" s="21">
        <f>EXP(-LN(2)/25)*AV48+(1-EXP(-LN(2)/25))/(LN(2)/25)*Calculateur!AQ49*Calculateur!AS49*VLOOKUP('Données projet'!$B$10,Paramètres!$A$1:$I$89,3,0)*0.475*44/12</f>
        <v>16.163994092407478</v>
      </c>
      <c r="AW49" s="21">
        <f>EXP(-LN(2)/2)*AW48+(1-EXP(-LN(2)/2))/(LN(2)/2)*AQ49*AT49*VLOOKUP('Données projet'!$B$10,Paramètres!$A$1:$I$89,3,0)*0.475*44/12</f>
        <v>4.5370367631469817</v>
      </c>
      <c r="AX49" s="21">
        <f t="shared" si="6"/>
        <v>32.675413347529357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17.399999999999999</v>
      </c>
      <c r="BD49" s="12">
        <f>IF('Données projet'!$A$88&gt;35,BD48+BC49-BL48,IF(A49&lt;'Données projet'!$A$88,$BA$205^A49,IF(A49='Données projet'!$A$88,'Données projet'!$B$88,BD48+BC49-BL48)))</f>
        <v>282.40000000000003</v>
      </c>
      <c r="BE49" s="13">
        <f>BD49*VLOOKUP('Données projet'!$B$11,Paramètres!$A$1:$I$89,3,0)*VLOOKUP('Données projet'!$B$11,Paramètres!$A$1:$I$89,5,0)</f>
        <v>168.87520000000004</v>
      </c>
      <c r="BF49" s="13">
        <f t="shared" si="37"/>
        <v>42.838008554673955</v>
      </c>
      <c r="BG49" s="20">
        <f t="shared" si="7"/>
        <v>368.73383823272388</v>
      </c>
      <c r="BH49" s="59">
        <f t="shared" si="8"/>
        <v>662.06717156605714</v>
      </c>
      <c r="BI49" s="59">
        <f ca="1">AVERAGE(OFFSET($BH$3,0,0,'Données projet'!$E$11+1,1))-AVERAGE(OFFSET($H$3,0,0,'Données projet'!$E$11+1,1))</f>
        <v>225.63994281336028</v>
      </c>
      <c r="BJ49" s="59">
        <f t="shared" si="38"/>
        <v>231.19476400361157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11.524775753248345</v>
      </c>
      <c r="BQ49" s="21">
        <f>EXP(-LN(2)/25)*BQ48+(1-EXP(-LN(2)/25))/(LN(2)/25)*Calculateur!BL49*Calculateur!BN49*VLOOKUP('Données projet'!$B$11,Paramètres!$A$1:$I$89,3,0)*0.475*44/12</f>
        <v>16.644000750711971</v>
      </c>
      <c r="BR49" s="21">
        <f>EXP(-LN(2)/2)*BR48+(1-EXP(-LN(2)/2))/(LN(2)/2)*BL49*BO49*VLOOKUP('Données projet'!$B$11,Paramètres!$A$1:$I$89,3,0)*0.475*44/12</f>
        <v>5.9830831094280548</v>
      </c>
      <c r="BS49" s="22">
        <f t="shared" si="9"/>
        <v>34.151859613388368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11.857142857142858</v>
      </c>
      <c r="BY49" s="12">
        <f>IF('Données projet'!$A$114&gt;35,BY48+BX49-CG48,IF(A49&lt;'Données projet'!$A$114,$BV$205^A49,IF(A49='Données projet'!$A$114,'Données projet'!$B$114,BY48+BX49-CG48)))</f>
        <v>189.71428571428564</v>
      </c>
      <c r="BZ49" s="13">
        <f>BY49*VLOOKUP('Données projet'!$B$12,Paramètres!$A$1:$I$89,3,0)*VLOOKUP('Données projet'!$B$12,Paramètres!$A$1:$I$89,5,0)</f>
        <v>88.786285714285683</v>
      </c>
      <c r="CA49" s="13">
        <f t="shared" si="39"/>
        <v>24.27227542742515</v>
      </c>
      <c r="CB49" s="20">
        <f t="shared" si="10"/>
        <v>196.91032732181304</v>
      </c>
      <c r="CC49" s="59">
        <f t="shared" si="11"/>
        <v>490.24366065514636</v>
      </c>
      <c r="CD49" s="59">
        <f ca="1">AVERAGE(OFFSET($CC$3,0,0,'Données projet'!$E$12+1,1))-AVERAGE(OFFSET($H$3,0,0,'Données projet'!$E$12+1,1))</f>
        <v>111.69585394603672</v>
      </c>
      <c r="CE49" s="59">
        <f t="shared" si="40"/>
        <v>162.6701214629764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12.040423176100214</v>
      </c>
      <c r="CL49" s="21">
        <f>EXP(-LN(2)/25)*CL48+(1-EXP(-LN(2)/25))/(LN(2)/25)*Calculateur!CG49*Calculateur!CI49*VLOOKUP('Données projet'!$B$12,Paramètres!$A$1:$I$89,3,0)*0.475*44/12</f>
        <v>17.351401714220632</v>
      </c>
      <c r="CM49" s="21">
        <f>EXP(-LN(2)/2)*CM48+(1-EXP(-LN(2)/2))/(LN(2)/2)*CG49*CJ49*VLOOKUP('Données projet'!$B$12,Paramètres!$A$1:$I$89,3,0)*0.475*44/12</f>
        <v>3.5661446413314066</v>
      </c>
      <c r="CN49" s="22">
        <f t="shared" si="12"/>
        <v>32.957969531652253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-5.1431925385259088E-14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320.93171542656671</v>
      </c>
      <c r="T50" s="59">
        <f t="shared" si="34"/>
        <v>452.7298965816143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40.972531889266122</v>
      </c>
      <c r="AA50" s="21">
        <f>EXP(-LN(2)/25)*AA49+(1-EXP(-LN(2)/25))/(LN(2)/25)*Calculateur!V50*Calculateur!X50*VLOOKUP('Données projet'!$B$9,Paramètres!$A$1:$I$89,3,0)*0.475*44/12</f>
        <v>20.315178870922342</v>
      </c>
      <c r="AB50" s="21">
        <f>EXP(-LN(2)/2)*AB49+(1-EXP(-LN(2)/2))/(LN(2)/2)*V50*Y50*VLOOKUP('Données projet'!$B$9,Paramètres!$A$1:$I$89,3,0)*0.475*44/12</f>
        <v>26.772031801347442</v>
      </c>
      <c r="AC50" s="22">
        <f t="shared" si="3"/>
        <v>88.059742561535899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7.8</v>
      </c>
      <c r="AI50" s="13">
        <f>IF('Données projet'!$A$62&gt;35,AI49+AH50-AQ49,IF(A50&lt;'Données projet'!$A$62,$AF$205^A50,IF(A50='Données projet'!$A$62,'Données projet'!$B$62,AI49+AH50-AQ49)))</f>
        <v>185.59999999999994</v>
      </c>
      <c r="AJ50" s="13">
        <f>AI50*VLOOKUP('Données projet'!$B$10,Paramètres!$A$1:$I$89,3,0)*VLOOKUP('Données projet'!$B$10,Paramètres!$A$1:$I$89,5,0)</f>
        <v>162.14015999999998</v>
      </c>
      <c r="AK50" s="13">
        <f t="shared" si="35"/>
        <v>41.324860537333677</v>
      </c>
      <c r="AL50" s="20">
        <f t="shared" si="4"/>
        <v>354.36824410252279</v>
      </c>
      <c r="AM50" s="59">
        <f t="shared" si="5"/>
        <v>647.70157743585605</v>
      </c>
      <c r="AN50" s="59">
        <f ca="1">AVERAGE(OFFSET($AM$3,0,0,'Données projet'!$E$10+1,1))-AVERAGE(OFFSET($H$3,0,0,'Données projet'!$E$10+1,1))</f>
        <v>201.61452816909701</v>
      </c>
      <c r="AO50" s="59">
        <f t="shared" si="36"/>
        <v>287.77679930887746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11.739572154959413</v>
      </c>
      <c r="AV50" s="21">
        <f>EXP(-LN(2)/25)*AV49+(1-EXP(-LN(2)/25))/(LN(2)/25)*Calculateur!AQ50*Calculateur!AS50*VLOOKUP('Données projet'!$B$10,Paramètres!$A$1:$I$89,3,0)*0.475*44/12</f>
        <v>15.721988823923089</v>
      </c>
      <c r="AW50" s="21">
        <f>EXP(-LN(2)/2)*AW49+(1-EXP(-LN(2)/2))/(LN(2)/2)*AQ50*AT50*VLOOKUP('Données projet'!$B$10,Paramètres!$A$1:$I$89,3,0)*0.475*44/12</f>
        <v>3.2081694617138949</v>
      </c>
      <c r="AX50" s="21">
        <f t="shared" si="6"/>
        <v>30.669730440596396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17.399999999999999</v>
      </c>
      <c r="BD50" s="12">
        <f>IF('Données projet'!$A$88&gt;35,BD49+BC50-BL49,IF(A50&lt;'Données projet'!$A$88,$BA$205^A50,IF(A50='Données projet'!$A$88,'Données projet'!$B$88,BD49+BC50-BL49)))</f>
        <v>299.8</v>
      </c>
      <c r="BE50" s="13">
        <f>BD50*VLOOKUP('Données projet'!$B$11,Paramètres!$A$1:$I$89,3,0)*VLOOKUP('Données projet'!$B$11,Paramètres!$A$1:$I$89,5,0)</f>
        <v>179.28040000000001</v>
      </c>
      <c r="BF50" s="13">
        <f t="shared" si="37"/>
        <v>45.162051118824294</v>
      </c>
      <c r="BG50" s="20">
        <f t="shared" si="7"/>
        <v>390.90393569861902</v>
      </c>
      <c r="BH50" s="59">
        <f t="shared" si="8"/>
        <v>684.23726903195234</v>
      </c>
      <c r="BI50" s="59">
        <f ca="1">AVERAGE(OFFSET($BH$3,0,0,'Données projet'!$E$11+1,1))-AVERAGE(OFFSET($H$3,0,0,'Données projet'!$E$11+1,1))</f>
        <v>225.63994281336028</v>
      </c>
      <c r="BJ50" s="59">
        <f t="shared" si="38"/>
        <v>231.19476400361157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11.298781930146257</v>
      </c>
      <c r="BQ50" s="21">
        <f>EXP(-LN(2)/25)*BQ49+(1-EXP(-LN(2)/25))/(LN(2)/25)*Calculateur!BL50*Calculateur!BN50*VLOOKUP('Données projet'!$B$11,Paramètres!$A$1:$I$89,3,0)*0.475*44/12</f>
        <v>16.188869674913793</v>
      </c>
      <c r="BR50" s="21">
        <f>EXP(-LN(2)/2)*BR49+(1-EXP(-LN(2)/2))/(LN(2)/2)*BL50*BO50*VLOOKUP('Données projet'!$B$11,Paramètres!$A$1:$I$89,3,0)*0.475*44/12</f>
        <v>4.2306786390792723</v>
      </c>
      <c r="BS50" s="22">
        <f t="shared" si="9"/>
        <v>31.718330244139324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11.857142857142858</v>
      </c>
      <c r="BY50" s="12">
        <f>IF('Données projet'!$A$114&gt;35,BY49+BX50-CG49,IF(A50&lt;'Données projet'!$A$114,$BV$205^A50,IF(A50='Données projet'!$A$114,'Données projet'!$B$114,BY49+BX50-CG49)))</f>
        <v>201.5714285714285</v>
      </c>
      <c r="BZ50" s="13">
        <f>BY50*VLOOKUP('Données projet'!$B$12,Paramètres!$A$1:$I$89,3,0)*VLOOKUP('Données projet'!$B$12,Paramètres!$A$1:$I$89,5,0)</f>
        <v>94.335428571428523</v>
      </c>
      <c r="CA50" s="13">
        <f t="shared" si="39"/>
        <v>25.607945794285612</v>
      </c>
      <c r="CB50" s="20">
        <f t="shared" si="10"/>
        <v>208.90137702028542</v>
      </c>
      <c r="CC50" s="59">
        <f t="shared" si="11"/>
        <v>502.23471035361877</v>
      </c>
      <c r="CD50" s="59">
        <f ca="1">AVERAGE(OFFSET($CC$3,0,0,'Données projet'!$E$12+1,1))-AVERAGE(OFFSET($H$3,0,0,'Données projet'!$E$12+1,1))</f>
        <v>111.69585394603672</v>
      </c>
      <c r="CE50" s="59">
        <f t="shared" si="40"/>
        <v>162.6701214629764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11.804317821549873</v>
      </c>
      <c r="CL50" s="21">
        <f>EXP(-LN(2)/25)*CL49+(1-EXP(-LN(2)/25))/(LN(2)/25)*Calculateur!CG50*Calculateur!CI50*VLOOKUP('Données projet'!$B$12,Paramètres!$A$1:$I$89,3,0)*0.475*44/12</f>
        <v>16.87692672187471</v>
      </c>
      <c r="CM50" s="21">
        <f>EXP(-LN(2)/2)*CM49+(1-EXP(-LN(2)/2))/(LN(2)/2)*CG50*CJ50*VLOOKUP('Données projet'!$B$12,Paramètres!$A$1:$I$89,3,0)*0.475*44/12</f>
        <v>2.5216450585775063</v>
      </c>
      <c r="CN50" s="22">
        <f t="shared" si="12"/>
        <v>31.202889602002088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-5.1431925385259088E-14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320.93171542656671</v>
      </c>
      <c r="T51" s="59">
        <f t="shared" si="34"/>
        <v>452.7298965816143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40.169085529694435</v>
      </c>
      <c r="AA51" s="21">
        <f>EXP(-LN(2)/25)*AA50+(1-EXP(-LN(2)/25))/(LN(2)/25)*Calculateur!V51*Calculateur!X51*VLOOKUP('Données projet'!$B$9,Paramètres!$A$1:$I$89,3,0)*0.475*44/12</f>
        <v>19.759659236368144</v>
      </c>
      <c r="AB51" s="21">
        <f>EXP(-LN(2)/2)*AB50+(1-EXP(-LN(2)/2))/(LN(2)/2)*V51*Y51*VLOOKUP('Données projet'!$B$9,Paramètres!$A$1:$I$89,3,0)*0.475*44/12</f>
        <v>18.93068523287468</v>
      </c>
      <c r="AC51" s="22">
        <f t="shared" si="3"/>
        <v>78.859429998937259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7.8</v>
      </c>
      <c r="AI51" s="13">
        <f>IF('Données projet'!$A$62&gt;35,AI50+AH51-AQ50,IF(A51&lt;'Données projet'!$A$62,$AF$205^A51,IF(A51='Données projet'!$A$62,'Données projet'!$B$62,AI50+AH51-AQ50)))</f>
        <v>193.39999999999995</v>
      </c>
      <c r="AJ51" s="13">
        <f>AI51*VLOOKUP('Données projet'!$B$10,Paramètres!$A$1:$I$89,3,0)*VLOOKUP('Données projet'!$B$10,Paramètres!$A$1:$I$89,5,0)</f>
        <v>168.95424</v>
      </c>
      <c r="AK51" s="13">
        <f t="shared" si="35"/>
        <v>42.855724087026708</v>
      </c>
      <c r="AL51" s="20">
        <f t="shared" si="4"/>
        <v>368.90235411823818</v>
      </c>
      <c r="AM51" s="59">
        <f t="shared" si="5"/>
        <v>662.23568745157149</v>
      </c>
      <c r="AN51" s="59">
        <f ca="1">AVERAGE(OFFSET($AM$3,0,0,'Données projet'!$E$10+1,1))-AVERAGE(OFFSET($H$3,0,0,'Données projet'!$E$10+1,1))</f>
        <v>201.61452816909701</v>
      </c>
      <c r="AO51" s="59">
        <f t="shared" si="36"/>
        <v>287.77679930887746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11.509366305432639</v>
      </c>
      <c r="AV51" s="21">
        <f>EXP(-LN(2)/25)*AV50+(1-EXP(-LN(2)/25))/(LN(2)/25)*Calculateur!AQ51*Calculateur!AS51*VLOOKUP('Données projet'!$B$10,Paramètres!$A$1:$I$89,3,0)*0.475*44/12</f>
        <v>15.292070212749453</v>
      </c>
      <c r="AW51" s="21">
        <f>EXP(-LN(2)/2)*AW50+(1-EXP(-LN(2)/2))/(LN(2)/2)*AQ51*AT51*VLOOKUP('Données projet'!$B$10,Paramètres!$A$1:$I$89,3,0)*0.475*44/12</f>
        <v>2.2685183815734913</v>
      </c>
      <c r="AX51" s="21">
        <f t="shared" si="6"/>
        <v>29.069954899755587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17.399999999999999</v>
      </c>
      <c r="BD51" s="12">
        <f>IF('Données projet'!$A$88&gt;35,BD50+BC51-BL50,IF(A51&lt;'Données projet'!$A$88,$BA$205^A51,IF(A51='Données projet'!$A$88,'Données projet'!$B$88,BD50+BC51-BL50)))</f>
        <v>317.2</v>
      </c>
      <c r="BE51" s="13">
        <f>BD51*VLOOKUP('Données projet'!$B$11,Paramètres!$A$1:$I$89,3,0)*VLOOKUP('Données projet'!$B$11,Paramètres!$A$1:$I$89,5,0)</f>
        <v>189.68560000000002</v>
      </c>
      <c r="BF51" s="13">
        <f t="shared" si="37"/>
        <v>47.470436776872745</v>
      </c>
      <c r="BG51" s="20">
        <f t="shared" si="7"/>
        <v>413.04676405305344</v>
      </c>
      <c r="BH51" s="59">
        <f t="shared" si="8"/>
        <v>706.38009738638675</v>
      </c>
      <c r="BI51" s="59">
        <f ca="1">AVERAGE(OFFSET($BH$3,0,0,'Données projet'!$E$11+1,1))-AVERAGE(OFFSET($H$3,0,0,'Données projet'!$E$11+1,1))</f>
        <v>225.63994281336028</v>
      </c>
      <c r="BJ51" s="59">
        <f t="shared" si="38"/>
        <v>231.19476400361157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11.07721970807258</v>
      </c>
      <c r="BQ51" s="21">
        <f>EXP(-LN(2)/25)*BQ50+(1-EXP(-LN(2)/25))/(LN(2)/25)*Calculateur!BL51*Calculateur!BN51*VLOOKUP('Données projet'!$B$11,Paramètres!$A$1:$I$89,3,0)*0.475*44/12</f>
        <v>15.746184182317618</v>
      </c>
      <c r="BR51" s="21">
        <f>EXP(-LN(2)/2)*BR50+(1-EXP(-LN(2)/2))/(LN(2)/2)*BL51*BO51*VLOOKUP('Données projet'!$B$11,Paramètres!$A$1:$I$89,3,0)*0.475*44/12</f>
        <v>2.9915415547140278</v>
      </c>
      <c r="BS51" s="22">
        <f t="shared" si="9"/>
        <v>29.814945445104225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11.857142857142858</v>
      </c>
      <c r="BY51" s="12">
        <f>IF('Données projet'!$A$114&gt;35,BY50+BX51-CG50,IF(A51&lt;'Données projet'!$A$114,$BV$205^A51,IF(A51='Données projet'!$A$114,'Données projet'!$B$114,BY50+BX51-CG50)))</f>
        <v>213.42857142857136</v>
      </c>
      <c r="BZ51" s="13">
        <f>BY51*VLOOKUP('Données projet'!$B$12,Paramètres!$A$1:$I$89,3,0)*VLOOKUP('Données projet'!$B$12,Paramètres!$A$1:$I$89,5,0)</f>
        <v>99.884571428571391</v>
      </c>
      <c r="CA51" s="13">
        <f t="shared" si="39"/>
        <v>26.934496434750237</v>
      </c>
      <c r="CB51" s="20">
        <f t="shared" si="10"/>
        <v>220.87654319528517</v>
      </c>
      <c r="CC51" s="59">
        <f t="shared" si="11"/>
        <v>514.20987652861845</v>
      </c>
      <c r="CD51" s="59">
        <f ca="1">AVERAGE(OFFSET($CC$3,0,0,'Données projet'!$E$12+1,1))-AVERAGE(OFFSET($H$3,0,0,'Données projet'!$E$12+1,1))</f>
        <v>111.69585394603672</v>
      </c>
      <c r="CE51" s="59">
        <f t="shared" si="40"/>
        <v>162.6701214629764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11.572842348992218</v>
      </c>
      <c r="CL51" s="21">
        <f>EXP(-LN(2)/25)*CL50+(1-EXP(-LN(2)/25))/(LN(2)/25)*Calculateur!CG51*Calculateur!CI51*VLOOKUP('Données projet'!$B$12,Paramètres!$A$1:$I$89,3,0)*0.475*44/12</f>
        <v>16.415426273146043</v>
      </c>
      <c r="CM51" s="21">
        <f>EXP(-LN(2)/2)*CM50+(1-EXP(-LN(2)/2))/(LN(2)/2)*CG51*CJ51*VLOOKUP('Données projet'!$B$12,Paramètres!$A$1:$I$89,3,0)*0.475*44/12</f>
        <v>1.7830723206657038</v>
      </c>
      <c r="CN51" s="22">
        <f t="shared" si="12"/>
        <v>29.771340942803963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-5.1431925385259088E-14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320.93171542656671</v>
      </c>
      <c r="T52" s="59">
        <f t="shared" si="34"/>
        <v>452.7298965816143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39.381394263180056</v>
      </c>
      <c r="AA52" s="21">
        <f>EXP(-LN(2)/25)*AA51+(1-EXP(-LN(2)/25))/(LN(2)/25)*Calculateur!V52*Calculateur!X52*VLOOKUP('Données projet'!$B$9,Paramètres!$A$1:$I$89,3,0)*0.475*44/12</f>
        <v>19.219330315434338</v>
      </c>
      <c r="AB52" s="21">
        <f>EXP(-LN(2)/2)*AB51+(1-EXP(-LN(2)/2))/(LN(2)/2)*V52*Y52*VLOOKUP('Données projet'!$B$9,Paramètres!$A$1:$I$89,3,0)*0.475*44/12</f>
        <v>13.386015900673724</v>
      </c>
      <c r="AC52" s="22">
        <f t="shared" si="3"/>
        <v>71.986740479288116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7.8</v>
      </c>
      <c r="AI52" s="13">
        <f>IF('Données projet'!$A$62&gt;35,AI51+AH52-AQ51,IF(A52&lt;'Données projet'!$A$62,$AF$205^A52,IF(A52='Données projet'!$A$62,'Données projet'!$B$62,AI51+AH52-AQ51)))</f>
        <v>201.19999999999996</v>
      </c>
      <c r="AJ52" s="13">
        <f>AI52*VLOOKUP('Données projet'!$B$10,Paramètres!$A$1:$I$89,3,0)*VLOOKUP('Données projet'!$B$10,Paramètres!$A$1:$I$89,5,0)</f>
        <v>175.76831999999999</v>
      </c>
      <c r="AK52" s="13">
        <f t="shared" si="35"/>
        <v>44.379415757690168</v>
      </c>
      <c r="AL52" s="20">
        <f t="shared" si="4"/>
        <v>383.42397311131032</v>
      </c>
      <c r="AM52" s="59">
        <f t="shared" si="5"/>
        <v>676.75730644464363</v>
      </c>
      <c r="AN52" s="59">
        <f ca="1">AVERAGE(OFFSET($AM$3,0,0,'Données projet'!$E$10+1,1))-AVERAGE(OFFSET($H$3,0,0,'Données projet'!$E$10+1,1))</f>
        <v>201.61452816909701</v>
      </c>
      <c r="AO52" s="59">
        <f t="shared" si="36"/>
        <v>287.77679930887746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11.283674652203382</v>
      </c>
      <c r="AV52" s="21">
        <f>EXP(-LN(2)/25)*AV51+(1-EXP(-LN(2)/25))/(LN(2)/25)*Calculateur!AQ52*Calculateur!AS52*VLOOKUP('Données projet'!$B$10,Paramètres!$A$1:$I$89,3,0)*0.475*44/12</f>
        <v>14.873907748606797</v>
      </c>
      <c r="AW52" s="21">
        <f>EXP(-LN(2)/2)*AW51+(1-EXP(-LN(2)/2))/(LN(2)/2)*AQ52*AT52*VLOOKUP('Données projet'!$B$10,Paramètres!$A$1:$I$89,3,0)*0.475*44/12</f>
        <v>1.6040847308569477</v>
      </c>
      <c r="AX52" s="21">
        <f t="shared" si="6"/>
        <v>27.761667131667124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17.399999999999999</v>
      </c>
      <c r="BD52" s="12">
        <f>IF('Données projet'!$A$88&gt;35,BD51+BC52-BL51,IF(A52&lt;'Données projet'!$A$88,$BA$205^A52,IF(A52='Données projet'!$A$88,'Données projet'!$B$88,BD51+BC52-BL51)))</f>
        <v>334.59999999999997</v>
      </c>
      <c r="BE52" s="13">
        <f>BD52*VLOOKUP('Données projet'!$B$11,Paramètres!$A$1:$I$89,3,0)*VLOOKUP('Données projet'!$B$11,Paramètres!$A$1:$I$89,5,0)</f>
        <v>200.0908</v>
      </c>
      <c r="BF52" s="13">
        <f t="shared" si="37"/>
        <v>49.764122289960234</v>
      </c>
      <c r="BG52" s="20">
        <f t="shared" si="7"/>
        <v>435.16398965501406</v>
      </c>
      <c r="BH52" s="59">
        <f t="shared" si="8"/>
        <v>728.49732298834738</v>
      </c>
      <c r="BI52" s="59">
        <f ca="1">AVERAGE(OFFSET($BH$3,0,0,'Données projet'!$E$11+1,1))-AVERAGE(OFFSET($H$3,0,0,'Données projet'!$E$11+1,1))</f>
        <v>225.63994281336028</v>
      </c>
      <c r="BJ52" s="59">
        <f t="shared" si="38"/>
        <v>231.19476400361157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10.860002186034155</v>
      </c>
      <c r="BQ52" s="21">
        <f>EXP(-LN(2)/25)*BQ51+(1-EXP(-LN(2)/25))/(LN(2)/25)*Calculateur!BL52*Calculateur!BN52*VLOOKUP('Données projet'!$B$11,Paramètres!$A$1:$I$89,3,0)*0.475*44/12</f>
        <v>15.315603947796305</v>
      </c>
      <c r="BR52" s="21">
        <f>EXP(-LN(2)/2)*BR51+(1-EXP(-LN(2)/2))/(LN(2)/2)*BL52*BO52*VLOOKUP('Données projet'!$B$11,Paramètres!$A$1:$I$89,3,0)*0.475*44/12</f>
        <v>2.1153393195396366</v>
      </c>
      <c r="BS52" s="22">
        <f t="shared" si="9"/>
        <v>28.290945453370096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11.857142857142858</v>
      </c>
      <c r="BY52" s="12">
        <f>IF('Données projet'!$A$114&gt;35,BY51+BX52-CG51,IF(A52&lt;'Données projet'!$A$114,$BV$205^A52,IF(A52='Données projet'!$A$114,'Données projet'!$B$114,BY51+BX52-CG51)))</f>
        <v>225.28571428571422</v>
      </c>
      <c r="BZ52" s="13">
        <f>BY52*VLOOKUP('Données projet'!$B$12,Paramètres!$A$1:$I$89,3,0)*VLOOKUP('Données projet'!$B$12,Paramètres!$A$1:$I$89,5,0)</f>
        <v>105.43371428571426</v>
      </c>
      <c r="CA52" s="13">
        <f t="shared" si="39"/>
        <v>28.252491745957425</v>
      </c>
      <c r="CB52" s="20">
        <f t="shared" si="10"/>
        <v>232.83680883849482</v>
      </c>
      <c r="CC52" s="59">
        <f t="shared" si="11"/>
        <v>526.17014217182816</v>
      </c>
      <c r="CD52" s="59">
        <f ca="1">AVERAGE(OFFSET($CC$3,0,0,'Données projet'!$E$12+1,1))-AVERAGE(OFFSET($H$3,0,0,'Données projet'!$E$12+1,1))</f>
        <v>111.69585394603672</v>
      </c>
      <c r="CE52" s="59">
        <f t="shared" si="40"/>
        <v>162.6701214629764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11.345905969265321</v>
      </c>
      <c r="CL52" s="21">
        <f>EXP(-LN(2)/25)*CL51+(1-EXP(-LN(2)/25))/(LN(2)/25)*Calculateur!CG52*Calculateur!CI52*VLOOKUP('Données projet'!$B$12,Paramètres!$A$1:$I$89,3,0)*0.475*44/12</f>
        <v>15.966545578457115</v>
      </c>
      <c r="CM52" s="21">
        <f>EXP(-LN(2)/2)*CM51+(1-EXP(-LN(2)/2))/(LN(2)/2)*CG52*CJ52*VLOOKUP('Données projet'!$B$12,Paramètres!$A$1:$I$89,3,0)*0.475*44/12</f>
        <v>1.2608225292887534</v>
      </c>
      <c r="CN52" s="22">
        <f t="shared" si="12"/>
        <v>28.573274077011188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-5.1431925385259088E-14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320.93171542656671</v>
      </c>
      <c r="T53" s="59">
        <f t="shared" si="34"/>
        <v>452.7298965816143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38.609149141957786</v>
      </c>
      <c r="AA53" s="21">
        <f>EXP(-LN(2)/25)*AA52+(1-EXP(-LN(2)/25))/(LN(2)/25)*Calculateur!V53*Calculateur!X53*VLOOKUP('Données projet'!$B$9,Paramètres!$A$1:$I$89,3,0)*0.475*44/12</f>
        <v>18.693776717258132</v>
      </c>
      <c r="AB53" s="21">
        <f>EXP(-LN(2)/2)*AB52+(1-EXP(-LN(2)/2))/(LN(2)/2)*V53*Y53*VLOOKUP('Données projet'!$B$9,Paramètres!$A$1:$I$89,3,0)*0.475*44/12</f>
        <v>9.4653426164373418</v>
      </c>
      <c r="AC53" s="22">
        <f t="shared" si="3"/>
        <v>66.768268475653258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209</v>
      </c>
      <c r="AG53" s="12">
        <f>VLOOKUP(A53,'Données projet'!$A$61:$I$81,9,0)</f>
        <v>7.8</v>
      </c>
      <c r="AH53" s="12">
        <f t="array" ref="AH53">INDEX(AG:AG,MIN(IF(ISNUMBER(AG53:AG249),ROW(AG53:AG249),"")))</f>
        <v>7.8</v>
      </c>
      <c r="AI53" s="13">
        <f>IF('Données projet'!$A$62&gt;35,AI52+AH53-AQ52,IF(A53&lt;'Données projet'!$A$62,$AF$205^A53,IF(A53='Données projet'!$A$62,'Données projet'!$B$62,AI52+AH53-AQ52)))</f>
        <v>208.99999999999997</v>
      </c>
      <c r="AJ53" s="13">
        <f>AI53*VLOOKUP('Données projet'!$B$10,Paramètres!$A$1:$I$89,3,0)*VLOOKUP('Données projet'!$B$10,Paramètres!$A$1:$I$89,5,0)</f>
        <v>182.58240000000001</v>
      </c>
      <c r="AK53" s="13">
        <f t="shared" si="35"/>
        <v>45.896245406460288</v>
      </c>
      <c r="AL53" s="20">
        <f t="shared" si="4"/>
        <v>397.93364074958498</v>
      </c>
      <c r="AM53" s="59">
        <f t="shared" si="5"/>
        <v>691.2669740829183</v>
      </c>
      <c r="AN53" s="59">
        <f ca="1">AVERAGE(OFFSET($AM$3,0,0,'Données projet'!$E$10+1,1))-AVERAGE(OFFSET($H$3,0,0,'Données projet'!$E$10+1,1))</f>
        <v>201.61452816909701</v>
      </c>
      <c r="AO53" s="59">
        <f t="shared" si="36"/>
        <v>287.77679930887746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0.17200000000000001</v>
      </c>
      <c r="AS53" s="16">
        <f>IF(ISNA(VLOOKUP(A53,'Données projet'!$A$61:$I$81,6,0)),0%,VLOOKUP(A53,'Données projet'!$A$61:$I$81,6,0)*VLOOKUP('Données projet'!$B$10,Paramètres!$A$1:$I$89,7,0))</f>
        <v>8.6000000000000007E-2</v>
      </c>
      <c r="AT53" s="16">
        <f>IF(ISNA(VLOOKUP(A53,'Données projet'!$A$61:$I$81,7,0)),0%,VLOOKUP(A53,'Données projet'!$A$61:$I$81,7,0))</f>
        <v>0.3</v>
      </c>
      <c r="AU53" s="21">
        <f>EXP(-LN(2)/35)*AU52+(1-EXP(-LN(2)/35))/(LN(2)/35)*AQ53*AR53*VLOOKUP('Données projet'!$B$10,Paramètres!$A$1:$I$89,3,0)*0.475*44/12</f>
        <v>15.713407330500527</v>
      </c>
      <c r="AV53" s="21">
        <f>EXP(-LN(2)/25)*AV52+(1-EXP(-LN(2)/25))/(LN(2)/25)*Calculateur!AQ53*Calculateur!AS53*VLOOKUP('Données projet'!$B$10,Paramètres!$A$1:$I$89,3,0)*0.475*44/12</f>
        <v>16.783522910029994</v>
      </c>
      <c r="AW53" s="21">
        <f>EXP(-LN(2)/2)*AW52+(1-EXP(-LN(2)/2))/(LN(2)/2)*AQ53*AT53*VLOOKUP('Données projet'!$B$10,Paramètres!$A$1:$I$89,3,0)*0.475*44/12</f>
        <v>8.0580861366205916</v>
      </c>
      <c r="AX53" s="21">
        <f t="shared" si="6"/>
        <v>40.555016377151105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352</v>
      </c>
      <c r="BB53" s="12">
        <f>VLOOKUP(A53,'Données projet'!$A$87:$I$107,9,0)</f>
        <v>17.399999999999999</v>
      </c>
      <c r="BC53" s="12">
        <f t="array" ref="BC53">INDEX(BB:BB,MIN(IF(ISNUMBER(BB53:BB249),ROW(BB53:BB249),"")))</f>
        <v>17.399999999999999</v>
      </c>
      <c r="BD53" s="12">
        <f>IF('Données projet'!$A$88&gt;35,BD52+BC53-BL52,IF(A53&lt;'Données projet'!$A$88,$BA$205^A53,IF(A53='Données projet'!$A$88,'Données projet'!$B$88,BD52+BC53-BL52)))</f>
        <v>351.99999999999994</v>
      </c>
      <c r="BE53" s="13">
        <f>BD53*VLOOKUP('Données projet'!$B$11,Paramètres!$A$1:$I$89,3,0)*VLOOKUP('Données projet'!$B$11,Paramètres!$A$1:$I$89,5,0)</f>
        <v>210.49599999999998</v>
      </c>
      <c r="BF53" s="13">
        <f t="shared" si="37"/>
        <v>52.043959291168463</v>
      </c>
      <c r="BG53" s="20">
        <f t="shared" si="7"/>
        <v>457.25709576545165</v>
      </c>
      <c r="BH53" s="59">
        <f t="shared" si="8"/>
        <v>750.59042909878497</v>
      </c>
      <c r="BI53" s="59">
        <f ca="1">AVERAGE(OFFSET($BH$3,0,0,'Données projet'!$E$11+1,1))-AVERAGE(OFFSET($H$3,0,0,'Données projet'!$E$11+1,1))</f>
        <v>225.63994281336028</v>
      </c>
      <c r="BJ53" s="59">
        <f t="shared" si="38"/>
        <v>231.19476400361157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0.18000000000000002</v>
      </c>
      <c r="BN53" s="16">
        <f>IF(ISNA(VLOOKUP(A53,'Données projet'!$A$87:$I$107,6,0)),0%,VLOOKUP(A53,'Données projet'!$A$87:$I$107,6,0)*VLOOKUP('Données projet'!$B$11,Paramètres!$A$1:$I$89,7,0))</f>
        <v>0.13500000000000001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18.214988260239441</v>
      </c>
      <c r="BQ53" s="21">
        <f>EXP(-LN(2)/25)*BQ52+(1-EXP(-LN(2)/25))/(LN(2)/25)*Calculateur!BL53*Calculateur!BN53*VLOOKUP('Données projet'!$B$11,Paramètres!$A$1:$I$89,3,0)*0.475*44/12</f>
        <v>20.550407612645259</v>
      </c>
      <c r="BR53" s="21">
        <f>EXP(-LN(2)/2)*BR52+(1-EXP(-LN(2)/2))/(LN(2)/2)*BL53*BO53*VLOOKUP('Données projet'!$B$11,Paramètres!$A$1:$I$89,3,0)*0.475*44/12</f>
        <v>8.6727648649177755</v>
      </c>
      <c r="BS53" s="22">
        <f t="shared" si="9"/>
        <v>47.43816073780247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11.857142857142858</v>
      </c>
      <c r="BY53" s="12">
        <f>IF('Données projet'!$A$114&gt;35,BY52+BX53-CG52,IF(A53&lt;'Données projet'!$A$114,$BV$205^A53,IF(A53='Données projet'!$A$114,'Données projet'!$B$114,BY52+BX53-CG52)))</f>
        <v>237.14285714285708</v>
      </c>
      <c r="BZ53" s="13">
        <f>BY53*VLOOKUP('Données projet'!$B$12,Paramètres!$A$1:$I$89,3,0)*VLOOKUP('Données projet'!$B$12,Paramètres!$A$1:$I$89,5,0)</f>
        <v>110.98285714285713</v>
      </c>
      <c r="CA53" s="13">
        <f t="shared" si="39"/>
        <v>29.562433359346652</v>
      </c>
      <c r="CB53" s="20">
        <f t="shared" si="10"/>
        <v>244.78304762467158</v>
      </c>
      <c r="CC53" s="59">
        <f t="shared" si="11"/>
        <v>538.11638095800492</v>
      </c>
      <c r="CD53" s="59">
        <f ca="1">AVERAGE(OFFSET($CC$3,0,0,'Données projet'!$E$12+1,1))-AVERAGE(OFFSET($H$3,0,0,'Données projet'!$E$12+1,1))</f>
        <v>111.69585394603672</v>
      </c>
      <c r="CE53" s="59">
        <f t="shared" si="40"/>
        <v>162.6701214629764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11.123419673527344</v>
      </c>
      <c r="CL53" s="21">
        <f>EXP(-LN(2)/25)*CL52+(1-EXP(-LN(2)/25))/(LN(2)/25)*Calculateur!CG53*Calculateur!CI53*VLOOKUP('Données projet'!$B$12,Paramètres!$A$1:$I$89,3,0)*0.475*44/12</f>
        <v>15.529939549970065</v>
      </c>
      <c r="CM53" s="21">
        <f>EXP(-LN(2)/2)*CM52+(1-EXP(-LN(2)/2))/(LN(2)/2)*CG53*CJ53*VLOOKUP('Données projet'!$B$12,Paramètres!$A$1:$I$89,3,0)*0.475*44/12</f>
        <v>0.89153616033285199</v>
      </c>
      <c r="CN53" s="22">
        <f t="shared" si="12"/>
        <v>27.544895383830262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-5.1431925385259088E-14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320.93171542656671</v>
      </c>
      <c r="T54" s="59">
        <f t="shared" si="34"/>
        <v>452.7298965816143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37.852047276539672</v>
      </c>
      <c r="AA54" s="21">
        <f>EXP(-LN(2)/25)*AA53+(1-EXP(-LN(2)/25))/(LN(2)/25)*Calculateur!V54*Calculateur!X54*VLOOKUP('Données projet'!$B$9,Paramètres!$A$1:$I$89,3,0)*0.475*44/12</f>
        <v>18.182594409861714</v>
      </c>
      <c r="AB54" s="21">
        <f>EXP(-LN(2)/2)*AB53+(1-EXP(-LN(2)/2))/(LN(2)/2)*V54*Y54*VLOOKUP('Données projet'!$B$9,Paramètres!$A$1:$I$89,3,0)*0.475*44/12</f>
        <v>6.6930079503368631</v>
      </c>
      <c r="AC54" s="22">
        <f t="shared" si="3"/>
        <v>62.727649636738249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6.8</v>
      </c>
      <c r="AI54" s="13">
        <f>IF('Données projet'!$A$62&gt;35,AI53+AH54-AQ53,IF(A54&lt;'Données projet'!$A$62,$AF$205^A54,IF(A54='Données projet'!$A$62,'Données projet'!$B$62,AI53+AH54-AQ53)))</f>
        <v>187.79999999999998</v>
      </c>
      <c r="AJ54" s="13">
        <f>AI54*VLOOKUP('Données projet'!$B$10,Paramètres!$A$1:$I$89,3,0)*VLOOKUP('Données projet'!$B$10,Paramètres!$A$1:$I$89,5,0)</f>
        <v>164.06208000000001</v>
      </c>
      <c r="AK54" s="13">
        <f t="shared" si="35"/>
        <v>41.75738773013461</v>
      </c>
      <c r="AL54" s="20">
        <f t="shared" si="4"/>
        <v>358.46890629665108</v>
      </c>
      <c r="AM54" s="59">
        <f t="shared" si="5"/>
        <v>651.80223962998434</v>
      </c>
      <c r="AN54" s="59">
        <f ca="1">AVERAGE(OFFSET($AM$3,0,0,'Données projet'!$E$10+1,1))-AVERAGE(OFFSET($H$3,0,0,'Données projet'!$E$10+1,1))</f>
        <v>201.61452816909701</v>
      </c>
      <c r="AO54" s="59">
        <f t="shared" si="36"/>
        <v>287.77679930887746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15.405276996981518</v>
      </c>
      <c r="AV54" s="21">
        <f>EXP(-LN(2)/25)*AV53+(1-EXP(-LN(2)/25))/(LN(2)/25)*Calculateur!AQ54*Calculateur!AS54*VLOOKUP('Données projet'!$B$10,Paramètres!$A$1:$I$89,3,0)*0.475*44/12</f>
        <v>16.324576593448114</v>
      </c>
      <c r="AW54" s="21">
        <f>EXP(-LN(2)/2)*AW53+(1-EXP(-LN(2)/2))/(LN(2)/2)*AQ54*AT54*VLOOKUP('Données projet'!$B$10,Paramètres!$A$1:$I$89,3,0)*0.475*44/12</f>
        <v>5.6979273505897288</v>
      </c>
      <c r="AX54" s="21">
        <f t="shared" si="6"/>
        <v>37.427780941019364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17.625</v>
      </c>
      <c r="BD54" s="12">
        <f>IF('Données projet'!$A$88&gt;35,BD53+BC54-BL53,IF(A54&lt;'Données projet'!$A$88,$BA$205^A54,IF(A54='Données projet'!$A$88,'Données projet'!$B$88,BD53+BC54-BL53)))</f>
        <v>316.62499999999994</v>
      </c>
      <c r="BE54" s="13">
        <f>BD54*VLOOKUP('Données projet'!$B$11,Paramètres!$A$1:$I$89,3,0)*VLOOKUP('Données projet'!$B$11,Paramètres!$A$1:$I$89,5,0)</f>
        <v>189.34174999999999</v>
      </c>
      <c r="BF54" s="13">
        <f t="shared" si="37"/>
        <v>47.394393740797923</v>
      </c>
      <c r="BG54" s="20">
        <f t="shared" si="7"/>
        <v>412.31545034855634</v>
      </c>
      <c r="BH54" s="59">
        <f t="shared" si="8"/>
        <v>705.64878368188965</v>
      </c>
      <c r="BI54" s="59">
        <f ca="1">AVERAGE(OFFSET($BH$3,0,0,'Données projet'!$E$11+1,1))-AVERAGE(OFFSET($H$3,0,0,'Données projet'!$E$11+1,1))</f>
        <v>225.63994281336028</v>
      </c>
      <c r="BJ54" s="59">
        <f t="shared" si="38"/>
        <v>231.19476400361157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17.857803450501958</v>
      </c>
      <c r="BQ54" s="21">
        <f>EXP(-LN(2)/25)*BQ53+(1-EXP(-LN(2)/25))/(LN(2)/25)*Calculateur!BL54*Calculateur!BN54*VLOOKUP('Données projet'!$B$11,Paramètres!$A$1:$I$89,3,0)*0.475*44/12</f>
        <v>19.988455635778507</v>
      </c>
      <c r="BR54" s="21">
        <f>EXP(-LN(2)/2)*BR53+(1-EXP(-LN(2)/2))/(LN(2)/2)*BL54*BO54*VLOOKUP('Données projet'!$B$11,Paramètres!$A$1:$I$89,3,0)*0.475*44/12</f>
        <v>6.1325708476197915</v>
      </c>
      <c r="BS54" s="22">
        <f t="shared" si="9"/>
        <v>43.978829933900258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249</v>
      </c>
      <c r="BW54" s="12">
        <f>VLOOKUP(A54,'Données projet'!$A$113:$I$133,9,0)</f>
        <v>11.857142857142858</v>
      </c>
      <c r="BX54" s="12">
        <f t="array" ref="BX54">INDEX(BW:BW,MIN(IF(ISNUMBER(BW54:BW250),ROW(BW54:BW250),"")))</f>
        <v>11.857142857142858</v>
      </c>
      <c r="BY54" s="12">
        <f>IF('Données projet'!$A$114&gt;35,BY53+BX54-CG53,IF(A54&lt;'Données projet'!$A$114,$BV$205^A54,IF(A54='Données projet'!$A$114,'Données projet'!$B$114,BY53+BX54-CG53)))</f>
        <v>248.99999999999994</v>
      </c>
      <c r="BZ54" s="13">
        <f>BY54*VLOOKUP('Données projet'!$B$12,Paramètres!$A$1:$I$89,3,0)*VLOOKUP('Données projet'!$B$12,Paramètres!$A$1:$I$89,5,0)</f>
        <v>116.53199999999997</v>
      </c>
      <c r="CA54" s="13">
        <f t="shared" si="39"/>
        <v>30.864769909522728</v>
      </c>
      <c r="CB54" s="20">
        <f t="shared" si="10"/>
        <v>256.71604092575205</v>
      </c>
      <c r="CC54" s="59">
        <f t="shared" si="11"/>
        <v>550.04937425908543</v>
      </c>
      <c r="CD54" s="59">
        <f ca="1">AVERAGE(OFFSET($CC$3,0,0,'Données projet'!$E$12+1,1))-AVERAGE(OFFSET($H$3,0,0,'Données projet'!$E$12+1,1))</f>
        <v>111.69585394603672</v>
      </c>
      <c r="CE54" s="59">
        <f t="shared" si="40"/>
        <v>162.6701214629764</v>
      </c>
      <c r="CF54" s="15">
        <f>IF(ISNA(VLOOKUP(A54,'Données projet'!$A$113:$I$133,3,0)),0,VLOOKUP(A54,'Données projet'!$A$113:$I$133,3,0))</f>
        <v>6</v>
      </c>
      <c r="CG54" s="15">
        <f>IF(ISNA(VLOOKUP(A54,'Données projet'!$A$113:$I$133,4,0)),0,VLOOKUP(A54,'Données projet'!$A$113:$I$133,4,0))</f>
        <v>70</v>
      </c>
      <c r="CH54" s="16">
        <f>IF(ISNA(VLOOKUP(A54,'Données projet'!$A$113:$I$133,5,0)),0%,VLOOKUP(A54,'Données projet'!$A$113:$I$133,5,0)*VLOOKUP('Données projet'!$B$12,Paramètres!$A$1:$I$89,7,0))</f>
        <v>0.22000000000000003</v>
      </c>
      <c r="CI54" s="16">
        <f>IF(ISNA(VLOOKUP(A54,'Données projet'!$A$113:$I$133,6,0)),0%,VLOOKUP(A54,'Données projet'!$A$113:$I$133,6,0)*VLOOKUP('Données projet'!$B$12,Paramètres!$A$1:$I$89,7,0))</f>
        <v>0.16500000000000001</v>
      </c>
      <c r="CJ54" s="16">
        <f>IF(ISNA(VLOOKUP(A54,'Données projet'!$A$113:$I$133,7,0)),0%,VLOOKUP(A54,'Données projet'!$A$113:$I$133,7,0))</f>
        <v>0.2</v>
      </c>
      <c r="CK54" s="21">
        <f>EXP(-LN(2)/35)*CK53+(1-EXP(-LN(2)/35))/(LN(2)/35)*CG54*CH54*VLOOKUP('Données projet'!$B$12,Paramètres!$A$1:$I$89,3,0)*0.475*44/12</f>
        <v>20.466111541589402</v>
      </c>
      <c r="CL54" s="21">
        <f>EXP(-LN(2)/25)*CL53+(1-EXP(-LN(2)/25))/(LN(2)/25)*Calculateur!CG54*Calculateur!CI54*VLOOKUP('Données projet'!$B$12,Paramètres!$A$1:$I$89,3,0)*0.475*44/12</f>
        <v>22.247650614003046</v>
      </c>
      <c r="CM54" s="21">
        <f>EXP(-LN(2)/2)*CM53+(1-EXP(-LN(2)/2))/(LN(2)/2)*CG54*CJ54*VLOOKUP('Données projet'!$B$12,Paramètres!$A$1:$I$89,3,0)*0.475*44/12</f>
        <v>8.0487972780377817</v>
      </c>
      <c r="CN54" s="22">
        <f t="shared" si="12"/>
        <v>50.76255943363023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-5.1431925385259088E-14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320.93171542656671</v>
      </c>
      <c r="T55" s="59">
        <f t="shared" si="34"/>
        <v>452.7298965816143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37.109791716915872</v>
      </c>
      <c r="AA55" s="21">
        <f>EXP(-LN(2)/25)*AA54+(1-EXP(-LN(2)/25))/(LN(2)/25)*Calculateur!V55*Calculateur!X55*VLOOKUP('Données projet'!$B$9,Paramètres!$A$1:$I$89,3,0)*0.475*44/12</f>
        <v>17.685390409542961</v>
      </c>
      <c r="AB55" s="21">
        <f>EXP(-LN(2)/2)*AB54+(1-EXP(-LN(2)/2))/(LN(2)/2)*V55*Y55*VLOOKUP('Données projet'!$B$9,Paramètres!$A$1:$I$89,3,0)*0.475*44/12</f>
        <v>4.7326713082186718</v>
      </c>
      <c r="AC55" s="22">
        <f t="shared" si="3"/>
        <v>59.527853434677503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6.8</v>
      </c>
      <c r="AI55" s="13">
        <f>IF('Données projet'!$A$62&gt;35,AI54+AH55-AQ54,IF(A55&lt;'Données projet'!$A$62,$AF$205^A55,IF(A55='Données projet'!$A$62,'Données projet'!$B$62,AI54+AH55-AQ54)))</f>
        <v>194.6</v>
      </c>
      <c r="AJ55" s="13">
        <f>AI55*VLOOKUP('Données projet'!$B$10,Paramètres!$A$1:$I$89,3,0)*VLOOKUP('Données projet'!$B$10,Paramètres!$A$1:$I$89,5,0)</f>
        <v>170.00256000000002</v>
      </c>
      <c r="AK55" s="13">
        <f t="shared" si="35"/>
        <v>43.090596939649579</v>
      </c>
      <c r="AL55" s="20">
        <f t="shared" si="4"/>
        <v>371.1372483365563</v>
      </c>
      <c r="AM55" s="59">
        <f t="shared" si="5"/>
        <v>664.47058166988961</v>
      </c>
      <c r="AN55" s="59">
        <f ca="1">AVERAGE(OFFSET($AM$3,0,0,'Données projet'!$E$10+1,1))-AVERAGE(OFFSET($H$3,0,0,'Données projet'!$E$10+1,1))</f>
        <v>201.61452816909701</v>
      </c>
      <c r="AO55" s="59">
        <f t="shared" si="36"/>
        <v>287.77679930887746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15.103188911361872</v>
      </c>
      <c r="AV55" s="21">
        <f>EXP(-LN(2)/25)*AV54+(1-EXP(-LN(2)/25))/(LN(2)/25)*Calculateur!AQ55*Calculateur!AS55*VLOOKUP('Données projet'!$B$10,Paramètres!$A$1:$I$89,3,0)*0.475*44/12</f>
        <v>15.878180188028102</v>
      </c>
      <c r="AW55" s="21">
        <f>EXP(-LN(2)/2)*AW54+(1-EXP(-LN(2)/2))/(LN(2)/2)*AQ55*AT55*VLOOKUP('Données projet'!$B$10,Paramètres!$A$1:$I$89,3,0)*0.475*44/12</f>
        <v>4.0290430683102958</v>
      </c>
      <c r="AX55" s="21">
        <f t="shared" si="6"/>
        <v>35.010412167700267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17.625</v>
      </c>
      <c r="BD55" s="12">
        <f>IF('Données projet'!$A$88&gt;35,BD54+BC55-BL54,IF(A55&lt;'Données projet'!$A$88,$BA$205^A55,IF(A55='Données projet'!$A$88,'Données projet'!$B$88,BD54+BC55-BL54)))</f>
        <v>334.24999999999994</v>
      </c>
      <c r="BE55" s="13">
        <f>BD55*VLOOKUP('Données projet'!$B$11,Paramètres!$A$1:$I$89,3,0)*VLOOKUP('Données projet'!$B$11,Paramètres!$A$1:$I$89,5,0)</f>
        <v>199.88149999999996</v>
      </c>
      <c r="BF55" s="13">
        <f t="shared" si="37"/>
        <v>49.71812411377941</v>
      </c>
      <c r="BG55" s="20">
        <f t="shared" si="7"/>
        <v>434.71934533149914</v>
      </c>
      <c r="BH55" s="59">
        <f t="shared" si="8"/>
        <v>728.05267866483246</v>
      </c>
      <c r="BI55" s="59">
        <f ca="1">AVERAGE(OFFSET($BH$3,0,0,'Données projet'!$E$11+1,1))-AVERAGE(OFFSET($H$3,0,0,'Données projet'!$E$11+1,1))</f>
        <v>225.63994281336028</v>
      </c>
      <c r="BJ55" s="59">
        <f t="shared" si="38"/>
        <v>231.19476400361157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17.507622817022206</v>
      </c>
      <c r="BQ55" s="21">
        <f>EXP(-LN(2)/25)*BQ54+(1-EXP(-LN(2)/25))/(LN(2)/25)*Calculateur!BL55*Calculateur!BN55*VLOOKUP('Données projet'!$B$11,Paramètres!$A$1:$I$89,3,0)*0.475*44/12</f>
        <v>19.441870265270946</v>
      </c>
      <c r="BR55" s="21">
        <f>EXP(-LN(2)/2)*BR54+(1-EXP(-LN(2)/2))/(LN(2)/2)*BL55*BO55*VLOOKUP('Données projet'!$B$11,Paramètres!$A$1:$I$89,3,0)*0.475*44/12</f>
        <v>4.3363824324588887</v>
      </c>
      <c r="BS55" s="22">
        <f t="shared" si="9"/>
        <v>41.285875514752043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13.444444444444445</v>
      </c>
      <c r="BY55" s="12">
        <f>IF('Données projet'!$A$114&gt;35,BY54+BX55-CG54,IF(A55&lt;'Données projet'!$A$114,$BV$205^A55,IF(A55='Données projet'!$A$114,'Données projet'!$B$114,BY54+BX55-CG54)))</f>
        <v>192.4444444444444</v>
      </c>
      <c r="BZ55" s="13">
        <f>BY55*VLOOKUP('Données projet'!$B$12,Paramètres!$A$1:$I$89,3,0)*VLOOKUP('Données projet'!$B$12,Paramètres!$A$1:$I$89,5,0)</f>
        <v>90.063999999999993</v>
      </c>
      <c r="CA55" s="13">
        <f t="shared" si="39"/>
        <v>24.580659614147791</v>
      </c>
      <c r="CB55" s="20">
        <f t="shared" si="10"/>
        <v>199.6727821613074</v>
      </c>
      <c r="CC55" s="59">
        <f t="shared" si="11"/>
        <v>493.00611549464071</v>
      </c>
      <c r="CD55" s="59">
        <f ca="1">AVERAGE(OFFSET($CC$3,0,0,'Données projet'!$E$12+1,1))-AVERAGE(OFFSET($H$3,0,0,'Données projet'!$E$12+1,1))</f>
        <v>111.69585394603672</v>
      </c>
      <c r="CE55" s="59">
        <f t="shared" si="40"/>
        <v>162.6701214629764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20.06478357735427</v>
      </c>
      <c r="CL55" s="21">
        <f>EXP(-LN(2)/25)*CL54+(1-EXP(-LN(2)/25))/(LN(2)/25)*Calculateur!CG55*Calculateur!CI55*VLOOKUP('Données projet'!$B$12,Paramètres!$A$1:$I$89,3,0)*0.475*44/12</f>
        <v>21.639287438010033</v>
      </c>
      <c r="CM55" s="21">
        <f>EXP(-LN(2)/2)*CM54+(1-EXP(-LN(2)/2))/(LN(2)/2)*CG55*CJ55*VLOOKUP('Données projet'!$B$12,Paramètres!$A$1:$I$89,3,0)*0.475*44/12</f>
        <v>5.6913591356963416</v>
      </c>
      <c r="CN55" s="22">
        <f t="shared" si="12"/>
        <v>47.395430151060651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-5.1431925385259088E-14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320.93171542656671</v>
      </c>
      <c r="T56" s="59">
        <f t="shared" si="34"/>
        <v>452.7298965816143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36.382091336085104</v>
      </c>
      <c r="AA56" s="21">
        <f>EXP(-LN(2)/25)*AA55+(1-EXP(-LN(2)/25))/(LN(2)/25)*Calculateur!V56*Calculateur!X56*VLOOKUP('Données projet'!$B$9,Paramètres!$A$1:$I$89,3,0)*0.475*44/12</f>
        <v>17.201782478759746</v>
      </c>
      <c r="AB56" s="21">
        <f>EXP(-LN(2)/2)*AB55+(1-EXP(-LN(2)/2))/(LN(2)/2)*V56*Y56*VLOOKUP('Données projet'!$B$9,Paramètres!$A$1:$I$89,3,0)*0.475*44/12</f>
        <v>3.346503975168432</v>
      </c>
      <c r="AC56" s="22">
        <f t="shared" si="3"/>
        <v>56.930377790013281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</v>
      </c>
      <c r="AI56" s="13">
        <f>IF('Données projet'!$A$62&gt;35,AI55+AH56-AQ55,IF(A56&lt;'Données projet'!$A$62,$AF$205^A56,IF(A56='Données projet'!$A$62,'Données projet'!$B$62,AI55+AH56-AQ55)))</f>
        <v>201.4</v>
      </c>
      <c r="AJ56" s="13">
        <f>AI56*VLOOKUP('Données projet'!$B$10,Paramètres!$A$1:$I$89,3,0)*VLOOKUP('Données projet'!$B$10,Paramètres!$A$1:$I$89,5,0)</f>
        <v>175.94304000000002</v>
      </c>
      <c r="AK56" s="13">
        <f t="shared" si="35"/>
        <v>44.418393276556458</v>
      </c>
      <c r="AL56" s="20">
        <f t="shared" si="4"/>
        <v>383.79616295666915</v>
      </c>
      <c r="AM56" s="59">
        <f t="shared" si="5"/>
        <v>677.12949629000241</v>
      </c>
      <c r="AN56" s="59">
        <f ca="1">AVERAGE(OFFSET($AM$3,0,0,'Données projet'!$E$10+1,1))-AVERAGE(OFFSET($H$3,0,0,'Données projet'!$E$10+1,1))</f>
        <v>201.61452816909701</v>
      </c>
      <c r="AO56" s="59">
        <f t="shared" si="36"/>
        <v>287.77679930887746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14.807024588845689</v>
      </c>
      <c r="AV56" s="21">
        <f>EXP(-LN(2)/25)*AV55+(1-EXP(-LN(2)/25))/(LN(2)/25)*Calculateur!AQ56*Calculateur!AS56*VLOOKUP('Données projet'!$B$10,Paramètres!$A$1:$I$89,3,0)*0.475*44/12</f>
        <v>15.443990515789267</v>
      </c>
      <c r="AW56" s="21">
        <f>EXP(-LN(2)/2)*AW55+(1-EXP(-LN(2)/2))/(LN(2)/2)*AQ56*AT56*VLOOKUP('Données projet'!$B$10,Paramètres!$A$1:$I$89,3,0)*0.475*44/12</f>
        <v>2.8489636752948644</v>
      </c>
      <c r="AX56" s="21">
        <f t="shared" si="6"/>
        <v>33.09997877992982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17.625</v>
      </c>
      <c r="BD56" s="12">
        <f>IF('Données projet'!$A$88&gt;35,BD55+BC56-BL55,IF(A56&lt;'Données projet'!$A$88,$BA$205^A56,IF(A56='Données projet'!$A$88,'Données projet'!$B$88,BD55+BC56-BL55)))</f>
        <v>351.87499999999994</v>
      </c>
      <c r="BE56" s="13">
        <f>BD56*VLOOKUP('Données projet'!$B$11,Paramètres!$A$1:$I$89,3,0)*VLOOKUP('Données projet'!$B$11,Paramètres!$A$1:$I$89,5,0)</f>
        <v>210.42124999999999</v>
      </c>
      <c r="BF56" s="13">
        <f t="shared" si="37"/>
        <v>52.027628682866947</v>
      </c>
      <c r="BG56" s="20">
        <f t="shared" si="7"/>
        <v>457.09846370599325</v>
      </c>
      <c r="BH56" s="59">
        <f t="shared" si="8"/>
        <v>750.43179703932651</v>
      </c>
      <c r="BI56" s="59">
        <f ca="1">AVERAGE(OFFSET($BH$3,0,0,'Données projet'!$E$11+1,1))-AVERAGE(OFFSET($H$3,0,0,'Données projet'!$E$11+1,1))</f>
        <v>225.63994281336028</v>
      </c>
      <c r="BJ56" s="59">
        <f t="shared" si="38"/>
        <v>231.19476400361157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17.164309012175895</v>
      </c>
      <c r="BQ56" s="21">
        <f>EXP(-LN(2)/25)*BQ55+(1-EXP(-LN(2)/25))/(LN(2)/25)*Calculateur!BL56*Calculateur!BN56*VLOOKUP('Données projet'!$B$11,Paramètres!$A$1:$I$89,3,0)*0.475*44/12</f>
        <v>18.91023130046359</v>
      </c>
      <c r="BR56" s="21">
        <f>EXP(-LN(2)/2)*BR55+(1-EXP(-LN(2)/2))/(LN(2)/2)*BL56*BO56*VLOOKUP('Données projet'!$B$11,Paramètres!$A$1:$I$89,3,0)*0.475*44/12</f>
        <v>3.0662854238098962</v>
      </c>
      <c r="BS56" s="22">
        <f t="shared" si="9"/>
        <v>39.140825736449379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13.444444444444445</v>
      </c>
      <c r="BY56" s="12">
        <f>IF('Données projet'!$A$114&gt;35,BY55+BX56-CG55,IF(A56&lt;'Données projet'!$A$114,$BV$205^A56,IF(A56='Données projet'!$A$114,'Données projet'!$B$114,BY55+BX56-CG55)))</f>
        <v>205.88888888888886</v>
      </c>
      <c r="BZ56" s="13">
        <f>BY56*VLOOKUP('Données projet'!$B$12,Paramètres!$A$1:$I$89,3,0)*VLOOKUP('Données projet'!$B$12,Paramètres!$A$1:$I$89,5,0)</f>
        <v>96.355999999999995</v>
      </c>
      <c r="CA56" s="13">
        <f t="shared" si="39"/>
        <v>26.091998195525026</v>
      </c>
      <c r="CB56" s="20">
        <f t="shared" si="10"/>
        <v>213.26359685720604</v>
      </c>
      <c r="CC56" s="59">
        <f t="shared" si="11"/>
        <v>506.59693019053935</v>
      </c>
      <c r="CD56" s="59">
        <f ca="1">AVERAGE(OFFSET($CC$3,0,0,'Données projet'!$E$12+1,1))-AVERAGE(OFFSET($H$3,0,0,'Données projet'!$E$12+1,1))</f>
        <v>111.69585394603672</v>
      </c>
      <c r="CE56" s="59">
        <f t="shared" si="40"/>
        <v>162.6701214629764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19.671325409711901</v>
      </c>
      <c r="CL56" s="21">
        <f>EXP(-LN(2)/25)*CL55+(1-EXP(-LN(2)/25))/(LN(2)/25)*Calculateur!CG56*Calculateur!CI56*VLOOKUP('Données projet'!$B$12,Paramètres!$A$1:$I$89,3,0)*0.475*44/12</f>
        <v>21.047559985056978</v>
      </c>
      <c r="CM56" s="21">
        <f>EXP(-LN(2)/2)*CM55+(1-EXP(-LN(2)/2))/(LN(2)/2)*CG56*CJ56*VLOOKUP('Données projet'!$B$12,Paramètres!$A$1:$I$89,3,0)*0.475*44/12</f>
        <v>4.0243986390188917</v>
      </c>
      <c r="CN56" s="22">
        <f t="shared" si="12"/>
        <v>44.743284033787766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-5.1431925385259088E-14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320.93171542656671</v>
      </c>
      <c r="T57" s="59">
        <f t="shared" si="34"/>
        <v>452.7298965816143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35.668660715869024</v>
      </c>
      <c r="AA57" s="21">
        <f>EXP(-LN(2)/25)*AA56+(1-EXP(-LN(2)/25))/(LN(2)/25)*Calculateur!V57*Calculateur!X57*VLOOKUP('Données projet'!$B$9,Paramètres!$A$1:$I$89,3,0)*0.475*44/12</f>
        <v>16.731398832275637</v>
      </c>
      <c r="AB57" s="21">
        <f>EXP(-LN(2)/2)*AB56+(1-EXP(-LN(2)/2))/(LN(2)/2)*V57*Y57*VLOOKUP('Données projet'!$B$9,Paramètres!$A$1:$I$89,3,0)*0.475*44/12</f>
        <v>2.3663356541093359</v>
      </c>
      <c r="AC57" s="22">
        <f t="shared" si="3"/>
        <v>54.766395202253996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</v>
      </c>
      <c r="AI57" s="13">
        <f>IF('Données projet'!$A$62&gt;35,AI56+AH57-AQ56,IF(A57&lt;'Données projet'!$A$62,$AF$205^A57,IF(A57='Données projet'!$A$62,'Données projet'!$B$62,AI56+AH57-AQ56)))</f>
        <v>208.20000000000002</v>
      </c>
      <c r="AJ57" s="13">
        <f>AI57*VLOOKUP('Données projet'!$B$10,Paramètres!$A$1:$I$89,3,0)*VLOOKUP('Données projet'!$B$10,Paramètres!$A$1:$I$89,5,0)</f>
        <v>181.88352000000006</v>
      </c>
      <c r="AK57" s="13">
        <f t="shared" si="35"/>
        <v>45.74098045051349</v>
      </c>
      <c r="AL57" s="20">
        <f t="shared" si="4"/>
        <v>396.44600495131112</v>
      </c>
      <c r="AM57" s="59">
        <f t="shared" si="5"/>
        <v>689.77933828464438</v>
      </c>
      <c r="AN57" s="59">
        <f ca="1">AVERAGE(OFFSET($AM$3,0,0,'Données projet'!$E$10+1,1))-AVERAGE(OFFSET($H$3,0,0,'Données projet'!$E$10+1,1))</f>
        <v>201.61452816909701</v>
      </c>
      <c r="AO57" s="59">
        <f t="shared" si="36"/>
        <v>287.77679930887746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14.516667868051648</v>
      </c>
      <c r="AV57" s="21">
        <f>EXP(-LN(2)/25)*AV56+(1-EXP(-LN(2)/25))/(LN(2)/25)*Calculateur!AQ57*Calculateur!AS57*VLOOKUP('Données projet'!$B$10,Paramètres!$A$1:$I$89,3,0)*0.475*44/12</f>
        <v>15.021673782970845</v>
      </c>
      <c r="AW57" s="21">
        <f>EXP(-LN(2)/2)*AW56+(1-EXP(-LN(2)/2))/(LN(2)/2)*AQ57*AT57*VLOOKUP('Données projet'!$B$10,Paramètres!$A$1:$I$89,3,0)*0.475*44/12</f>
        <v>2.0145215341551479</v>
      </c>
      <c r="AX57" s="21">
        <f t="shared" si="6"/>
        <v>31.552863185177639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17.625</v>
      </c>
      <c r="BD57" s="12">
        <f>IF('Données projet'!$A$88&gt;35,BD56+BC57-BL56,IF(A57&lt;'Données projet'!$A$88,$BA$205^A57,IF(A57='Données projet'!$A$88,'Données projet'!$B$88,BD56+BC57-BL56)))</f>
        <v>369.49999999999994</v>
      </c>
      <c r="BE57" s="13">
        <f>BD57*VLOOKUP('Données projet'!$B$11,Paramètres!$A$1:$I$89,3,0)*VLOOKUP('Données projet'!$B$11,Paramètres!$A$1:$I$89,5,0)</f>
        <v>220.96099999999996</v>
      </c>
      <c r="BF57" s="13">
        <f t="shared" si="37"/>
        <v>54.323701308314696</v>
      </c>
      <c r="BG57" s="20">
        <f t="shared" si="7"/>
        <v>479.45418811198141</v>
      </c>
      <c r="BH57" s="59">
        <f t="shared" si="8"/>
        <v>772.78752144531472</v>
      </c>
      <c r="BI57" s="59">
        <f ca="1">AVERAGE(OFFSET($BH$3,0,0,'Données projet'!$E$11+1,1))-AVERAGE(OFFSET($H$3,0,0,'Données projet'!$E$11+1,1))</f>
        <v>225.63994281336028</v>
      </c>
      <c r="BJ57" s="59">
        <f t="shared" si="38"/>
        <v>231.19476400361157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16.827727381641875</v>
      </c>
      <c r="BQ57" s="21">
        <f>EXP(-LN(2)/25)*BQ56+(1-EXP(-LN(2)/25))/(LN(2)/25)*Calculateur!BL57*Calculateur!BN57*VLOOKUP('Données projet'!$B$11,Paramètres!$A$1:$I$89,3,0)*0.475*44/12</f>
        <v>18.393130031106569</v>
      </c>
      <c r="BR57" s="21">
        <f>EXP(-LN(2)/2)*BR56+(1-EXP(-LN(2)/2))/(LN(2)/2)*BL57*BO57*VLOOKUP('Données projet'!$B$11,Paramètres!$A$1:$I$89,3,0)*0.475*44/12</f>
        <v>2.1681912162294448</v>
      </c>
      <c r="BS57" s="22">
        <f t="shared" si="9"/>
        <v>37.389048628977889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13.444444444444445</v>
      </c>
      <c r="BY57" s="12">
        <f>IF('Données projet'!$A$114&gt;35,BY56+BX57-CG56,IF(A57&lt;'Données projet'!$A$114,$BV$205^A57,IF(A57='Données projet'!$A$114,'Données projet'!$B$114,BY56+BX57-CG56)))</f>
        <v>219.33333333333331</v>
      </c>
      <c r="BZ57" s="13">
        <f>BY57*VLOOKUP('Données projet'!$B$12,Paramètres!$A$1:$I$89,3,0)*VLOOKUP('Données projet'!$B$12,Paramètres!$A$1:$I$89,5,0)</f>
        <v>102.648</v>
      </c>
      <c r="CA57" s="13">
        <f t="shared" si="39"/>
        <v>27.591884256813071</v>
      </c>
      <c r="CB57" s="20">
        <f t="shared" si="10"/>
        <v>226.83446508061607</v>
      </c>
      <c r="CC57" s="59">
        <f t="shared" si="11"/>
        <v>520.16779841394941</v>
      </c>
      <c r="CD57" s="59">
        <f ca="1">AVERAGE(OFFSET($CC$3,0,0,'Données projet'!$E$12+1,1))-AVERAGE(OFFSET($H$3,0,0,'Données projet'!$E$12+1,1))</f>
        <v>111.69585394603672</v>
      </c>
      <c r="CE57" s="59">
        <f t="shared" si="40"/>
        <v>162.6701214629764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19.285582716751215</v>
      </c>
      <c r="CL57" s="21">
        <f>EXP(-LN(2)/25)*CL56+(1-EXP(-LN(2)/25))/(LN(2)/25)*Calculateur!CG57*Calculateur!CI57*VLOOKUP('Données projet'!$B$12,Paramètres!$A$1:$I$89,3,0)*0.475*44/12</f>
        <v>20.472013350422522</v>
      </c>
      <c r="CM57" s="21">
        <f>EXP(-LN(2)/2)*CM56+(1-EXP(-LN(2)/2))/(LN(2)/2)*CG57*CJ57*VLOOKUP('Données projet'!$B$12,Paramètres!$A$1:$I$89,3,0)*0.475*44/12</f>
        <v>2.8456795678481712</v>
      </c>
      <c r="CN57" s="22">
        <f t="shared" si="12"/>
        <v>42.603275635021909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-5.1431925385259088E-14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320.93171542656671</v>
      </c>
      <c r="T58" s="59">
        <f t="shared" si="34"/>
        <v>452.7298965816143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34.969220034965666</v>
      </c>
      <c r="AA58" s="21">
        <f>EXP(-LN(2)/25)*AA57+(1-EXP(-LN(2)/25))/(LN(2)/25)*Calculateur!V58*Calculateur!X58*VLOOKUP('Données projet'!$B$9,Paramètres!$A$1:$I$89,3,0)*0.475*44/12</f>
        <v>16.273877851341034</v>
      </c>
      <c r="AB58" s="21">
        <f>EXP(-LN(2)/2)*AB57+(1-EXP(-LN(2)/2))/(LN(2)/2)*V58*Y58*VLOOKUP('Données projet'!$B$9,Paramètres!$A$1:$I$89,3,0)*0.475*44/12</f>
        <v>1.673251987584216</v>
      </c>
      <c r="AC58" s="22">
        <f t="shared" si="3"/>
        <v>52.916349873890915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215</v>
      </c>
      <c r="AG58" s="12">
        <f>VLOOKUP(A58,'Données projet'!$A$61:$I$81,9,0)</f>
        <v>6.8</v>
      </c>
      <c r="AH58" s="12">
        <f t="array" ref="AH58">INDEX(AG:AG,MIN(IF(ISNUMBER(AG58:AG254),ROW(AG58:AG254),"")))</f>
        <v>6.8</v>
      </c>
      <c r="AI58" s="13">
        <f>IF('Données projet'!$A$62&gt;35,AI57+AH58-AQ57,IF(A58&lt;'Données projet'!$A$62,$AF$205^A58,IF(A58='Données projet'!$A$62,'Données projet'!$B$62,AI57+AH58-AQ57)))</f>
        <v>215.00000000000003</v>
      </c>
      <c r="AJ58" s="13">
        <f>AI58*VLOOKUP('Données projet'!$B$10,Paramètres!$A$1:$I$89,3,0)*VLOOKUP('Données projet'!$B$10,Paramètres!$A$1:$I$89,5,0)</f>
        <v>187.82400000000007</v>
      </c>
      <c r="AK58" s="13">
        <f t="shared" si="35"/>
        <v>47.05854810918273</v>
      </c>
      <c r="AL58" s="20">
        <f t="shared" si="4"/>
        <v>409.08710462349336</v>
      </c>
      <c r="AM58" s="59">
        <f t="shared" si="5"/>
        <v>702.42043795682662</v>
      </c>
      <c r="AN58" s="59">
        <f ca="1">AVERAGE(OFFSET($AM$3,0,0,'Données projet'!$E$10+1,1))-AVERAGE(OFFSET($H$3,0,0,'Données projet'!$E$10+1,1))</f>
        <v>201.61452816909701</v>
      </c>
      <c r="AO58" s="59">
        <f t="shared" si="36"/>
        <v>287.77679930887746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25</v>
      </c>
      <c r="AR58" s="16">
        <f>IF(ISNA(VLOOKUP(A58,'Données projet'!$A$61:$I$81,5,0)),0%,VLOOKUP(A58,'Données projet'!$A$61:$I$81,5,0)*VLOOKUP('Données projet'!$B$10,Paramètres!$A$1:$I$89,7,0))</f>
        <v>0.17200000000000001</v>
      </c>
      <c r="AS58" s="16">
        <f>IF(ISNA(VLOOKUP(A58,'Données projet'!$A$61:$I$81,6,0)),0%,VLOOKUP(A58,'Données projet'!$A$61:$I$81,6,0)*VLOOKUP('Données projet'!$B$10,Paramètres!$A$1:$I$89,7,0))</f>
        <v>0.129</v>
      </c>
      <c r="AT58" s="16">
        <f>IF(ISNA(VLOOKUP(A58,'Données projet'!$A$61:$I$81,7,0)),0%,VLOOKUP(A58,'Données projet'!$A$61:$I$81,7,0))</f>
        <v>0.2</v>
      </c>
      <c r="AU58" s="21">
        <f>EXP(-LN(2)/35)*AU57+(1-EXP(-LN(2)/35))/(LN(2)/35)*AQ58*AR58*VLOOKUP('Données projet'!$B$10,Paramètres!$A$1:$I$89,3,0)*0.475*44/12</f>
        <v>18.384682236760202</v>
      </c>
      <c r="AV58" s="21">
        <f>EXP(-LN(2)/25)*AV57+(1-EXP(-LN(2)/25))/(LN(2)/25)*Calculateur!AQ58*Calculateur!AS58*VLOOKUP('Données projet'!$B$10,Paramètres!$A$1:$I$89,3,0)*0.475*44/12</f>
        <v>17.713150347072244</v>
      </c>
      <c r="AW58" s="21">
        <f>EXP(-LN(2)/2)*AW57+(1-EXP(-LN(2)/2))/(LN(2)/2)*AQ58*AT58*VLOOKUP('Données projet'!$B$10,Paramètres!$A$1:$I$89,3,0)*0.475*44/12</f>
        <v>5.5458074006437679</v>
      </c>
      <c r="AX58" s="21">
        <f t="shared" si="6"/>
        <v>41.643639984476209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17.625</v>
      </c>
      <c r="BD58" s="12">
        <f>IF('Données projet'!$A$88&gt;35,BD57+BC58-BL57,IF(A58&lt;'Données projet'!$A$88,$BA$205^A58,IF(A58='Données projet'!$A$88,'Données projet'!$B$88,BD57+BC58-BL57)))</f>
        <v>387.12499999999994</v>
      </c>
      <c r="BE58" s="13">
        <f>BD58*VLOOKUP('Données projet'!$B$11,Paramètres!$A$1:$I$89,3,0)*VLOOKUP('Données projet'!$B$11,Paramètres!$A$1:$I$89,5,0)</f>
        <v>231.50074999999998</v>
      </c>
      <c r="BF58" s="13">
        <f t="shared" si="37"/>
        <v>56.607055837426749</v>
      </c>
      <c r="BG58" s="20">
        <f t="shared" si="7"/>
        <v>501.78776183351812</v>
      </c>
      <c r="BH58" s="59">
        <f t="shared" si="8"/>
        <v>795.12109516685143</v>
      </c>
      <c r="BI58" s="59">
        <f ca="1">AVERAGE(OFFSET($BH$3,0,0,'Données projet'!$E$11+1,1))-AVERAGE(OFFSET($H$3,0,0,'Données projet'!$E$11+1,1))</f>
        <v>225.63994281336028</v>
      </c>
      <c r="BJ58" s="59">
        <f t="shared" si="38"/>
        <v>231.19476400361157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16.497745911588105</v>
      </c>
      <c r="BQ58" s="21">
        <f>EXP(-LN(2)/25)*BQ57+(1-EXP(-LN(2)/25))/(LN(2)/25)*Calculateur!BL58*Calculateur!BN58*VLOOKUP('Données projet'!$B$11,Paramètres!$A$1:$I$89,3,0)*0.475*44/12</f>
        <v>17.89016892315329</v>
      </c>
      <c r="BR58" s="21">
        <f>EXP(-LN(2)/2)*BR57+(1-EXP(-LN(2)/2))/(LN(2)/2)*BL58*BO58*VLOOKUP('Données projet'!$B$11,Paramètres!$A$1:$I$89,3,0)*0.475*44/12</f>
        <v>1.5331427119049486</v>
      </c>
      <c r="BS58" s="22">
        <f t="shared" si="9"/>
        <v>35.921057546646345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13.444444444444445</v>
      </c>
      <c r="BY58" s="12">
        <f>IF('Données projet'!$A$114&gt;35,BY57+BX58-CG57,IF(A58&lt;'Données projet'!$A$114,$BV$205^A58,IF(A58='Données projet'!$A$114,'Données projet'!$B$114,BY57+BX58-CG57)))</f>
        <v>232.77777777777777</v>
      </c>
      <c r="BZ58" s="13">
        <f>BY58*VLOOKUP('Données projet'!$B$12,Paramètres!$A$1:$I$89,3,0)*VLOOKUP('Données projet'!$B$12,Paramètres!$A$1:$I$89,5,0)</f>
        <v>108.94</v>
      </c>
      <c r="CA58" s="13">
        <f t="shared" si="39"/>
        <v>29.081099734343869</v>
      </c>
      <c r="CB58" s="20">
        <f t="shared" si="10"/>
        <v>240.38674870398219</v>
      </c>
      <c r="CC58" s="59">
        <f t="shared" si="11"/>
        <v>533.72008203731548</v>
      </c>
      <c r="CD58" s="59">
        <f ca="1">AVERAGE(OFFSET($CC$3,0,0,'Données projet'!$E$12+1,1))-AVERAGE(OFFSET($H$3,0,0,'Données projet'!$E$12+1,1))</f>
        <v>111.69585394603672</v>
      </c>
      <c r="CE58" s="59">
        <f t="shared" si="40"/>
        <v>162.6701214629764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18.907404202719675</v>
      </c>
      <c r="CL58" s="21">
        <f>EXP(-LN(2)/25)*CL57+(1-EXP(-LN(2)/25))/(LN(2)/25)*Calculateur!CG58*Calculateur!CI58*VLOOKUP('Données projet'!$B$12,Paramètres!$A$1:$I$89,3,0)*0.475*44/12</f>
        <v>19.912205068778825</v>
      </c>
      <c r="CM58" s="21">
        <f>EXP(-LN(2)/2)*CM57+(1-EXP(-LN(2)/2))/(LN(2)/2)*CG58*CJ58*VLOOKUP('Données projet'!$B$12,Paramètres!$A$1:$I$89,3,0)*0.475*44/12</f>
        <v>2.0121993195094459</v>
      </c>
      <c r="CN58" s="22">
        <f t="shared" si="12"/>
        <v>40.831808591007949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-5.1431925385259088E-14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320.93171542656671</v>
      </c>
      <c r="T59" s="59">
        <f t="shared" si="34"/>
        <v>452.7298965816143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34.283494959198137</v>
      </c>
      <c r="AA59" s="21">
        <f>EXP(-LN(2)/25)*AA58+(1-EXP(-LN(2)/25))/(LN(2)/25)*Calculateur!V59*Calculateur!X59*VLOOKUP('Données projet'!$B$9,Paramètres!$A$1:$I$89,3,0)*0.475*44/12</f>
        <v>15.828867805690072</v>
      </c>
      <c r="AB59" s="21">
        <f>EXP(-LN(2)/2)*AB58+(1-EXP(-LN(2)/2))/(LN(2)/2)*V59*Y59*VLOOKUP('Données projet'!$B$9,Paramètres!$A$1:$I$89,3,0)*0.475*44/12</f>
        <v>1.1831678270546679</v>
      </c>
      <c r="AC59" s="22">
        <f t="shared" si="3"/>
        <v>51.295530591942878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</v>
      </c>
      <c r="AI59" s="13">
        <f>IF('Données projet'!$A$62&gt;35,AI58+AH59-AQ58,IF(A59&lt;'Données projet'!$A$62,$AF$205^A59,IF(A59='Données projet'!$A$62,'Données projet'!$B$62,AI58+AH59-AQ58)))</f>
        <v>196.00000000000003</v>
      </c>
      <c r="AJ59" s="13">
        <f>AI59*VLOOKUP('Données projet'!$B$10,Paramètres!$A$1:$I$89,3,0)*VLOOKUP('Données projet'!$B$10,Paramètres!$A$1:$I$89,5,0)</f>
        <v>171.22560000000004</v>
      </c>
      <c r="AK59" s="13">
        <f t="shared" si="35"/>
        <v>43.364402348589557</v>
      </c>
      <c r="AL59" s="20">
        <f t="shared" si="4"/>
        <v>373.74425409046017</v>
      </c>
      <c r="AM59" s="59">
        <f t="shared" si="5"/>
        <v>667.07758742379349</v>
      </c>
      <c r="AN59" s="59">
        <f ca="1">AVERAGE(OFFSET($AM$3,0,0,'Données projet'!$E$10+1,1))-AVERAGE(OFFSET($H$3,0,0,'Données projet'!$E$10+1,1))</f>
        <v>201.61452816909701</v>
      </c>
      <c r="AO59" s="59">
        <f t="shared" si="36"/>
        <v>287.77679930887746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18.024169831646255</v>
      </c>
      <c r="AV59" s="21">
        <f>EXP(-LN(2)/25)*AV58+(1-EXP(-LN(2)/25))/(LN(2)/25)*Calculateur!AQ59*Calculateur!AS59*VLOOKUP('Données projet'!$B$10,Paramètres!$A$1:$I$89,3,0)*0.475*44/12</f>
        <v>17.22878331933746</v>
      </c>
      <c r="AW59" s="21">
        <f>EXP(-LN(2)/2)*AW58+(1-EXP(-LN(2)/2))/(LN(2)/2)*AQ59*AT59*VLOOKUP('Données projet'!$B$10,Paramètres!$A$1:$I$89,3,0)*0.475*44/12</f>
        <v>3.921478020149749</v>
      </c>
      <c r="AX59" s="21">
        <f t="shared" si="6"/>
        <v>39.174431171133463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17.625</v>
      </c>
      <c r="BD59" s="12">
        <f>IF('Données projet'!$A$88&gt;35,BD58+BC59-BL58,IF(A59&lt;'Données projet'!$A$88,$BA$205^A59,IF(A59='Données projet'!$A$88,'Données projet'!$B$88,BD58+BC59-BL58)))</f>
        <v>404.74999999999994</v>
      </c>
      <c r="BE59" s="13">
        <f>BD59*VLOOKUP('Données projet'!$B$11,Paramètres!$A$1:$I$89,3,0)*VLOOKUP('Données projet'!$B$11,Paramètres!$A$1:$I$89,5,0)</f>
        <v>242.04049999999998</v>
      </c>
      <c r="BF59" s="13">
        <f t="shared" si="37"/>
        <v>58.878337443371535</v>
      </c>
      <c r="BG59" s="20">
        <f t="shared" si="7"/>
        <v>524.10030854720526</v>
      </c>
      <c r="BH59" s="59">
        <f t="shared" si="8"/>
        <v>817.43364188053852</v>
      </c>
      <c r="BI59" s="59">
        <f ca="1">AVERAGE(OFFSET($BH$3,0,0,'Données projet'!$E$11+1,1))-AVERAGE(OFFSET($H$3,0,0,'Données projet'!$E$11+1,1))</f>
        <v>225.63994281336028</v>
      </c>
      <c r="BJ59" s="59">
        <f t="shared" si="38"/>
        <v>231.19476400361157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16.174235176893266</v>
      </c>
      <c r="BQ59" s="21">
        <f>EXP(-LN(2)/25)*BQ58+(1-EXP(-LN(2)/25))/(LN(2)/25)*Calculateur!BL59*Calculateur!BN59*VLOOKUP('Données projet'!$B$11,Paramètres!$A$1:$I$89,3,0)*0.475*44/12</f>
        <v>17.400961313146567</v>
      </c>
      <c r="BR59" s="21">
        <f>EXP(-LN(2)/2)*BR58+(1-EXP(-LN(2)/2))/(LN(2)/2)*BL59*BO59*VLOOKUP('Données projet'!$B$11,Paramètres!$A$1:$I$89,3,0)*0.475*44/12</f>
        <v>1.0840956081147226</v>
      </c>
      <c r="BS59" s="22">
        <f t="shared" si="9"/>
        <v>34.659292098154552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13.444444444444445</v>
      </c>
      <c r="BY59" s="12">
        <f>IF('Données projet'!$A$114&gt;35,BY58+BX59-CG58,IF(A59&lt;'Données projet'!$A$114,$BV$205^A59,IF(A59='Données projet'!$A$114,'Données projet'!$B$114,BY58+BX59-CG58)))</f>
        <v>246.22222222222223</v>
      </c>
      <c r="BZ59" s="13">
        <f>BY59*VLOOKUP('Données projet'!$B$12,Paramètres!$A$1:$I$89,3,0)*VLOOKUP('Données projet'!$B$12,Paramètres!$A$1:$I$89,5,0)</f>
        <v>115.232</v>
      </c>
      <c r="CA59" s="13">
        <f t="shared" si="39"/>
        <v>30.560331138556659</v>
      </c>
      <c r="CB59" s="20">
        <f t="shared" si="10"/>
        <v>253.92164339965282</v>
      </c>
      <c r="CC59" s="59">
        <f t="shared" si="11"/>
        <v>547.25497673298617</v>
      </c>
      <c r="CD59" s="59">
        <f ca="1">AVERAGE(OFFSET($CC$3,0,0,'Données projet'!$E$12+1,1))-AVERAGE(OFFSET($H$3,0,0,'Données projet'!$E$12+1,1))</f>
        <v>111.69585394603672</v>
      </c>
      <c r="CE59" s="59">
        <f t="shared" si="40"/>
        <v>162.6701214629764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18.536641538682179</v>
      </c>
      <c r="CL59" s="21">
        <f>EXP(-LN(2)/25)*CL58+(1-EXP(-LN(2)/25))/(LN(2)/25)*Calculateur!CG59*Calculateur!CI59*VLOOKUP('Données projet'!$B$12,Paramètres!$A$1:$I$89,3,0)*0.475*44/12</f>
        <v>19.367704774035712</v>
      </c>
      <c r="CM59" s="21">
        <f>EXP(-LN(2)/2)*CM58+(1-EXP(-LN(2)/2))/(LN(2)/2)*CG59*CJ59*VLOOKUP('Données projet'!$B$12,Paramètres!$A$1:$I$89,3,0)*0.475*44/12</f>
        <v>1.4228397839240856</v>
      </c>
      <c r="CN59" s="22">
        <f t="shared" si="12"/>
        <v>39.327186096641974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-5.1431925385259088E-14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320.93171542656671</v>
      </c>
      <c r="T60" s="59">
        <f t="shared" si="34"/>
        <v>452.7298965816143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33.61121653391541</v>
      </c>
      <c r="AA60" s="21">
        <f>EXP(-LN(2)/25)*AA59+(1-EXP(-LN(2)/25))/(LN(2)/25)*Calculateur!V60*Calculateur!X60*VLOOKUP('Données projet'!$B$9,Paramètres!$A$1:$I$89,3,0)*0.475*44/12</f>
        <v>15.396026583139497</v>
      </c>
      <c r="AB60" s="21">
        <f>EXP(-LN(2)/2)*AB59+(1-EXP(-LN(2)/2))/(LN(2)/2)*V60*Y60*VLOOKUP('Données projet'!$B$9,Paramètres!$A$1:$I$89,3,0)*0.475*44/12</f>
        <v>0.836625993792108</v>
      </c>
      <c r="AC60" s="22">
        <f t="shared" si="3"/>
        <v>49.843869110847017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</v>
      </c>
      <c r="AI60" s="13">
        <f>IF('Données projet'!$A$62&gt;35,AI59+AH60-AQ59,IF(A60&lt;'Données projet'!$A$62,$AF$205^A60,IF(A60='Données projet'!$A$62,'Données projet'!$B$62,AI59+AH60-AQ59)))</f>
        <v>202.00000000000003</v>
      </c>
      <c r="AJ60" s="13">
        <f>AI60*VLOOKUP('Données projet'!$B$10,Paramètres!$A$1:$I$89,3,0)*VLOOKUP('Données projet'!$B$10,Paramètres!$A$1:$I$89,5,0)</f>
        <v>176.46720000000005</v>
      </c>
      <c r="AK60" s="13">
        <f t="shared" si="35"/>
        <v>44.535298821989393</v>
      </c>
      <c r="AL60" s="20">
        <f t="shared" si="4"/>
        <v>384.91268544829819</v>
      </c>
      <c r="AM60" s="59">
        <f t="shared" si="5"/>
        <v>678.24601878163151</v>
      </c>
      <c r="AN60" s="59">
        <f ca="1">AVERAGE(OFFSET($AM$3,0,0,'Données projet'!$E$10+1,1))-AVERAGE(OFFSET($H$3,0,0,'Données projet'!$E$10+1,1))</f>
        <v>201.61452816909701</v>
      </c>
      <c r="AO60" s="59">
        <f t="shared" si="36"/>
        <v>287.77679930887746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17.670726854905734</v>
      </c>
      <c r="AV60" s="21">
        <f>EXP(-LN(2)/25)*AV59+(1-EXP(-LN(2)/25))/(LN(2)/25)*Calculateur!AQ60*Calculateur!AS60*VLOOKUP('Données projet'!$B$10,Paramètres!$A$1:$I$89,3,0)*0.475*44/12</f>
        <v>16.757661333447839</v>
      </c>
      <c r="AW60" s="21">
        <f>EXP(-LN(2)/2)*AW59+(1-EXP(-LN(2)/2))/(LN(2)/2)*AQ60*AT60*VLOOKUP('Données projet'!$B$10,Paramètres!$A$1:$I$89,3,0)*0.475*44/12</f>
        <v>2.7729037003218844</v>
      </c>
      <c r="AX60" s="21">
        <f t="shared" si="6"/>
        <v>37.201291888675456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17.625</v>
      </c>
      <c r="BD60" s="12">
        <f>IF('Données projet'!$A$88&gt;35,BD59+BC60-BL59,IF(A60&lt;'Données projet'!$A$88,$BA$205^A60,IF(A60='Données projet'!$A$88,'Données projet'!$B$88,BD59+BC60-BL59)))</f>
        <v>422.37499999999994</v>
      </c>
      <c r="BE60" s="13">
        <f>BD60*VLOOKUP('Données projet'!$B$11,Paramètres!$A$1:$I$89,3,0)*VLOOKUP('Données projet'!$B$11,Paramètres!$A$1:$I$89,5,0)</f>
        <v>252.58025000000001</v>
      </c>
      <c r="BF60" s="13">
        <f t="shared" si="37"/>
        <v>61.138131933251593</v>
      </c>
      <c r="BG60" s="20">
        <f t="shared" si="7"/>
        <v>546.39284853374647</v>
      </c>
      <c r="BH60" s="59">
        <f t="shared" si="8"/>
        <v>839.72618186707973</v>
      </c>
      <c r="BI60" s="59">
        <f ca="1">AVERAGE(OFFSET($BH$3,0,0,'Données projet'!$E$11+1,1))-AVERAGE(OFFSET($H$3,0,0,'Données projet'!$E$11+1,1))</f>
        <v>225.63994281336028</v>
      </c>
      <c r="BJ60" s="59">
        <f t="shared" si="38"/>
        <v>231.19476400361157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15.857068290383728</v>
      </c>
      <c r="BQ60" s="21">
        <f>EXP(-LN(2)/25)*BQ59+(1-EXP(-LN(2)/25))/(LN(2)/25)*Calculateur!BL60*Calculateur!BN60*VLOOKUP('Données projet'!$B$11,Paramètres!$A$1:$I$89,3,0)*0.475*44/12</f>
        <v>16.925131110961789</v>
      </c>
      <c r="BR60" s="21">
        <f>EXP(-LN(2)/2)*BR59+(1-EXP(-LN(2)/2))/(LN(2)/2)*BL60*BO60*VLOOKUP('Données projet'!$B$11,Paramètres!$A$1:$I$89,3,0)*0.475*44/12</f>
        <v>0.76657135595247439</v>
      </c>
      <c r="BS60" s="22">
        <f t="shared" si="9"/>
        <v>33.548770757297987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13.444444444444445</v>
      </c>
      <c r="BY60" s="12">
        <f>IF('Données projet'!$A$114&gt;35,BY59+BX60-CG59,IF(A60&lt;'Données projet'!$A$114,$BV$205^A60,IF(A60='Données projet'!$A$114,'Données projet'!$B$114,BY59+BX60-CG59)))</f>
        <v>259.66666666666669</v>
      </c>
      <c r="BZ60" s="13">
        <f>BY60*VLOOKUP('Données projet'!$B$12,Paramètres!$A$1:$I$89,3,0)*VLOOKUP('Données projet'!$B$12,Paramètres!$A$1:$I$89,5,0)</f>
        <v>121.52400000000002</v>
      </c>
      <c r="CA60" s="13">
        <f t="shared" si="39"/>
        <v>32.030185774775809</v>
      </c>
      <c r="CB60" s="20">
        <f t="shared" si="10"/>
        <v>267.44020689106782</v>
      </c>
      <c r="CC60" s="59">
        <f t="shared" si="11"/>
        <v>560.77354022440113</v>
      </c>
      <c r="CD60" s="59">
        <f ca="1">AVERAGE(OFFSET($CC$3,0,0,'Données projet'!$E$12+1,1))-AVERAGE(OFFSET($H$3,0,0,'Données projet'!$E$12+1,1))</f>
        <v>111.69585394603672</v>
      </c>
      <c r="CE60" s="59">
        <f t="shared" si="40"/>
        <v>162.6701214629764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18.173149304343561</v>
      </c>
      <c r="CL60" s="21">
        <f>EXP(-LN(2)/25)*CL59+(1-EXP(-LN(2)/25))/(LN(2)/25)*Calculateur!CG60*Calculateur!CI60*VLOOKUP('Données projet'!$B$12,Paramètres!$A$1:$I$89,3,0)*0.475*44/12</f>
        <v>18.838093868486375</v>
      </c>
      <c r="CM60" s="21">
        <f>EXP(-LN(2)/2)*CM59+(1-EXP(-LN(2)/2))/(LN(2)/2)*CG60*CJ60*VLOOKUP('Données projet'!$B$12,Paramètres!$A$1:$I$89,3,0)*0.475*44/12</f>
        <v>1.0060996597547229</v>
      </c>
      <c r="CN60" s="22">
        <f t="shared" si="12"/>
        <v>38.01734283258466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-5.1431925385259088E-14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320.93171542656671</v>
      </c>
      <c r="T61" s="59">
        <f t="shared" si="34"/>
        <v>452.7298965816143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32.952121078503126</v>
      </c>
      <c r="AA61" s="21">
        <f>EXP(-LN(2)/25)*AA60+(1-EXP(-LN(2)/25))/(LN(2)/25)*Calculateur!V61*Calculateur!X61*VLOOKUP('Données projet'!$B$9,Paramètres!$A$1:$I$89,3,0)*0.475*44/12</f>
        <v>14.975021426581698</v>
      </c>
      <c r="AB61" s="21">
        <f>EXP(-LN(2)/2)*AB60+(1-EXP(-LN(2)/2))/(LN(2)/2)*V61*Y61*VLOOKUP('Données projet'!$B$9,Paramètres!$A$1:$I$89,3,0)*0.475*44/12</f>
        <v>0.59158391352733397</v>
      </c>
      <c r="AC61" s="22">
        <f t="shared" si="3"/>
        <v>48.518726418612161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</v>
      </c>
      <c r="AI61" s="13">
        <f>IF('Données projet'!$A$62&gt;35,AI60+AH61-AQ60,IF(A61&lt;'Données projet'!$A$62,$AF$205^A61,IF(A61='Données projet'!$A$62,'Données projet'!$B$62,AI60+AH61-AQ60)))</f>
        <v>208.00000000000003</v>
      </c>
      <c r="AJ61" s="13">
        <f>AI61*VLOOKUP('Données projet'!$B$10,Paramètres!$A$1:$I$89,3,0)*VLOOKUP('Données projet'!$B$10,Paramètres!$A$1:$I$89,5,0)</f>
        <v>181.70880000000005</v>
      </c>
      <c r="AK61" s="13">
        <f t="shared" si="35"/>
        <v>45.702153370067812</v>
      </c>
      <c r="AL61" s="20">
        <f t="shared" si="4"/>
        <v>396.07407711953482</v>
      </c>
      <c r="AM61" s="59">
        <f t="shared" si="5"/>
        <v>689.40741045286813</v>
      </c>
      <c r="AN61" s="59">
        <f ca="1">AVERAGE(OFFSET($AM$3,0,0,'Données projet'!$E$10+1,1))-AVERAGE(OFFSET($H$3,0,0,'Données projet'!$E$10+1,1))</f>
        <v>201.61452816909701</v>
      </c>
      <c r="AO61" s="59">
        <f t="shared" si="36"/>
        <v>287.77679930887746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17.324214679360168</v>
      </c>
      <c r="AV61" s="21">
        <f>EXP(-LN(2)/25)*AV60+(1-EXP(-LN(2)/25))/(LN(2)/25)*Calculateur!AQ61*Calculateur!AS61*VLOOKUP('Données projet'!$B$10,Paramètres!$A$1:$I$89,3,0)*0.475*44/12</f>
        <v>16.299422203037597</v>
      </c>
      <c r="AW61" s="21">
        <f>EXP(-LN(2)/2)*AW60+(1-EXP(-LN(2)/2))/(LN(2)/2)*AQ61*AT61*VLOOKUP('Données projet'!$B$10,Paramètres!$A$1:$I$89,3,0)*0.475*44/12</f>
        <v>1.9607390100748747</v>
      </c>
      <c r="AX61" s="21">
        <f t="shared" si="6"/>
        <v>35.584375892472636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440</v>
      </c>
      <c r="BB61" s="12">
        <f>VLOOKUP(A61,'Données projet'!$A$87:$I$107,9,0)</f>
        <v>17.625</v>
      </c>
      <c r="BC61" s="12">
        <f t="array" ref="BC61">INDEX(BB:BB,MIN(IF(ISNUMBER(BB61:BB257),ROW(BB61:BB257),"")))</f>
        <v>17.625</v>
      </c>
      <c r="BD61" s="12">
        <f>IF('Données projet'!$A$88&gt;35,BD60+BC61-BL60,IF(A61&lt;'Données projet'!$A$88,$BA$205^A61,IF(A61='Données projet'!$A$88,'Données projet'!$B$88,BD60+BC61-BL60)))</f>
        <v>439.99999999999994</v>
      </c>
      <c r="BE61" s="13">
        <f>BD61*VLOOKUP('Données projet'!$B$11,Paramètres!$A$1:$I$89,3,0)*VLOOKUP('Données projet'!$B$11,Paramètres!$A$1:$I$89,5,0)</f>
        <v>263.12</v>
      </c>
      <c r="BF61" s="13">
        <f t="shared" si="37"/>
        <v>63.386973458752003</v>
      </c>
      <c r="BG61" s="20">
        <f t="shared" si="7"/>
        <v>568.66631210732646</v>
      </c>
      <c r="BH61" s="59">
        <f t="shared" si="8"/>
        <v>861.99964544065983</v>
      </c>
      <c r="BI61" s="59">
        <f ca="1">AVERAGE(OFFSET($BH$3,0,0,'Données projet'!$E$11+1,1))-AVERAGE(OFFSET($H$3,0,0,'Données projet'!$E$11+1,1))</f>
        <v>225.63994281336028</v>
      </c>
      <c r="BJ61" s="59">
        <f t="shared" si="38"/>
        <v>231.19476400361157</v>
      </c>
      <c r="BK61" s="15">
        <f>IF(ISNA(VLOOKUP(A61,'Données projet'!$A$87:$I$107,3,0)),0,VLOOKUP(A61,'Données projet'!$A$87:$I$107,3,0))</f>
        <v>8</v>
      </c>
      <c r="BL61" s="15">
        <f>IF(ISNA(VLOOKUP(A61,'Données projet'!$A$87:$I$107,4,0)),0,VLOOKUP(A61,'Données projet'!$A$87:$I$107,4,0))</f>
        <v>78</v>
      </c>
      <c r="BM61" s="16">
        <f>IF(ISNA(VLOOKUP(A61,'Données projet'!$A$87:$I$107,5,0)),0%,VLOOKUP(A61,'Données projet'!$A$87:$I$107,5,0)*VLOOKUP('Données projet'!$B$11,Paramètres!$A$1:$I$89,7,0))</f>
        <v>0.18000000000000002</v>
      </c>
      <c r="BN61" s="16">
        <f>IF(ISNA(VLOOKUP(A61,'Données projet'!$A$87:$I$107,6,0)),0%,VLOOKUP(A61,'Données projet'!$A$87:$I$107,6,0)*VLOOKUP('Données projet'!$B$11,Paramètres!$A$1:$I$89,7,0))</f>
        <v>0.13500000000000001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26.683849895779886</v>
      </c>
      <c r="BQ61" s="21">
        <f>EXP(-LN(2)/25)*BQ60+(1-EXP(-LN(2)/25))/(LN(2)/25)*Calculateur!BL61*Calculateur!BN61*VLOOKUP('Données projet'!$B$11,Paramètres!$A$1:$I$89,3,0)*0.475*44/12</f>
        <v>24.782719180427556</v>
      </c>
      <c r="BR61" s="21">
        <f>EXP(-LN(2)/2)*BR60+(1-EXP(-LN(2)/2))/(LN(2)/2)*BL61*BO61*VLOOKUP('Données projet'!$B$11,Paramètres!$A$1:$I$89,3,0)*0.475*44/12</f>
        <v>11.104416461222257</v>
      </c>
      <c r="BS61" s="22">
        <f t="shared" si="9"/>
        <v>62.570985537429699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13.444444444444445</v>
      </c>
      <c r="BY61" s="12">
        <f>IF('Données projet'!$A$114&gt;35,BY60+BX61-CG60,IF(A61&lt;'Données projet'!$A$114,$BV$205^A61,IF(A61='Données projet'!$A$114,'Données projet'!$B$114,BY60+BX61-CG60)))</f>
        <v>273.11111111111114</v>
      </c>
      <c r="BZ61" s="13">
        <f>BY61*VLOOKUP('Données projet'!$B$12,Paramètres!$A$1:$I$89,3,0)*VLOOKUP('Données projet'!$B$12,Paramètres!$A$1:$I$89,5,0)</f>
        <v>127.81600000000002</v>
      </c>
      <c r="CA61" s="13">
        <f t="shared" si="39"/>
        <v>33.491204508905589</v>
      </c>
      <c r="CB61" s="20">
        <f t="shared" si="10"/>
        <v>280.94338118634391</v>
      </c>
      <c r="CC61" s="59">
        <f t="shared" si="11"/>
        <v>574.27671451967717</v>
      </c>
      <c r="CD61" s="59">
        <f ca="1">AVERAGE(OFFSET($CC$3,0,0,'Données projet'!$E$12+1,1))-AVERAGE(OFFSET($H$3,0,0,'Données projet'!$E$12+1,1))</f>
        <v>111.69585394603672</v>
      </c>
      <c r="CE61" s="59">
        <f t="shared" si="40"/>
        <v>162.6701214629764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17.816784931011952</v>
      </c>
      <c r="CL61" s="21">
        <f>EXP(-LN(2)/25)*CL60+(1-EXP(-LN(2)/25))/(LN(2)/25)*Calculateur!CG61*Calculateur!CI61*VLOOKUP('Données projet'!$B$12,Paramètres!$A$1:$I$89,3,0)*0.475*44/12</f>
        <v>18.322965201000315</v>
      </c>
      <c r="CM61" s="21">
        <f>EXP(-LN(2)/2)*CM60+(1-EXP(-LN(2)/2))/(LN(2)/2)*CG61*CJ61*VLOOKUP('Données projet'!$B$12,Paramètres!$A$1:$I$89,3,0)*0.475*44/12</f>
        <v>0.71141989196204281</v>
      </c>
      <c r="CN61" s="22">
        <f t="shared" si="12"/>
        <v>36.851170023974312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-5.1431925385259088E-14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320.93171542656671</v>
      </c>
      <c r="T62" s="59">
        <f t="shared" si="34"/>
        <v>452.7298965816143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32.305950082962944</v>
      </c>
      <c r="AA62" s="21">
        <f>EXP(-LN(2)/25)*AA61+(1-EXP(-LN(2)/25))/(LN(2)/25)*Calculateur!V62*Calculateur!X62*VLOOKUP('Données projet'!$B$9,Paramètres!$A$1:$I$89,3,0)*0.475*44/12</f>
        <v>14.56552867816967</v>
      </c>
      <c r="AB62" s="21">
        <f>EXP(-LN(2)/2)*AB61+(1-EXP(-LN(2)/2))/(LN(2)/2)*V62*Y62*VLOOKUP('Données projet'!$B$9,Paramètres!$A$1:$I$89,3,0)*0.475*44/12</f>
        <v>0.418312996896054</v>
      </c>
      <c r="AC62" s="22">
        <f t="shared" si="3"/>
        <v>47.28979175802867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</v>
      </c>
      <c r="AI62" s="13">
        <f>IF('Données projet'!$A$62&gt;35,AI61+AH62-AQ61,IF(A62&lt;'Données projet'!$A$62,$AF$205^A62,IF(A62='Données projet'!$A$62,'Données projet'!$B$62,AI61+AH62-AQ61)))</f>
        <v>214.00000000000003</v>
      </c>
      <c r="AJ62" s="13">
        <f>AI62*VLOOKUP('Données projet'!$B$10,Paramètres!$A$1:$I$89,3,0)*VLOOKUP('Données projet'!$B$10,Paramètres!$A$1:$I$89,5,0)</f>
        <v>186.95040000000006</v>
      </c>
      <c r="AK62" s="13">
        <f t="shared" si="35"/>
        <v>46.865095976617653</v>
      </c>
      <c r="AL62" s="20">
        <f t="shared" si="4"/>
        <v>407.22865549260922</v>
      </c>
      <c r="AM62" s="59">
        <f t="shared" si="5"/>
        <v>700.56198882594254</v>
      </c>
      <c r="AN62" s="59">
        <f ca="1">AVERAGE(OFFSET($AM$3,0,0,'Données projet'!$E$10+1,1))-AVERAGE(OFFSET($H$3,0,0,'Données projet'!$E$10+1,1))</f>
        <v>201.61452816909701</v>
      </c>
      <c r="AO62" s="59">
        <f t="shared" si="36"/>
        <v>287.77679930887746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16.984497396225493</v>
      </c>
      <c r="AV62" s="21">
        <f>EXP(-LN(2)/25)*AV61+(1-EXP(-LN(2)/25))/(LN(2)/25)*Calculateur!AQ62*Calculateur!AS62*VLOOKUP('Données projet'!$B$10,Paramètres!$A$1:$I$89,3,0)*0.475*44/12</f>
        <v>15.853713645746174</v>
      </c>
      <c r="AW62" s="21">
        <f>EXP(-LN(2)/2)*AW61+(1-EXP(-LN(2)/2))/(LN(2)/2)*AQ62*AT62*VLOOKUP('Données projet'!$B$10,Paramètres!$A$1:$I$89,3,0)*0.475*44/12</f>
        <v>1.3864518501609424</v>
      </c>
      <c r="AX62" s="21">
        <f t="shared" si="6"/>
        <v>34.224662892132613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16.625</v>
      </c>
      <c r="BD62" s="12">
        <f>IF('Données projet'!$A$88&gt;35,BD61+BC62-BL61,IF(A62&lt;'Données projet'!$A$88,$BA$205^A62,IF(A62='Données projet'!$A$88,'Données projet'!$B$88,BD61+BC62-BL61)))</f>
        <v>378.62499999999994</v>
      </c>
      <c r="BE62" s="13">
        <f>BD62*VLOOKUP('Données projet'!$B$11,Paramètres!$A$1:$I$89,3,0)*VLOOKUP('Données projet'!$B$11,Paramètres!$A$1:$I$89,5,0)</f>
        <v>226.41774999999998</v>
      </c>
      <c r="BF62" s="13">
        <f t="shared" si="37"/>
        <v>55.507409107649494</v>
      </c>
      <c r="BG62" s="20">
        <f t="shared" si="7"/>
        <v>491.0196521124895</v>
      </c>
      <c r="BH62" s="59">
        <f t="shared" si="8"/>
        <v>784.35298544582281</v>
      </c>
      <c r="BI62" s="59">
        <f ca="1">AVERAGE(OFFSET($BH$3,0,0,'Données projet'!$E$11+1,1))-AVERAGE(OFFSET($H$3,0,0,'Données projet'!$E$11+1,1))</f>
        <v>225.63994281336028</v>
      </c>
      <c r="BJ62" s="59">
        <f t="shared" si="38"/>
        <v>231.19476400361157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26.160595874865002</v>
      </c>
      <c r="BQ62" s="21">
        <f>EXP(-LN(2)/25)*BQ61+(1-EXP(-LN(2)/25))/(LN(2)/25)*Calculateur!BL62*Calculateur!BN62*VLOOKUP('Données projet'!$B$11,Paramètres!$A$1:$I$89,3,0)*0.475*44/12</f>
        <v>24.105034421172203</v>
      </c>
      <c r="BR62" s="21">
        <f>EXP(-LN(2)/2)*BR61+(1-EXP(-LN(2)/2))/(LN(2)/2)*BL62*BO62*VLOOKUP('Données projet'!$B$11,Paramètres!$A$1:$I$89,3,0)*0.475*44/12</f>
        <v>7.8520081808497837</v>
      </c>
      <c r="BS62" s="22">
        <f t="shared" si="9"/>
        <v>58.117638476886988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13.444444444444445</v>
      </c>
      <c r="BY62" s="12">
        <f>IF('Données projet'!$A$114&gt;35,BY61+BX62-CG61,IF(A62&lt;'Données projet'!$A$114,$BV$205^A62,IF(A62='Données projet'!$A$114,'Données projet'!$B$114,BY61+BX62-CG61)))</f>
        <v>286.5555555555556</v>
      </c>
      <c r="BZ62" s="13">
        <f>BY62*VLOOKUP('Données projet'!$B$12,Paramètres!$A$1:$I$89,3,0)*VLOOKUP('Données projet'!$B$12,Paramètres!$A$1:$I$89,5,0)</f>
        <v>134.10800000000003</v>
      </c>
      <c r="CA62" s="13">
        <f t="shared" si="39"/>
        <v>34.943871948095122</v>
      </c>
      <c r="CB62" s="20">
        <f t="shared" si="10"/>
        <v>294.43201030959904</v>
      </c>
      <c r="CC62" s="59">
        <f t="shared" si="11"/>
        <v>587.76534364293229</v>
      </c>
      <c r="CD62" s="59">
        <f ca="1">AVERAGE(OFFSET($CC$3,0,0,'Données projet'!$E$12+1,1))-AVERAGE(OFFSET($H$3,0,0,'Données projet'!$E$12+1,1))</f>
        <v>111.69585394603672</v>
      </c>
      <c r="CE62" s="59">
        <f t="shared" si="40"/>
        <v>162.6701214629764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17.467408645680571</v>
      </c>
      <c r="CL62" s="21">
        <f>EXP(-LN(2)/25)*CL61+(1-EXP(-LN(2)/25))/(LN(2)/25)*Calculateur!CG62*Calculateur!CI62*VLOOKUP('Données projet'!$B$12,Paramètres!$A$1:$I$89,3,0)*0.475*44/12</f>
        <v>17.8219227540161</v>
      </c>
      <c r="CM62" s="21">
        <f>EXP(-LN(2)/2)*CM61+(1-EXP(-LN(2)/2))/(LN(2)/2)*CG62*CJ62*VLOOKUP('Données projet'!$B$12,Paramètres!$A$1:$I$89,3,0)*0.475*44/12</f>
        <v>0.50304982987736147</v>
      </c>
      <c r="CN62" s="22">
        <f t="shared" si="12"/>
        <v>35.792381229574033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-5.1431925385259088E-14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320.93171542656671</v>
      </c>
      <c r="T63" s="59">
        <f t="shared" si="34"/>
        <v>452.7298965816143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31.672450106519914</v>
      </c>
      <c r="AA63" s="21">
        <f>EXP(-LN(2)/25)*AA62+(1-EXP(-LN(2)/25))/(LN(2)/25)*Calculateur!V63*Calculateur!X63*VLOOKUP('Données projet'!$B$9,Paramètres!$A$1:$I$89,3,0)*0.475*44/12</f>
        <v>14.167233530497258</v>
      </c>
      <c r="AB63" s="21">
        <f>EXP(-LN(2)/2)*AB62+(1-EXP(-LN(2)/2))/(LN(2)/2)*V63*Y63*VLOOKUP('Données projet'!$B$9,Paramètres!$A$1:$I$89,3,0)*0.475*44/12</f>
        <v>0.29579195676366699</v>
      </c>
      <c r="AC63" s="22">
        <f t="shared" si="3"/>
        <v>46.135475593780839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6</v>
      </c>
      <c r="AH63" s="12">
        <f t="array" ref="AH63">INDEX(AG:AG,MIN(IF(ISNUMBER(AG63:AG259),ROW(AG63:AG259),"")))</f>
        <v>6</v>
      </c>
      <c r="AI63" s="13">
        <f>IF('Données projet'!$A$62&gt;35,AI62+AH63-AQ62,IF(A63&lt;'Données projet'!$A$62,$AF$205^A63,IF(A63='Données projet'!$A$62,'Données projet'!$B$62,AI62+AH63-AQ62)))</f>
        <v>220.00000000000003</v>
      </c>
      <c r="AJ63" s="13">
        <f>AI63*VLOOKUP('Données projet'!$B$10,Paramètres!$A$1:$I$89,3,0)*VLOOKUP('Données projet'!$B$10,Paramètres!$A$1:$I$89,5,0)</f>
        <v>192.19200000000006</v>
      </c>
      <c r="AK63" s="13">
        <f t="shared" si="35"/>
        <v>48.02424892193244</v>
      </c>
      <c r="AL63" s="20">
        <f t="shared" si="4"/>
        <v>418.37663353903241</v>
      </c>
      <c r="AM63" s="59">
        <f t="shared" si="5"/>
        <v>711.70996687236573</v>
      </c>
      <c r="AN63" s="59">
        <f ca="1">AVERAGE(OFFSET($AM$3,0,0,'Données projet'!$E$10+1,1))-AVERAGE(OFFSET($H$3,0,0,'Données projet'!$E$10+1,1))</f>
        <v>201.61452816909701</v>
      </c>
      <c r="AO63" s="59">
        <f t="shared" si="36"/>
        <v>287.77679930887746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220</v>
      </c>
      <c r="AR63" s="16">
        <f>IF(ISNA(VLOOKUP(A63,'Données projet'!$A$61:$I$81,5,0)),0%,VLOOKUP(A63,'Données projet'!$A$61:$I$81,5,0)*VLOOKUP('Données projet'!$B$10,Paramètres!$A$1:$I$89,7,0))</f>
        <v>0.17200000000000001</v>
      </c>
      <c r="AS63" s="16">
        <f>IF(ISNA(VLOOKUP(A63,'Données projet'!$A$61:$I$81,6,0)),0%,VLOOKUP(A63,'Données projet'!$A$61:$I$81,6,0)*VLOOKUP('Données projet'!$B$10,Paramètres!$A$1:$I$89,7,0))</f>
        <v>0.129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53.195002629315859</v>
      </c>
      <c r="AV63" s="21">
        <f>EXP(-LN(2)/25)*AV62+(1-EXP(-LN(2)/25))/(LN(2)/25)*Calculateur!AQ63*Calculateur!AS63*VLOOKUP('Données projet'!$B$10,Paramètres!$A$1:$I$89,3,0)*0.475*44/12</f>
        <v>42.719949220532271</v>
      </c>
      <c r="AW63" s="21">
        <f>EXP(-LN(2)/2)*AW62+(1-EXP(-LN(2)/2))/(LN(2)/2)*AQ63*AT63*VLOOKUP('Données projet'!$B$10,Paramètres!$A$1:$I$89,3,0)*0.475*44/12</f>
        <v>37.248034459405204</v>
      </c>
      <c r="AX63" s="21">
        <f t="shared" si="6"/>
        <v>133.16298630925334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16.625</v>
      </c>
      <c r="BD63" s="12">
        <f>IF('Données projet'!$A$88&gt;35,BD62+BC63-BL62,IF(A63&lt;'Données projet'!$A$88,$BA$205^A63,IF(A63='Données projet'!$A$88,'Données projet'!$B$88,BD62+BC63-BL62)))</f>
        <v>395.24999999999994</v>
      </c>
      <c r="BE63" s="13">
        <f>BD63*VLOOKUP('Données projet'!$B$11,Paramètres!$A$1:$I$89,3,0)*VLOOKUP('Données projet'!$B$11,Paramètres!$A$1:$I$89,5,0)</f>
        <v>236.35949999999997</v>
      </c>
      <c r="BF63" s="13">
        <f t="shared" si="37"/>
        <v>57.655563749416167</v>
      </c>
      <c r="BG63" s="20">
        <f t="shared" si="7"/>
        <v>512.07623603023308</v>
      </c>
      <c r="BH63" s="59">
        <f t="shared" si="8"/>
        <v>805.40956936356633</v>
      </c>
      <c r="BI63" s="59">
        <f ca="1">AVERAGE(OFFSET($BH$3,0,0,'Données projet'!$E$11+1,1))-AVERAGE(OFFSET($H$3,0,0,'Données projet'!$E$11+1,1))</f>
        <v>225.63994281336028</v>
      </c>
      <c r="BJ63" s="59">
        <f t="shared" si="38"/>
        <v>231.19476400361157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25.647602546146821</v>
      </c>
      <c r="BQ63" s="21">
        <f>EXP(-LN(2)/25)*BQ62+(1-EXP(-LN(2)/25))/(LN(2)/25)*Calculateur!BL63*Calculateur!BN63*VLOOKUP('Données projet'!$B$11,Paramètres!$A$1:$I$89,3,0)*0.475*44/12</f>
        <v>23.445880987296583</v>
      </c>
      <c r="BR63" s="21">
        <f>EXP(-LN(2)/2)*BR62+(1-EXP(-LN(2)/2))/(LN(2)/2)*BL63*BO63*VLOOKUP('Données projet'!$B$11,Paramètres!$A$1:$I$89,3,0)*0.475*44/12</f>
        <v>5.5522082306111296</v>
      </c>
      <c r="BS63" s="22">
        <f t="shared" si="9"/>
        <v>54.645691764054533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300</v>
      </c>
      <c r="BW63" s="12">
        <f>VLOOKUP(A63,'Données projet'!$A$113:$I$133,9,0)</f>
        <v>13.444444444444445</v>
      </c>
      <c r="BX63" s="12">
        <f t="array" ref="BX63">INDEX(BW:BW,MIN(IF(ISNUMBER(BW63:BW259),ROW(BW63:BW259),"")))</f>
        <v>13.444444444444445</v>
      </c>
      <c r="BY63" s="12">
        <f>IF('Données projet'!$A$114&gt;35,BY62+BX63-CG62,IF(A63&lt;'Données projet'!$A$114,$BV$205^A63,IF(A63='Données projet'!$A$114,'Données projet'!$B$114,BY62+BX63-CG62)))</f>
        <v>300.00000000000006</v>
      </c>
      <c r="BZ63" s="13">
        <f>BY63*VLOOKUP('Données projet'!$B$12,Paramètres!$A$1:$I$89,3,0)*VLOOKUP('Données projet'!$B$12,Paramètres!$A$1:$I$89,5,0)</f>
        <v>140.40000000000003</v>
      </c>
      <c r="CA63" s="13">
        <f t="shared" si="39"/>
        <v>36.388624656711201</v>
      </c>
      <c r="CB63" s="20">
        <f t="shared" si="10"/>
        <v>307.90685461043876</v>
      </c>
      <c r="CC63" s="59">
        <f t="shared" si="11"/>
        <v>601.24018794377207</v>
      </c>
      <c r="CD63" s="59">
        <f ca="1">AVERAGE(OFFSET($CC$3,0,0,'Données projet'!$E$12+1,1))-AVERAGE(OFFSET($H$3,0,0,'Données projet'!$E$12+1,1))</f>
        <v>111.69585394603672</v>
      </c>
      <c r="CE63" s="59">
        <f t="shared" si="40"/>
        <v>162.6701214629764</v>
      </c>
      <c r="CF63" s="15">
        <f>IF(ISNA(VLOOKUP(A63,'Données projet'!$A$113:$I$133,3,0)),0,VLOOKUP(A63,'Données projet'!$A$113:$I$133,3,0))</f>
        <v>7</v>
      </c>
      <c r="CG63" s="15">
        <f>IF(ISNA(VLOOKUP(A63,'Données projet'!$A$113:$I$133,4,0)),0,VLOOKUP(A63,'Données projet'!$A$113:$I$133,4,0))</f>
        <v>300</v>
      </c>
      <c r="CH63" s="16">
        <f>IF(ISNA(VLOOKUP(A63,'Données projet'!$A$113:$I$133,5,0)),0%,VLOOKUP(A63,'Données projet'!$A$113:$I$133,5,0)*VLOOKUP('Données projet'!$B$12,Paramètres!$A$1:$I$89,7,0))</f>
        <v>0.22000000000000003</v>
      </c>
      <c r="CI63" s="16">
        <f>IF(ISNA(VLOOKUP(A63,'Données projet'!$A$113:$I$133,6,0)),0%,VLOOKUP(A63,'Données projet'!$A$113:$I$133,6,0)*VLOOKUP('Données projet'!$B$12,Paramètres!$A$1:$I$89,7,0))</f>
        <v>0.16500000000000001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58.099806315822576</v>
      </c>
      <c r="CL63" s="21">
        <f>EXP(-LN(2)/25)*CL62+(1-EXP(-LN(2)/25))/(LN(2)/25)*Calculateur!CG63*Calculateur!CI63*VLOOKUP('Données projet'!$B$12,Paramètres!$A$1:$I$89,3,0)*0.475*44/12</f>
        <v>47.944773100711657</v>
      </c>
      <c r="CM63" s="21">
        <f>EXP(-LN(2)/2)*CM62+(1-EXP(-LN(2)/2))/(LN(2)/2)*CG63*CJ63*VLOOKUP('Données projet'!$B$12,Paramètres!$A$1:$I$89,3,0)*0.475*44/12</f>
        <v>32.148792860524182</v>
      </c>
      <c r="CN63" s="22">
        <f t="shared" si="12"/>
        <v>138.19337227705842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-5.1431925385259088E-14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320.93171542656671</v>
      </c>
      <c r="T64" s="59">
        <f t="shared" si="34"/>
        <v>452.7298965816143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31.051372678218101</v>
      </c>
      <c r="AA64" s="21">
        <f>EXP(-LN(2)/25)*AA63+(1-EXP(-LN(2)/25))/(LN(2)/25)*Calculateur!V64*Calculateur!X64*VLOOKUP('Données projet'!$B$9,Paramètres!$A$1:$I$89,3,0)*0.475*44/12</f>
        <v>13.779829784583379</v>
      </c>
      <c r="AB64" s="21">
        <f>EXP(-LN(2)/2)*AB63+(1-EXP(-LN(2)/2))/(LN(2)/2)*V64*Y64*VLOOKUP('Données projet'!$B$9,Paramètres!$A$1:$I$89,3,0)*0.475*44/12</f>
        <v>0.209156498448027</v>
      </c>
      <c r="AC64" s="22">
        <f t="shared" si="3"/>
        <v>45.040358961249503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2.8421709430404007E-14</v>
      </c>
      <c r="AJ64" s="13">
        <f>AI64*VLOOKUP('Données projet'!$B$10,Paramètres!$A$1:$I$89,3,0)*VLOOKUP('Données projet'!$B$10,Paramètres!$A$1:$I$89,5,0)</f>
        <v>2.4829205358400945E-14</v>
      </c>
      <c r="AK64" s="13">
        <f t="shared" si="35"/>
        <v>4.3867331143352915E-13</v>
      </c>
      <c r="AL64" s="20">
        <f t="shared" si="4"/>
        <v>8.0726688341261168E-13</v>
      </c>
      <c r="AM64" s="59">
        <f t="shared" si="5"/>
        <v>293.33333333333411</v>
      </c>
      <c r="AN64" s="59">
        <f ca="1">AVERAGE(OFFSET($AM$3,0,0,'Données projet'!$E$10+1,1))-AVERAGE(OFFSET($H$3,0,0,'Données projet'!$E$10+1,1))</f>
        <v>201.61452816909701</v>
      </c>
      <c r="AO64" s="59">
        <f t="shared" si="36"/>
        <v>287.77679930887746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52.151881073502828</v>
      </c>
      <c r="AV64" s="21">
        <f>EXP(-LN(2)/25)*AV63+(1-EXP(-LN(2)/25))/(LN(2)/25)*Calculateur!AQ64*Calculateur!AS64*VLOOKUP('Données projet'!$B$10,Paramètres!$A$1:$I$89,3,0)*0.475*44/12</f>
        <v>41.551769962552328</v>
      </c>
      <c r="AW64" s="21">
        <f>EXP(-LN(2)/2)*AW63+(1-EXP(-LN(2)/2))/(LN(2)/2)*AQ64*AT64*VLOOKUP('Données projet'!$B$10,Paramètres!$A$1:$I$89,3,0)*0.475*44/12</f>
        <v>26.338337752115621</v>
      </c>
      <c r="AX64" s="21">
        <f t="shared" si="6"/>
        <v>120.04198878817078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16.625</v>
      </c>
      <c r="BD64" s="12">
        <f>IF('Données projet'!$A$88&gt;35,BD63+BC64-BL63,IF(A64&lt;'Données projet'!$A$88,$BA$205^A64,IF(A64='Données projet'!$A$88,'Données projet'!$B$88,BD63+BC64-BL63)))</f>
        <v>411.87499999999994</v>
      </c>
      <c r="BE64" s="13">
        <f>BD64*VLOOKUP('Données projet'!$B$11,Paramètres!$A$1:$I$89,3,0)*VLOOKUP('Données projet'!$B$11,Paramètres!$A$1:$I$89,5,0)</f>
        <v>246.30124999999998</v>
      </c>
      <c r="BF64" s="13">
        <f t="shared" si="37"/>
        <v>59.793223430016852</v>
      </c>
      <c r="BG64" s="20">
        <f t="shared" si="7"/>
        <v>533.11454122394582</v>
      </c>
      <c r="BH64" s="59">
        <f t="shared" si="8"/>
        <v>826.44787455727919</v>
      </c>
      <c r="BI64" s="59">
        <f ca="1">AVERAGE(OFFSET($BH$3,0,0,'Données projet'!$E$11+1,1))-AVERAGE(OFFSET($H$3,0,0,'Données projet'!$E$11+1,1))</f>
        <v>225.63994281336028</v>
      </c>
      <c r="BJ64" s="59">
        <f t="shared" si="38"/>
        <v>231.19476400361157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25.144668703709769</v>
      </c>
      <c r="BQ64" s="21">
        <f>EXP(-LN(2)/25)*BQ63+(1-EXP(-LN(2)/25))/(LN(2)/25)*Calculateur!BL64*Calculateur!BN64*VLOOKUP('Données projet'!$B$11,Paramètres!$A$1:$I$89,3,0)*0.475*44/12</f>
        <v>22.804752138733662</v>
      </c>
      <c r="BR64" s="21">
        <f>EXP(-LN(2)/2)*BR63+(1-EXP(-LN(2)/2))/(LN(2)/2)*BL64*BO64*VLOOKUP('Données projet'!$B$11,Paramètres!$A$1:$I$89,3,0)*0.475*44/12</f>
        <v>3.9260040904248923</v>
      </c>
      <c r="BS64" s="22">
        <f t="shared" si="9"/>
        <v>51.87542493286832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5.6843418860808015E-14</v>
      </c>
      <c r="BZ64" s="13">
        <f>BY64*VLOOKUP('Données projet'!$B$12,Paramètres!$A$1:$I$89,3,0)*VLOOKUP('Données projet'!$B$12,Paramètres!$A$1:$I$89,5,0)</f>
        <v>2.6602720026858149E-14</v>
      </c>
      <c r="CA64" s="13">
        <f t="shared" si="39"/>
        <v>4.6624771586320878E-13</v>
      </c>
      <c r="CB64" s="20">
        <f t="shared" si="10"/>
        <v>8.583811758418665E-13</v>
      </c>
      <c r="CC64" s="59">
        <f t="shared" si="11"/>
        <v>293.33333333333417</v>
      </c>
      <c r="CD64" s="59">
        <f ca="1">AVERAGE(OFFSET($CC$3,0,0,'Données projet'!$E$12+1,1))-AVERAGE(OFFSET($H$3,0,0,'Données projet'!$E$12+1,1))</f>
        <v>111.69585394603672</v>
      </c>
      <c r="CE64" s="59">
        <f t="shared" si="40"/>
        <v>162.6701214629764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56.960504551351995</v>
      </c>
      <c r="CL64" s="21">
        <f>EXP(-LN(2)/25)*CL63+(1-EXP(-LN(2)/25))/(LN(2)/25)*Calculateur!CG64*Calculateur!CI64*VLOOKUP('Données projet'!$B$12,Paramètres!$A$1:$I$89,3,0)*0.475*44/12</f>
        <v>46.63372075896666</v>
      </c>
      <c r="CM64" s="21">
        <f>EXP(-LN(2)/2)*CM63+(1-EXP(-LN(2)/2))/(LN(2)/2)*CG64*CJ64*VLOOKUP('Données projet'!$B$12,Paramètres!$A$1:$I$89,3,0)*0.475*44/12</f>
        <v>22.732629438638316</v>
      </c>
      <c r="CN64" s="22">
        <f t="shared" si="12"/>
        <v>126.32685474895696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-5.1431925385259088E-14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320.93171542656671</v>
      </c>
      <c r="T65" s="59">
        <f t="shared" si="34"/>
        <v>452.7298965816143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30.442474199465462</v>
      </c>
      <c r="AA65" s="21">
        <f>EXP(-LN(2)/25)*AA64+(1-EXP(-LN(2)/25))/(LN(2)/25)*Calculateur!V65*Calculateur!X65*VLOOKUP('Données projet'!$B$9,Paramètres!$A$1:$I$89,3,0)*0.475*44/12</f>
        <v>13.403019614474193</v>
      </c>
      <c r="AB65" s="21">
        <f>EXP(-LN(2)/2)*AB64+(1-EXP(-LN(2)/2))/(LN(2)/2)*V65*Y65*VLOOKUP('Données projet'!$B$9,Paramètres!$A$1:$I$89,3,0)*0.475*44/12</f>
        <v>0.14789597838183349</v>
      </c>
      <c r="AC65" s="22">
        <f t="shared" si="3"/>
        <v>43.993389792321487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2.8421709430404007E-14</v>
      </c>
      <c r="AJ65" s="13">
        <f>AI65*VLOOKUP('Données projet'!$B$10,Paramètres!$A$1:$I$89,3,0)*VLOOKUP('Données projet'!$B$10,Paramètres!$A$1:$I$89,5,0)</f>
        <v>2.4829205358400945E-14</v>
      </c>
      <c r="AK65" s="13">
        <f t="shared" si="35"/>
        <v>4.3867331143352915E-13</v>
      </c>
      <c r="AL65" s="20">
        <f t="shared" si="4"/>
        <v>8.0726688341261168E-13</v>
      </c>
      <c r="AM65" s="59">
        <f t="shared" si="5"/>
        <v>293.33333333333411</v>
      </c>
      <c r="AN65" s="59">
        <f ca="1">AVERAGE(OFFSET($AM$3,0,0,'Données projet'!$E$10+1,1))-AVERAGE(OFFSET($H$3,0,0,'Données projet'!$E$10+1,1))</f>
        <v>201.61452816909701</v>
      </c>
      <c r="AO65" s="59">
        <f t="shared" si="36"/>
        <v>287.77679930887746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51.129214495157967</v>
      </c>
      <c r="AV65" s="21">
        <f>EXP(-LN(2)/25)*AV64+(1-EXP(-LN(2)/25))/(LN(2)/25)*Calculateur!AQ65*Calculateur!AS65*VLOOKUP('Données projet'!$B$10,Paramètres!$A$1:$I$89,3,0)*0.475*44/12</f>
        <v>40.41553462781372</v>
      </c>
      <c r="AW65" s="21">
        <f>EXP(-LN(2)/2)*AW64+(1-EXP(-LN(2)/2))/(LN(2)/2)*AQ65*AT65*VLOOKUP('Données projet'!$B$10,Paramètres!$A$1:$I$89,3,0)*0.475*44/12</f>
        <v>18.624017229702606</v>
      </c>
      <c r="AX65" s="21">
        <f t="shared" si="6"/>
        <v>110.1687663526743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16.625</v>
      </c>
      <c r="BD65" s="12">
        <f>IF('Données projet'!$A$88&gt;35,BD64+BC65-BL64,IF(A65&lt;'Données projet'!$A$88,$BA$205^A65,IF(A65='Données projet'!$A$88,'Données projet'!$B$88,BD64+BC65-BL64)))</f>
        <v>428.49999999999994</v>
      </c>
      <c r="BE65" s="13">
        <f>BD65*VLOOKUP('Données projet'!$B$11,Paramètres!$A$1:$I$89,3,0)*VLOOKUP('Données projet'!$B$11,Paramètres!$A$1:$I$89,5,0)</f>
        <v>256.24299999999999</v>
      </c>
      <c r="BF65" s="13">
        <f t="shared" si="37"/>
        <v>61.920860231490025</v>
      </c>
      <c r="BG65" s="20">
        <f t="shared" si="7"/>
        <v>554.13538990317852</v>
      </c>
      <c r="BH65" s="59">
        <f t="shared" si="8"/>
        <v>847.46872323651178</v>
      </c>
      <c r="BI65" s="59">
        <f ca="1">AVERAGE(OFFSET($BH$3,0,0,'Données projet'!$E$11+1,1))-AVERAGE(OFFSET($H$3,0,0,'Données projet'!$E$11+1,1))</f>
        <v>225.63994281336028</v>
      </c>
      <c r="BJ65" s="59">
        <f t="shared" si="38"/>
        <v>231.19476400361157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24.651597087163552</v>
      </c>
      <c r="BQ65" s="21">
        <f>EXP(-LN(2)/25)*BQ64+(1-EXP(-LN(2)/25))/(LN(2)/25)*Calculateur!BL65*Calculateur!BN65*VLOOKUP('Données projet'!$B$11,Paramètres!$A$1:$I$89,3,0)*0.475*44/12</f>
        <v>22.181154992250196</v>
      </c>
      <c r="BR65" s="21">
        <f>EXP(-LN(2)/2)*BR64+(1-EXP(-LN(2)/2))/(LN(2)/2)*BL65*BO65*VLOOKUP('Données projet'!$B$11,Paramètres!$A$1:$I$89,3,0)*0.475*44/12</f>
        <v>2.7761041153055652</v>
      </c>
      <c r="BS65" s="22">
        <f t="shared" si="9"/>
        <v>49.608856194719316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5.6843418860808015E-14</v>
      </c>
      <c r="BZ65" s="13">
        <f>BY65*VLOOKUP('Données projet'!$B$12,Paramètres!$A$1:$I$89,3,0)*VLOOKUP('Données projet'!$B$12,Paramètres!$A$1:$I$89,5,0)</f>
        <v>2.6602720026858149E-14</v>
      </c>
      <c r="CA65" s="13">
        <f t="shared" si="39"/>
        <v>4.6624771586320878E-13</v>
      </c>
      <c r="CB65" s="20">
        <f t="shared" si="10"/>
        <v>8.583811758418665E-13</v>
      </c>
      <c r="CC65" s="59">
        <f t="shared" si="11"/>
        <v>293.33333333333417</v>
      </c>
      <c r="CD65" s="59">
        <f ca="1">AVERAGE(OFFSET($CC$3,0,0,'Données projet'!$E$12+1,1))-AVERAGE(OFFSET($H$3,0,0,'Données projet'!$E$12+1,1))</f>
        <v>111.69585394603672</v>
      </c>
      <c r="CE65" s="59">
        <f t="shared" si="40"/>
        <v>162.6701214629764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55.843543799577226</v>
      </c>
      <c r="CL65" s="21">
        <f>EXP(-LN(2)/25)*CL64+(1-EXP(-LN(2)/25))/(LN(2)/25)*Calculateur!CG65*Calculateur!CI65*VLOOKUP('Données projet'!$B$12,Paramètres!$A$1:$I$89,3,0)*0.475*44/12</f>
        <v>45.358519212451924</v>
      </c>
      <c r="CM65" s="21">
        <f>EXP(-LN(2)/2)*CM64+(1-EXP(-LN(2)/2))/(LN(2)/2)*CG65*CJ65*VLOOKUP('Données projet'!$B$12,Paramètres!$A$1:$I$89,3,0)*0.475*44/12</f>
        <v>16.074396430262095</v>
      </c>
      <c r="CN65" s="22">
        <f t="shared" si="12"/>
        <v>117.27645944229126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-5.1431925385259088E-14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320.93171542656671</v>
      </c>
      <c r="T66" s="59">
        <f t="shared" si="34"/>
        <v>452.7298965816143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29.845515848489761</v>
      </c>
      <c r="AA66" s="21">
        <f>EXP(-LN(2)/25)*AA65+(1-EXP(-LN(2)/25))/(LN(2)/25)*Calculateur!V66*Calculateur!X66*VLOOKUP('Données projet'!$B$9,Paramètres!$A$1:$I$89,3,0)*0.475*44/12</f>
        <v>13.036513338282228</v>
      </c>
      <c r="AB66" s="21">
        <f>EXP(-LN(2)/2)*AB65+(1-EXP(-LN(2)/2))/(LN(2)/2)*V66*Y66*VLOOKUP('Données projet'!$B$9,Paramètres!$A$1:$I$89,3,0)*0.475*44/12</f>
        <v>0.1045782492240135</v>
      </c>
      <c r="AC66" s="22">
        <f t="shared" si="3"/>
        <v>42.986607435996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2.8421709430404007E-14</v>
      </c>
      <c r="AJ66" s="13">
        <f>AI66*VLOOKUP('Données projet'!$B$10,Paramètres!$A$1:$I$89,3,0)*VLOOKUP('Données projet'!$B$10,Paramètres!$A$1:$I$89,5,0)</f>
        <v>2.4829205358400945E-14</v>
      </c>
      <c r="AK66" s="13">
        <f t="shared" si="35"/>
        <v>4.3867331143352915E-13</v>
      </c>
      <c r="AL66" s="20">
        <f t="shared" si="4"/>
        <v>8.0726688341261168E-13</v>
      </c>
      <c r="AM66" s="59">
        <f t="shared" si="5"/>
        <v>293.33333333333411</v>
      </c>
      <c r="AN66" s="59">
        <f ca="1">AVERAGE(OFFSET($AM$3,0,0,'Données projet'!$E$10+1,1))-AVERAGE(OFFSET($H$3,0,0,'Données projet'!$E$10+1,1))</f>
        <v>201.61452816909701</v>
      </c>
      <c r="AO66" s="59">
        <f t="shared" si="36"/>
        <v>287.77679930887746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50.126601784649424</v>
      </c>
      <c r="AV66" s="21">
        <f>EXP(-LN(2)/25)*AV65+(1-EXP(-LN(2)/25))/(LN(2)/25)*Calculateur!AQ66*Calculateur!AS66*VLOOKUP('Données projet'!$B$10,Paramètres!$A$1:$I$89,3,0)*0.475*44/12</f>
        <v>39.310369708055561</v>
      </c>
      <c r="AW66" s="21">
        <f>EXP(-LN(2)/2)*AW65+(1-EXP(-LN(2)/2))/(LN(2)/2)*AQ66*AT66*VLOOKUP('Données projet'!$B$10,Paramètres!$A$1:$I$89,3,0)*0.475*44/12</f>
        <v>13.169168876057812</v>
      </c>
      <c r="AX66" s="21">
        <f t="shared" si="6"/>
        <v>102.60614036876279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16.625</v>
      </c>
      <c r="BD66" s="12">
        <f>IF('Données projet'!$A$88&gt;35,BD65+BC66-BL65,IF(A66&lt;'Données projet'!$A$88,$BA$205^A66,IF(A66='Données projet'!$A$88,'Données projet'!$B$88,BD65+BC66-BL65)))</f>
        <v>445.12499999999994</v>
      </c>
      <c r="BE66" s="13">
        <f>BD66*VLOOKUP('Données projet'!$B$11,Paramètres!$A$1:$I$89,3,0)*VLOOKUP('Données projet'!$B$11,Paramètres!$A$1:$I$89,5,0)</f>
        <v>266.18475000000001</v>
      </c>
      <c r="BF66" s="13">
        <f t="shared" si="37"/>
        <v>64.038907529798962</v>
      </c>
      <c r="BG66" s="20">
        <f t="shared" si="7"/>
        <v>575.13953686439993</v>
      </c>
      <c r="BH66" s="59">
        <f t="shared" si="8"/>
        <v>868.4728701977333</v>
      </c>
      <c r="BI66" s="59">
        <f ca="1">AVERAGE(OFFSET($BH$3,0,0,'Données projet'!$E$11+1,1))-AVERAGE(OFFSET($H$3,0,0,'Données projet'!$E$11+1,1))</f>
        <v>225.63994281336028</v>
      </c>
      <c r="BJ66" s="59">
        <f t="shared" si="38"/>
        <v>231.19476400361157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24.168194304273818</v>
      </c>
      <c r="BQ66" s="21">
        <f>EXP(-LN(2)/25)*BQ65+(1-EXP(-LN(2)/25))/(LN(2)/25)*Calculateur!BL66*Calculateur!BN66*VLOOKUP('Données projet'!$B$11,Paramètres!$A$1:$I$89,3,0)*0.475*44/12</f>
        <v>21.574610142530869</v>
      </c>
      <c r="BR66" s="21">
        <f>EXP(-LN(2)/2)*BR65+(1-EXP(-LN(2)/2))/(LN(2)/2)*BL66*BO66*VLOOKUP('Données projet'!$B$11,Paramètres!$A$1:$I$89,3,0)*0.475*44/12</f>
        <v>1.9630020452124466</v>
      </c>
      <c r="BS66" s="22">
        <f t="shared" si="9"/>
        <v>47.705806492017132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5.6843418860808015E-14</v>
      </c>
      <c r="BZ66" s="13">
        <f>BY66*VLOOKUP('Données projet'!$B$12,Paramètres!$A$1:$I$89,3,0)*VLOOKUP('Données projet'!$B$12,Paramètres!$A$1:$I$89,5,0)</f>
        <v>2.6602720026858149E-14</v>
      </c>
      <c r="CA66" s="13">
        <f t="shared" si="39"/>
        <v>4.6624771586320878E-13</v>
      </c>
      <c r="CB66" s="20">
        <f t="shared" si="10"/>
        <v>8.583811758418665E-13</v>
      </c>
      <c r="CC66" s="59">
        <f t="shared" si="11"/>
        <v>293.33333333333417</v>
      </c>
      <c r="CD66" s="59">
        <f ca="1">AVERAGE(OFFSET($CC$3,0,0,'Données projet'!$E$12+1,1))-AVERAGE(OFFSET($H$3,0,0,'Données projet'!$E$12+1,1))</f>
        <v>111.69585394603672</v>
      </c>
      <c r="CE66" s="59">
        <f t="shared" si="40"/>
        <v>162.6701214629764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54.748485966865971</v>
      </c>
      <c r="CL66" s="21">
        <f>EXP(-LN(2)/25)*CL65+(1-EXP(-LN(2)/25))/(LN(2)/25)*Calculateur!CG66*Calculateur!CI66*VLOOKUP('Données projet'!$B$12,Paramètres!$A$1:$I$89,3,0)*0.475*44/12</f>
        <v>44.118188119286572</v>
      </c>
      <c r="CM66" s="21">
        <f>EXP(-LN(2)/2)*CM65+(1-EXP(-LN(2)/2))/(LN(2)/2)*CG66*CJ66*VLOOKUP('Données projet'!$B$12,Paramètres!$A$1:$I$89,3,0)*0.475*44/12</f>
        <v>11.36631471931916</v>
      </c>
      <c r="CN66" s="22">
        <f t="shared" si="12"/>
        <v>110.23298880547171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-5.1431925385259088E-14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320.93171542656671</v>
      </c>
      <c r="T67" s="59">
        <f t="shared" si="34"/>
        <v>452.7298965816143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29.260263486668052</v>
      </c>
      <c r="AA67" s="21">
        <f>EXP(-LN(2)/25)*AA66+(1-EXP(-LN(2)/25))/(LN(2)/25)*Calculateur!V67*Calculateur!X67*VLOOKUP('Données projet'!$B$9,Paramètres!$A$1:$I$89,3,0)*0.475*44/12</f>
        <v>12.68002919548646</v>
      </c>
      <c r="AB67" s="21">
        <f>EXP(-LN(2)/2)*AB66+(1-EXP(-LN(2)/2))/(LN(2)/2)*V67*Y67*VLOOKUP('Données projet'!$B$9,Paramètres!$A$1:$I$89,3,0)*0.475*44/12</f>
        <v>7.3947989190916746E-2</v>
      </c>
      <c r="AC67" s="22">
        <f t="shared" si="3"/>
        <v>42.014240671345433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2.8421709430404007E-14</v>
      </c>
      <c r="AJ67" s="13">
        <f>AI67*VLOOKUP('Données projet'!$B$10,Paramètres!$A$1:$I$89,3,0)*VLOOKUP('Données projet'!$B$10,Paramètres!$A$1:$I$89,5,0)</f>
        <v>2.4829205358400945E-14</v>
      </c>
      <c r="AK67" s="13">
        <f t="shared" si="35"/>
        <v>4.3867331143352915E-13</v>
      </c>
      <c r="AL67" s="20">
        <f t="shared" si="4"/>
        <v>8.0726688341261168E-13</v>
      </c>
      <c r="AM67" s="59">
        <f t="shared" si="5"/>
        <v>293.33333333333411</v>
      </c>
      <c r="AN67" s="59">
        <f ca="1">AVERAGE(OFFSET($AM$3,0,0,'Données projet'!$E$10+1,1))-AVERAGE(OFFSET($H$3,0,0,'Données projet'!$E$10+1,1))</f>
        <v>201.61452816909701</v>
      </c>
      <c r="AO67" s="59">
        <f t="shared" si="36"/>
        <v>287.77679930887746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49.143649697860582</v>
      </c>
      <c r="AV67" s="21">
        <f>EXP(-LN(2)/25)*AV66+(1-EXP(-LN(2)/25))/(LN(2)/25)*Calculateur!AQ67*Calculateur!AS67*VLOOKUP('Données projet'!$B$10,Paramètres!$A$1:$I$89,3,0)*0.475*44/12</f>
        <v>38.235425581146281</v>
      </c>
      <c r="AW67" s="21">
        <f>EXP(-LN(2)/2)*AW66+(1-EXP(-LN(2)/2))/(LN(2)/2)*AQ67*AT67*VLOOKUP('Données projet'!$B$10,Paramètres!$A$1:$I$89,3,0)*0.475*44/12</f>
        <v>9.3120086148513046</v>
      </c>
      <c r="AX67" s="21">
        <f t="shared" si="6"/>
        <v>96.691083893858163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16.625</v>
      </c>
      <c r="BD67" s="12">
        <f>IF('Données projet'!$A$88&gt;35,BD66+BC67-BL66,IF(A67&lt;'Données projet'!$A$88,$BA$205^A67,IF(A67='Données projet'!$A$88,'Données projet'!$B$88,BD66+BC67-BL66)))</f>
        <v>461.74999999999994</v>
      </c>
      <c r="BE67" s="13">
        <f>BD67*VLOOKUP('Données projet'!$B$11,Paramètres!$A$1:$I$89,3,0)*VLOOKUP('Données projet'!$B$11,Paramètres!$A$1:$I$89,5,0)</f>
        <v>276.12649999999996</v>
      </c>
      <c r="BF67" s="13">
        <f t="shared" si="37"/>
        <v>66.147764494536574</v>
      </c>
      <c r="BG67" s="20">
        <f t="shared" si="7"/>
        <v>596.12767732798443</v>
      </c>
      <c r="BH67" s="59">
        <f t="shared" si="8"/>
        <v>889.46101066131769</v>
      </c>
      <c r="BI67" s="59">
        <f ca="1">AVERAGE(OFFSET($BH$3,0,0,'Données projet'!$E$11+1,1))-AVERAGE(OFFSET($H$3,0,0,'Données projet'!$E$11+1,1))</f>
        <v>225.63994281336028</v>
      </c>
      <c r="BJ67" s="59">
        <f t="shared" si="38"/>
        <v>231.19476400361157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23.694270755109969</v>
      </c>
      <c r="BQ67" s="21">
        <f>EXP(-LN(2)/25)*BQ66+(1-EXP(-LN(2)/25))/(LN(2)/25)*Calculateur!BL67*Calculateur!BN67*VLOOKUP('Données projet'!$B$11,Paramètres!$A$1:$I$89,3,0)*0.475*44/12</f>
        <v>20.984651293623923</v>
      </c>
      <c r="BR67" s="21">
        <f>EXP(-LN(2)/2)*BR66+(1-EXP(-LN(2)/2))/(LN(2)/2)*BL67*BO67*VLOOKUP('Données projet'!$B$11,Paramètres!$A$1:$I$89,3,0)*0.475*44/12</f>
        <v>1.3880520576527828</v>
      </c>
      <c r="BS67" s="22">
        <f t="shared" si="9"/>
        <v>46.066974106386681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5.6843418860808015E-14</v>
      </c>
      <c r="BZ67" s="13">
        <f>BY67*VLOOKUP('Données projet'!$B$12,Paramètres!$A$1:$I$89,3,0)*VLOOKUP('Données projet'!$B$12,Paramètres!$A$1:$I$89,5,0)</f>
        <v>2.6602720026858149E-14</v>
      </c>
      <c r="CA67" s="13">
        <f t="shared" si="39"/>
        <v>4.6624771586320878E-13</v>
      </c>
      <c r="CB67" s="20">
        <f t="shared" si="10"/>
        <v>8.583811758418665E-13</v>
      </c>
      <c r="CC67" s="59">
        <f t="shared" si="11"/>
        <v>293.33333333333417</v>
      </c>
      <c r="CD67" s="59">
        <f ca="1">AVERAGE(OFFSET($CC$3,0,0,'Données projet'!$E$12+1,1))-AVERAGE(OFFSET($H$3,0,0,'Données projet'!$E$12+1,1))</f>
        <v>111.69585394603672</v>
      </c>
      <c r="CE67" s="59">
        <f t="shared" si="40"/>
        <v>162.6701214629764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53.674901550334859</v>
      </c>
      <c r="CL67" s="21">
        <f>EXP(-LN(2)/25)*CL66+(1-EXP(-LN(2)/25))/(LN(2)/25)*Calculateur!CG67*Calculateur!CI67*VLOOKUP('Données projet'!$B$12,Paramètres!$A$1:$I$89,3,0)*0.475*44/12</f>
        <v>42.911773945089998</v>
      </c>
      <c r="CM67" s="21">
        <f>EXP(-LN(2)/2)*CM66+(1-EXP(-LN(2)/2))/(LN(2)/2)*CG67*CJ67*VLOOKUP('Données projet'!$B$12,Paramètres!$A$1:$I$89,3,0)*0.475*44/12</f>
        <v>8.0371982151310473</v>
      </c>
      <c r="CN67" s="22">
        <f t="shared" si="12"/>
        <v>104.6238737105559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-5.1431925385259088E-14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320.93171542656671</v>
      </c>
      <c r="T68" s="59">
        <f t="shared" si="34"/>
        <v>452.7298965816143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28.686487566692975</v>
      </c>
      <c r="AA68" s="21">
        <f>EXP(-LN(2)/25)*AA67+(1-EXP(-LN(2)/25))/(LN(2)/25)*Calculateur!V68*Calculateur!X68*VLOOKUP('Données projet'!$B$9,Paramètres!$A$1:$I$89,3,0)*0.475*44/12</f>
        <v>12.333293130322128</v>
      </c>
      <c r="AB68" s="21">
        <f>EXP(-LN(2)/2)*AB67+(1-EXP(-LN(2)/2))/(LN(2)/2)*V68*Y68*VLOOKUP('Données projet'!$B$9,Paramètres!$A$1:$I$89,3,0)*0.475*44/12</f>
        <v>5.228912461200675E-2</v>
      </c>
      <c r="AC68" s="22">
        <f t="shared" ref="AC68:AC131" si="57">SUM(Z68:AB68)</f>
        <v>41.07206982162711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2.8421709430404007E-14</v>
      </c>
      <c r="AJ68" s="13">
        <f>AI68*VLOOKUP('Données projet'!$B$10,Paramètres!$A$1:$I$89,3,0)*VLOOKUP('Données projet'!$B$10,Paramètres!$A$1:$I$89,5,0)</f>
        <v>2.4829205358400945E-14</v>
      </c>
      <c r="AK68" s="13">
        <f t="shared" si="35"/>
        <v>4.3867331143352915E-13</v>
      </c>
      <c r="AL68" s="20">
        <f t="shared" ref="AL68:AL131" si="58">(AJ68+AK68)*0.475*44/12</f>
        <v>8.0726688341261168E-13</v>
      </c>
      <c r="AM68" s="59">
        <f t="shared" ref="AM68:AM131" si="59">AL68+(AD68+AE68)*44/12</f>
        <v>293.33333333333411</v>
      </c>
      <c r="AN68" s="59">
        <f ca="1">AVERAGE(OFFSET($AM$3,0,0,'Données projet'!$E$10+1,1))-AVERAGE(OFFSET($H$3,0,0,'Données projet'!$E$10+1,1))</f>
        <v>201.61452816909701</v>
      </c>
      <c r="AO68" s="59">
        <f t="shared" si="36"/>
        <v>287.77679930887746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48.179972701952096</v>
      </c>
      <c r="AV68" s="21">
        <f>EXP(-LN(2)/25)*AV67+(1-EXP(-LN(2)/25))/(LN(2)/25)*Calculateur!AQ68*Calculateur!AS68*VLOOKUP('Données projet'!$B$10,Paramètres!$A$1:$I$89,3,0)*0.475*44/12</f>
        <v>37.189875857916192</v>
      </c>
      <c r="AW68" s="21">
        <f>EXP(-LN(2)/2)*AW67+(1-EXP(-LN(2)/2))/(LN(2)/2)*AQ68*AT68*VLOOKUP('Données projet'!$B$10,Paramètres!$A$1:$I$89,3,0)*0.475*44/12</f>
        <v>6.5845844380289078</v>
      </c>
      <c r="AX68" s="21">
        <f t="shared" ref="AX68:AX131" si="60">SUM(AU68:AW68)</f>
        <v>91.9544329978972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16.625</v>
      </c>
      <c r="BD68" s="12">
        <f>IF('Données projet'!$A$88&gt;35,BD67+BC68-BL67,IF(A68&lt;'Données projet'!$A$88,$BA$205^A68,IF(A68='Données projet'!$A$88,'Données projet'!$B$88,BD67+BC68-BL67)))</f>
        <v>478.37499999999994</v>
      </c>
      <c r="BE68" s="13">
        <f>BD68*VLOOKUP('Données projet'!$B$11,Paramètres!$A$1:$I$89,3,0)*VLOOKUP('Données projet'!$B$11,Paramètres!$A$1:$I$89,5,0)</f>
        <v>286.06824999999998</v>
      </c>
      <c r="BF68" s="13">
        <f t="shared" si="37"/>
        <v>68.247799922382825</v>
      </c>
      <c r="BG68" s="20">
        <f t="shared" ref="BG68:BG131" si="61">(BE68+BF68)*0.475*44/12</f>
        <v>617.10045361481673</v>
      </c>
      <c r="BH68" s="59">
        <f t="shared" ref="BH68:BH131" si="62">BG68+(AY68+AZ68)*44/12</f>
        <v>910.4337869481501</v>
      </c>
      <c r="BI68" s="59">
        <f ca="1">AVERAGE(OFFSET($BH$3,0,0,'Données projet'!$E$11+1,1))-AVERAGE(OFFSET($H$3,0,0,'Données projet'!$E$11+1,1))</f>
        <v>225.63994281336028</v>
      </c>
      <c r="BJ68" s="59">
        <f t="shared" si="38"/>
        <v>231.19476400361157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23.229640557680398</v>
      </c>
      <c r="BQ68" s="21">
        <f>EXP(-LN(2)/25)*BQ67+(1-EXP(-LN(2)/25))/(LN(2)/25)*Calculateur!BL68*Calculateur!BN68*VLOOKUP('Données projet'!$B$11,Paramètres!$A$1:$I$89,3,0)*0.475*44/12</f>
        <v>20.410824900464927</v>
      </c>
      <c r="BR68" s="21">
        <f>EXP(-LN(2)/2)*BR67+(1-EXP(-LN(2)/2))/(LN(2)/2)*BL68*BO68*VLOOKUP('Données projet'!$B$11,Paramètres!$A$1:$I$89,3,0)*0.475*44/12</f>
        <v>0.98150102260622341</v>
      </c>
      <c r="BS68" s="22">
        <f t="shared" ref="BS68:BS131" si="63">SUM(BP68:BR68)</f>
        <v>44.621966480751553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5.6843418860808015E-14</v>
      </c>
      <c r="BZ68" s="13">
        <f>BY68*VLOOKUP('Données projet'!$B$12,Paramètres!$A$1:$I$89,3,0)*VLOOKUP('Données projet'!$B$12,Paramètres!$A$1:$I$89,5,0)</f>
        <v>2.6602720026858149E-14</v>
      </c>
      <c r="CA68" s="13">
        <f t="shared" si="39"/>
        <v>4.6624771586320878E-13</v>
      </c>
      <c r="CB68" s="20">
        <f t="shared" ref="CB68:CB131" si="64">(BZ68+CA68)*0.475*44/12</f>
        <v>8.583811758418665E-13</v>
      </c>
      <c r="CC68" s="59">
        <f t="shared" ref="CC68:CC131" si="65">CB68+(BT68+BU68)*44/12</f>
        <v>293.33333333333417</v>
      </c>
      <c r="CD68" s="59">
        <f ca="1">AVERAGE(OFFSET($CC$3,0,0,'Données projet'!$E$12+1,1))-AVERAGE(OFFSET($H$3,0,0,'Données projet'!$E$12+1,1))</f>
        <v>111.69585394603672</v>
      </c>
      <c r="CE68" s="59">
        <f t="shared" si="40"/>
        <v>162.6701214629764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52.622369469390087</v>
      </c>
      <c r="CL68" s="21">
        <f>EXP(-LN(2)/25)*CL67+(1-EXP(-LN(2)/25))/(LN(2)/25)*Calculateur!CG68*Calculateur!CI68*VLOOKUP('Données projet'!$B$12,Paramètres!$A$1:$I$89,3,0)*0.475*44/12</f>
        <v>41.738349229929398</v>
      </c>
      <c r="CM68" s="21">
        <f>EXP(-LN(2)/2)*CM67+(1-EXP(-LN(2)/2))/(LN(2)/2)*CG68*CJ68*VLOOKUP('Données projet'!$B$12,Paramètres!$A$1:$I$89,3,0)*0.475*44/12</f>
        <v>5.6831573596595799</v>
      </c>
      <c r="CN68" s="22">
        <f t="shared" ref="CN68:CN131" si="66">SUM(CK68:CM68)</f>
        <v>100.04387605897905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-5.1431925385259088E-14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320.93171542656671</v>
      </c>
      <c r="T69" s="59">
        <f t="shared" ref="T69:T132" si="88">$T$3</f>
        <v>452.7298965816143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28.123963042539852</v>
      </c>
      <c r="AA69" s="21">
        <f>EXP(-LN(2)/25)*AA68+(1-EXP(-LN(2)/25))/(LN(2)/25)*Calculateur!V69*Calculateur!X69*VLOOKUP('Données projet'!$B$9,Paramètres!$A$1:$I$89,3,0)*0.475*44/12</f>
        <v>11.996038581093771</v>
      </c>
      <c r="AB69" s="21">
        <f>EXP(-LN(2)/2)*AB68+(1-EXP(-LN(2)/2))/(LN(2)/2)*V69*Y69*VLOOKUP('Données projet'!$B$9,Paramètres!$A$1:$I$89,3,0)*0.475*44/12</f>
        <v>3.6973994595458373E-2</v>
      </c>
      <c r="AC69" s="22">
        <f t="shared" si="57"/>
        <v>40.156975618229083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2.8421709430404007E-14</v>
      </c>
      <c r="AJ69" s="13">
        <f>AI69*VLOOKUP('Données projet'!$B$10,Paramètres!$A$1:$I$89,3,0)*VLOOKUP('Données projet'!$B$10,Paramètres!$A$1:$I$89,5,0)</f>
        <v>2.4829205358400945E-14</v>
      </c>
      <c r="AK69" s="13">
        <f t="shared" ref="AK69:AK132" si="89">EXP(-1.0587+0.8836*LN(AJ69)+0.284)</f>
        <v>4.3867331143352915E-13</v>
      </c>
      <c r="AL69" s="20">
        <f t="shared" si="58"/>
        <v>8.0726688341261168E-13</v>
      </c>
      <c r="AM69" s="59">
        <f t="shared" si="59"/>
        <v>293.33333333333411</v>
      </c>
      <c r="AN69" s="59">
        <f ca="1">AVERAGE(OFFSET($AM$3,0,0,'Données projet'!$E$10+1,1))-AVERAGE(OFFSET($H$3,0,0,'Données projet'!$E$10+1,1))</f>
        <v>201.61452816909701</v>
      </c>
      <c r="AO69" s="59">
        <f t="shared" ref="AO69:AO132" si="90">$AO$3</f>
        <v>287.77679930887746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47.235192824148449</v>
      </c>
      <c r="AV69" s="21">
        <f>EXP(-LN(2)/25)*AV68+(1-EXP(-LN(2)/25))/(LN(2)/25)*Calculateur!AQ69*Calculateur!AS69*VLOOKUP('Données projet'!$B$10,Paramètres!$A$1:$I$89,3,0)*0.475*44/12</f>
        <v>36.172916746850902</v>
      </c>
      <c r="AW69" s="21">
        <f>EXP(-LN(2)/2)*AW68+(1-EXP(-LN(2)/2))/(LN(2)/2)*AQ69*AT69*VLOOKUP('Données projet'!$B$10,Paramètres!$A$1:$I$89,3,0)*0.475*44/12</f>
        <v>4.6560043074256532</v>
      </c>
      <c r="AX69" s="21">
        <f t="shared" si="60"/>
        <v>88.064113878425005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495</v>
      </c>
      <c r="BB69" s="12">
        <f>VLOOKUP(A69,'Données projet'!$A$87:$I$107,9,0)</f>
        <v>16.625</v>
      </c>
      <c r="BC69" s="12">
        <f t="array" ref="BC69">INDEX(BB:BB,MIN(IF(ISNUMBER(BB69:BB265),ROW(BB69:BB265),"")))</f>
        <v>16.625</v>
      </c>
      <c r="BD69" s="12">
        <f>IF('Données projet'!$A$88&gt;35,BD68+BC69-BL68,IF(A69&lt;'Données projet'!$A$88,$BA$205^A69,IF(A69='Données projet'!$A$88,'Données projet'!$B$88,BD68+BC69-BL68)))</f>
        <v>494.99999999999994</v>
      </c>
      <c r="BE69" s="13">
        <f>BD69*VLOOKUP('Données projet'!$B$11,Paramètres!$A$1:$I$89,3,0)*VLOOKUP('Données projet'!$B$11,Paramètres!$A$1:$I$89,5,0)</f>
        <v>296.01</v>
      </c>
      <c r="BF69" s="13">
        <f t="shared" ref="BF69:BF132" si="91">EXP(-1.0587+0.8836*LN(BE69)+0.284)</f>
        <v>70.339355522692159</v>
      </c>
      <c r="BG69" s="20">
        <f t="shared" si="61"/>
        <v>638.05846086868871</v>
      </c>
      <c r="BH69" s="59">
        <f t="shared" si="62"/>
        <v>931.39179420202208</v>
      </c>
      <c r="BI69" s="59">
        <f ca="1">AVERAGE(OFFSET($BH$3,0,0,'Données projet'!$E$11+1,1))-AVERAGE(OFFSET($H$3,0,0,'Données projet'!$E$11+1,1))</f>
        <v>225.63994281336028</v>
      </c>
      <c r="BJ69" s="59">
        <f t="shared" ref="BJ69:BJ132" si="92">$BJ$3</f>
        <v>231.19476400361157</v>
      </c>
      <c r="BK69" s="15">
        <f>IF(ISNA(VLOOKUP(A69,'Données projet'!$A$87:$I$107,3,0)),0,VLOOKUP(A69,'Données projet'!$A$87:$I$107,3,0))</f>
        <v>9</v>
      </c>
      <c r="BL69" s="15">
        <f>IF(ISNA(VLOOKUP(A69,'Données projet'!$A$87:$I$107,4,0)),0,VLOOKUP(A69,'Données projet'!$A$87:$I$107,4,0))</f>
        <v>495</v>
      </c>
      <c r="BM69" s="16">
        <f>IF(ISNA(VLOOKUP(A69,'Données projet'!$A$87:$I$107,5,0)),0%,VLOOKUP(A69,'Données projet'!$A$87:$I$107,5,0)*VLOOKUP('Données projet'!$B$11,Paramètres!$A$1:$I$89,7,0))</f>
        <v>0.18000000000000002</v>
      </c>
      <c r="BN69" s="16">
        <f>IF(ISNA(VLOOKUP(A69,'Données projet'!$A$87:$I$107,6,0)),0%,VLOOKUP(A69,'Données projet'!$A$87:$I$107,6,0)*VLOOKUP('Données projet'!$B$11,Paramètres!$A$1:$I$89,7,0))</f>
        <v>0.13500000000000001</v>
      </c>
      <c r="BO69" s="16">
        <f>IF(ISNA(VLOOKUP(A69,'Données projet'!$A$87:$I$107,7,0)),0%,VLOOKUP(A69,'Données projet'!$A$87:$I$107,7,0))</f>
        <v>0.2</v>
      </c>
      <c r="BP69" s="21">
        <f>EXP(-LN(2)/35)*BP68+(1-EXP(-LN(2)/35))/(LN(2)/35)*BL69*BM69*VLOOKUP('Données projet'!$B$11,Paramètres!$A$1:$I$89,3,0)*0.475*44/12</f>
        <v>93.455863476864494</v>
      </c>
      <c r="BQ69" s="21">
        <f>EXP(-LN(2)/25)*BQ68+(1-EXP(-LN(2)/25))/(LN(2)/25)*Calculateur!BL69*Calculateur!BN69*VLOOKUP('Données projet'!$B$11,Paramètres!$A$1:$I$89,3,0)*0.475*44/12</f>
        <v>72.655270608994684</v>
      </c>
      <c r="BR69" s="21">
        <f>EXP(-LN(2)/2)*BR68+(1-EXP(-LN(2)/2))/(LN(2)/2)*BL69*BO69*VLOOKUP('Données projet'!$B$11,Paramètres!$A$1:$I$89,3,0)*0.475*44/12</f>
        <v>67.724442506988225</v>
      </c>
      <c r="BS69" s="22">
        <f t="shared" si="63"/>
        <v>233.83557659284742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5.6843418860808015E-14</v>
      </c>
      <c r="BZ69" s="13">
        <f>BY69*VLOOKUP('Données projet'!$B$12,Paramètres!$A$1:$I$89,3,0)*VLOOKUP('Données projet'!$B$12,Paramètres!$A$1:$I$89,5,0)</f>
        <v>2.6602720026858149E-14</v>
      </c>
      <c r="CA69" s="13">
        <f t="shared" ref="CA69:CA132" si="93">EXP(-1.0587+0.8836*LN(BZ69)+0.284)</f>
        <v>4.6624771586320878E-13</v>
      </c>
      <c r="CB69" s="20">
        <f t="shared" si="64"/>
        <v>8.583811758418665E-13</v>
      </c>
      <c r="CC69" s="59">
        <f t="shared" si="65"/>
        <v>293.33333333333417</v>
      </c>
      <c r="CD69" s="59">
        <f ca="1">AVERAGE(OFFSET($CC$3,0,0,'Données projet'!$E$12+1,1))-AVERAGE(OFFSET($H$3,0,0,'Données projet'!$E$12+1,1))</f>
        <v>111.69585394603672</v>
      </c>
      <c r="CE69" s="59">
        <f t="shared" ref="CE69:CE132" si="94">$CE$3</f>
        <v>162.6701214629764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51.59047690057146</v>
      </c>
      <c r="CL69" s="21">
        <f>EXP(-LN(2)/25)*CL68+(1-EXP(-LN(2)/25))/(LN(2)/25)*Calculateur!CG69*Calculateur!CI69*VLOOKUP('Données projet'!$B$12,Paramètres!$A$1:$I$89,3,0)*0.475*44/12</f>
        <v>40.597011875312589</v>
      </c>
      <c r="CM69" s="21">
        <f>EXP(-LN(2)/2)*CM68+(1-EXP(-LN(2)/2))/(LN(2)/2)*CG69*CJ69*VLOOKUP('Données projet'!$B$12,Paramètres!$A$1:$I$89,3,0)*0.475*44/12</f>
        <v>4.0185991075655236</v>
      </c>
      <c r="CN69" s="22">
        <f t="shared" si="66"/>
        <v>96.20608788344957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-5.1431925385259088E-14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320.93171542656671</v>
      </c>
      <c r="T70" s="59">
        <f t="shared" si="88"/>
        <v>452.7298965816143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27.572469281199293</v>
      </c>
      <c r="AA70" s="21">
        <f>EXP(-LN(2)/25)*AA69+(1-EXP(-LN(2)/25))/(LN(2)/25)*Calculateur!V70*Calculateur!X70*VLOOKUP('Données projet'!$B$9,Paramètres!$A$1:$I$89,3,0)*0.475*44/12</f>
        <v>11.66800627524951</v>
      </c>
      <c r="AB70" s="21">
        <f>EXP(-LN(2)/2)*AB69+(1-EXP(-LN(2)/2))/(LN(2)/2)*V70*Y70*VLOOKUP('Données projet'!$B$9,Paramètres!$A$1:$I$89,3,0)*0.475*44/12</f>
        <v>2.6144562306003375E-2</v>
      </c>
      <c r="AC70" s="22">
        <f t="shared" si="57"/>
        <v>39.266620118754801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2.8421709430404007E-14</v>
      </c>
      <c r="AJ70" s="13">
        <f>AI70*VLOOKUP('Données projet'!$B$10,Paramètres!$A$1:$I$89,3,0)*VLOOKUP('Données projet'!$B$10,Paramètres!$A$1:$I$89,5,0)</f>
        <v>2.4829205358400945E-14</v>
      </c>
      <c r="AK70" s="13">
        <f t="shared" si="89"/>
        <v>4.3867331143352915E-13</v>
      </c>
      <c r="AL70" s="20">
        <f t="shared" si="58"/>
        <v>8.0726688341261168E-13</v>
      </c>
      <c r="AM70" s="59">
        <f t="shared" si="59"/>
        <v>293.33333333333411</v>
      </c>
      <c r="AN70" s="59">
        <f ca="1">AVERAGE(OFFSET($AM$3,0,0,'Données projet'!$E$10+1,1))-AVERAGE(OFFSET($H$3,0,0,'Données projet'!$E$10+1,1))</f>
        <v>201.61452816909701</v>
      </c>
      <c r="AO70" s="59">
        <f t="shared" si="90"/>
        <v>287.77679930887746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46.308939503489711</v>
      </c>
      <c r="AV70" s="21">
        <f>EXP(-LN(2)/25)*AV69+(1-EXP(-LN(2)/25))/(LN(2)/25)*Calculateur!AQ70*Calculateur!AS70*VLOOKUP('Données projet'!$B$10,Paramètres!$A$1:$I$89,3,0)*0.475*44/12</f>
        <v>35.183766436157249</v>
      </c>
      <c r="AW70" s="21">
        <f>EXP(-LN(2)/2)*AW69+(1-EXP(-LN(2)/2))/(LN(2)/2)*AQ70*AT70*VLOOKUP('Données projet'!$B$10,Paramètres!$A$1:$I$89,3,0)*0.475*44/12</f>
        <v>3.2922922190144543</v>
      </c>
      <c r="AX70" s="21">
        <f t="shared" si="60"/>
        <v>84.784998158661409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-3.3992364478763198E-14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225.63994281336028</v>
      </c>
      <c r="BJ70" s="59">
        <f t="shared" si="92"/>
        <v>231.19476400361157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91.623250996531382</v>
      </c>
      <c r="BQ70" s="21">
        <f>EXP(-LN(2)/25)*BQ69+(1-EXP(-LN(2)/25))/(LN(2)/25)*Calculateur!BL70*Calculateur!BN70*VLOOKUP('Données projet'!$B$11,Paramètres!$A$1:$I$89,3,0)*0.475*44/12</f>
        <v>70.668508413417101</v>
      </c>
      <c r="BR70" s="21">
        <f>EXP(-LN(2)/2)*BR69+(1-EXP(-LN(2)/2))/(LN(2)/2)*BL70*BO70*VLOOKUP('Données projet'!$B$11,Paramètres!$A$1:$I$89,3,0)*0.475*44/12</f>
        <v>47.888412548769843</v>
      </c>
      <c r="BS70" s="22">
        <f t="shared" si="63"/>
        <v>210.18017195871835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5.6843418860808015E-14</v>
      </c>
      <c r="BZ70" s="13">
        <f>BY70*VLOOKUP('Données projet'!$B$12,Paramètres!$A$1:$I$89,3,0)*VLOOKUP('Données projet'!$B$12,Paramètres!$A$1:$I$89,5,0)</f>
        <v>2.6602720026858149E-14</v>
      </c>
      <c r="CA70" s="13">
        <f t="shared" si="93"/>
        <v>4.6624771586320878E-13</v>
      </c>
      <c r="CB70" s="20">
        <f t="shared" si="64"/>
        <v>8.583811758418665E-13</v>
      </c>
      <c r="CC70" s="59">
        <f t="shared" si="65"/>
        <v>293.33333333333417</v>
      </c>
      <c r="CD70" s="59">
        <f ca="1">AVERAGE(OFFSET($CC$3,0,0,'Données projet'!$E$12+1,1))-AVERAGE(OFFSET($H$3,0,0,'Données projet'!$E$12+1,1))</f>
        <v>111.69585394603672</v>
      </c>
      <c r="CE70" s="59">
        <f t="shared" si="94"/>
        <v>162.6701214629764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50.578819115635049</v>
      </c>
      <c r="CL70" s="21">
        <f>EXP(-LN(2)/25)*CL69+(1-EXP(-LN(2)/25))/(LN(2)/25)*Calculateur!CG70*Calculateur!CI70*VLOOKUP('Données projet'!$B$12,Paramètres!$A$1:$I$89,3,0)*0.475*44/12</f>
        <v>39.486884450678097</v>
      </c>
      <c r="CM70" s="21">
        <f>EXP(-LN(2)/2)*CM69+(1-EXP(-LN(2)/2))/(LN(2)/2)*CG70*CJ70*VLOOKUP('Données projet'!$B$12,Paramètres!$A$1:$I$89,3,0)*0.475*44/12</f>
        <v>2.84157867982979</v>
      </c>
      <c r="CN70" s="22">
        <f t="shared" si="66"/>
        <v>92.907282246142941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-5.1431925385259088E-14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320.93171542656671</v>
      </c>
      <c r="T71" s="59">
        <f t="shared" si="88"/>
        <v>452.7298965816143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27.03178997614064</v>
      </c>
      <c r="AA71" s="21">
        <f>EXP(-LN(2)/25)*AA70+(1-EXP(-LN(2)/25))/(LN(2)/25)*Calculateur!V71*Calculateur!X71*VLOOKUP('Données projet'!$B$9,Paramètres!$A$1:$I$89,3,0)*0.475*44/12</f>
        <v>11.34894403005903</v>
      </c>
      <c r="AB71" s="21">
        <f>EXP(-LN(2)/2)*AB70+(1-EXP(-LN(2)/2))/(LN(2)/2)*V71*Y71*VLOOKUP('Données projet'!$B$9,Paramètres!$A$1:$I$89,3,0)*0.475*44/12</f>
        <v>1.8486997297729187E-2</v>
      </c>
      <c r="AC71" s="22">
        <f t="shared" si="57"/>
        <v>38.399221003497402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2.8421709430404007E-14</v>
      </c>
      <c r="AJ71" s="13">
        <f>AI71*VLOOKUP('Données projet'!$B$10,Paramètres!$A$1:$I$89,3,0)*VLOOKUP('Données projet'!$B$10,Paramètres!$A$1:$I$89,5,0)</f>
        <v>2.4829205358400945E-14</v>
      </c>
      <c r="AK71" s="13">
        <f t="shared" si="89"/>
        <v>4.3867331143352915E-13</v>
      </c>
      <c r="AL71" s="20">
        <f t="shared" si="58"/>
        <v>8.0726688341261168E-13</v>
      </c>
      <c r="AM71" s="59">
        <f t="shared" si="59"/>
        <v>293.33333333333411</v>
      </c>
      <c r="AN71" s="59">
        <f ca="1">AVERAGE(OFFSET($AM$3,0,0,'Données projet'!$E$10+1,1))-AVERAGE(OFFSET($H$3,0,0,'Données projet'!$E$10+1,1))</f>
        <v>201.61452816909701</v>
      </c>
      <c r="AO71" s="59">
        <f t="shared" si="90"/>
        <v>287.77679930887746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45.400849445490344</v>
      </c>
      <c r="AV71" s="21">
        <f>EXP(-LN(2)/25)*AV70+(1-EXP(-LN(2)/25))/(LN(2)/25)*Calculateur!AQ71*Calculateur!AS71*VLOOKUP('Données projet'!$B$10,Paramètres!$A$1:$I$89,3,0)*0.475*44/12</f>
        <v>34.221664492726667</v>
      </c>
      <c r="AW71" s="21">
        <f>EXP(-LN(2)/2)*AW70+(1-EXP(-LN(2)/2))/(LN(2)/2)*AQ71*AT71*VLOOKUP('Données projet'!$B$10,Paramètres!$A$1:$I$89,3,0)*0.475*44/12</f>
        <v>2.328002153712827</v>
      </c>
      <c r="AX71" s="21">
        <f t="shared" si="60"/>
        <v>81.950516091929842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-3.3992364478763198E-14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225.63994281336028</v>
      </c>
      <c r="BJ71" s="59">
        <f t="shared" si="92"/>
        <v>231.19476400361157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89.826574929154361</v>
      </c>
      <c r="BQ71" s="21">
        <f>EXP(-LN(2)/25)*BQ70+(1-EXP(-LN(2)/25))/(LN(2)/25)*Calculateur!BL71*Calculateur!BN71*VLOOKUP('Données projet'!$B$11,Paramètres!$A$1:$I$89,3,0)*0.475*44/12</f>
        <v>68.736074334556861</v>
      </c>
      <c r="BR71" s="21">
        <f>EXP(-LN(2)/2)*BR70+(1-EXP(-LN(2)/2))/(LN(2)/2)*BL71*BO71*VLOOKUP('Données projet'!$B$11,Paramètres!$A$1:$I$89,3,0)*0.475*44/12</f>
        <v>33.862221253494113</v>
      </c>
      <c r="BS71" s="22">
        <f t="shared" si="63"/>
        <v>192.42487051720533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5.6843418860808015E-14</v>
      </c>
      <c r="BZ71" s="13">
        <f>BY71*VLOOKUP('Données projet'!$B$12,Paramètres!$A$1:$I$89,3,0)*VLOOKUP('Données projet'!$B$12,Paramètres!$A$1:$I$89,5,0)</f>
        <v>2.6602720026858149E-14</v>
      </c>
      <c r="CA71" s="13">
        <f t="shared" si="93"/>
        <v>4.6624771586320878E-13</v>
      </c>
      <c r="CB71" s="20">
        <f t="shared" si="64"/>
        <v>8.583811758418665E-13</v>
      </c>
      <c r="CC71" s="59">
        <f t="shared" si="65"/>
        <v>293.33333333333417</v>
      </c>
      <c r="CD71" s="59">
        <f ca="1">AVERAGE(OFFSET($CC$3,0,0,'Données projet'!$E$12+1,1))-AVERAGE(OFFSET($H$3,0,0,'Données projet'!$E$12+1,1))</f>
        <v>111.69585394603672</v>
      </c>
      <c r="CE71" s="59">
        <f t="shared" si="94"/>
        <v>162.6701214629764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49.586999322810918</v>
      </c>
      <c r="CL71" s="21">
        <f>EXP(-LN(2)/25)*CL70+(1-EXP(-LN(2)/25))/(LN(2)/25)*Calculateur!CG71*Calculateur!CI71*VLOOKUP('Données projet'!$B$12,Paramètres!$A$1:$I$89,3,0)*0.475*44/12</f>
        <v>38.4071135188493</v>
      </c>
      <c r="CM71" s="21">
        <f>EXP(-LN(2)/2)*CM70+(1-EXP(-LN(2)/2))/(LN(2)/2)*CG71*CJ71*VLOOKUP('Données projet'!$B$12,Paramètres!$A$1:$I$89,3,0)*0.475*44/12</f>
        <v>2.0092995537827618</v>
      </c>
      <c r="CN71" s="22">
        <f t="shared" si="66"/>
        <v>90.003412395442979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-5.1431925385259088E-14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320.93171542656671</v>
      </c>
      <c r="T72" s="59">
        <f t="shared" si="88"/>
        <v>452.7298965816143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26.501713062472376</v>
      </c>
      <c r="AA72" s="21">
        <f>EXP(-LN(2)/25)*AA71+(1-EXP(-LN(2)/25))/(LN(2)/25)*Calculateur!V72*Calculateur!X72*VLOOKUP('Données projet'!$B$9,Paramètres!$A$1:$I$89,3,0)*0.475*44/12</f>
        <v>11.038606558742037</v>
      </c>
      <c r="AB72" s="21">
        <f>EXP(-LN(2)/2)*AB71+(1-EXP(-LN(2)/2))/(LN(2)/2)*V72*Y72*VLOOKUP('Données projet'!$B$9,Paramètres!$A$1:$I$89,3,0)*0.475*44/12</f>
        <v>1.3072281153001688E-2</v>
      </c>
      <c r="AC72" s="22">
        <f t="shared" si="57"/>
        <v>37.553391902367416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2.8421709430404007E-14</v>
      </c>
      <c r="AJ72" s="13">
        <f>AI72*VLOOKUP('Données projet'!$B$10,Paramètres!$A$1:$I$89,3,0)*VLOOKUP('Données projet'!$B$10,Paramètres!$A$1:$I$89,5,0)</f>
        <v>2.4829205358400945E-14</v>
      </c>
      <c r="AK72" s="13">
        <f t="shared" si="89"/>
        <v>4.3867331143352915E-13</v>
      </c>
      <c r="AL72" s="20">
        <f t="shared" si="58"/>
        <v>8.0726688341261168E-13</v>
      </c>
      <c r="AM72" s="59">
        <f t="shared" si="59"/>
        <v>293.33333333333411</v>
      </c>
      <c r="AN72" s="59">
        <f ca="1">AVERAGE(OFFSET($AM$3,0,0,'Données projet'!$E$10+1,1))-AVERAGE(OFFSET($H$3,0,0,'Données projet'!$E$10+1,1))</f>
        <v>201.61452816909701</v>
      </c>
      <c r="AO72" s="59">
        <f t="shared" si="90"/>
        <v>287.77679930887746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44.510566479648105</v>
      </c>
      <c r="AV72" s="21">
        <f>EXP(-LN(2)/25)*AV71+(1-EXP(-LN(2)/25))/(LN(2)/25)*Calculateur!AQ72*Calculateur!AS72*VLOOKUP('Données projet'!$B$10,Paramètres!$A$1:$I$89,3,0)*0.475*44/12</f>
        <v>33.285871277533936</v>
      </c>
      <c r="AW72" s="21">
        <f>EXP(-LN(2)/2)*AW71+(1-EXP(-LN(2)/2))/(LN(2)/2)*AQ72*AT72*VLOOKUP('Données projet'!$B$10,Paramètres!$A$1:$I$89,3,0)*0.475*44/12</f>
        <v>1.6461461095072274</v>
      </c>
      <c r="AX72" s="21">
        <f t="shared" si="60"/>
        <v>79.442583866689276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-3.3992364478763198E-14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225.63994281336028</v>
      </c>
      <c r="BJ72" s="59">
        <f t="shared" si="92"/>
        <v>231.19476400361157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88.06513058359441</v>
      </c>
      <c r="BQ72" s="21">
        <f>EXP(-LN(2)/25)*BQ71+(1-EXP(-LN(2)/25))/(LN(2)/25)*Calculateur!BL72*Calculateur!BN72*VLOOKUP('Données projet'!$B$11,Paramètres!$A$1:$I$89,3,0)*0.475*44/12</f>
        <v>66.85648276720535</v>
      </c>
      <c r="BR72" s="21">
        <f>EXP(-LN(2)/2)*BR71+(1-EXP(-LN(2)/2))/(LN(2)/2)*BL72*BO72*VLOOKUP('Données projet'!$B$11,Paramètres!$A$1:$I$89,3,0)*0.475*44/12</f>
        <v>23.944206274384921</v>
      </c>
      <c r="BS72" s="22">
        <f t="shared" si="63"/>
        <v>178.86581962518468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5.6843418860808015E-14</v>
      </c>
      <c r="BZ72" s="13">
        <f>BY72*VLOOKUP('Données projet'!$B$12,Paramètres!$A$1:$I$89,3,0)*VLOOKUP('Données projet'!$B$12,Paramètres!$A$1:$I$89,5,0)</f>
        <v>2.6602720026858149E-14</v>
      </c>
      <c r="CA72" s="13">
        <f t="shared" si="93"/>
        <v>4.6624771586320878E-13</v>
      </c>
      <c r="CB72" s="20">
        <f t="shared" si="64"/>
        <v>8.583811758418665E-13</v>
      </c>
      <c r="CC72" s="59">
        <f t="shared" si="65"/>
        <v>293.33333333333417</v>
      </c>
      <c r="CD72" s="59">
        <f ca="1">AVERAGE(OFFSET($CC$3,0,0,'Données projet'!$E$12+1,1))-AVERAGE(OFFSET($H$3,0,0,'Données projet'!$E$12+1,1))</f>
        <v>111.69585394603672</v>
      </c>
      <c r="CE72" s="59">
        <f t="shared" si="94"/>
        <v>162.6701214629764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48.614628511173727</v>
      </c>
      <c r="CL72" s="21">
        <f>EXP(-LN(2)/25)*CL71+(1-EXP(-LN(2)/25))/(LN(2)/25)*Calculateur!CG72*Calculateur!CI72*VLOOKUP('Données projet'!$B$12,Paramètres!$A$1:$I$89,3,0)*0.475*44/12</f>
        <v>37.356868979934049</v>
      </c>
      <c r="CM72" s="21">
        <f>EXP(-LN(2)/2)*CM71+(1-EXP(-LN(2)/2))/(LN(2)/2)*CG72*CJ72*VLOOKUP('Données projet'!$B$12,Paramètres!$A$1:$I$89,3,0)*0.475*44/12</f>
        <v>1.420789339914895</v>
      </c>
      <c r="CN72" s="22">
        <f t="shared" si="66"/>
        <v>87.392286831022673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-5.1431925385259088E-14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320.93171542656671</v>
      </c>
      <c r="T73" s="59">
        <f t="shared" si="88"/>
        <v>452.7298965816143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25.982030633766154</v>
      </c>
      <c r="AA73" s="21">
        <f>EXP(-LN(2)/25)*AA72+(1-EXP(-LN(2)/25))/(LN(2)/25)*Calculateur!V73*Calculateur!X73*VLOOKUP('Données projet'!$B$9,Paramètres!$A$1:$I$89,3,0)*0.475*44/12</f>
        <v>10.736755281898146</v>
      </c>
      <c r="AB73" s="21">
        <f>EXP(-LN(2)/2)*AB72+(1-EXP(-LN(2)/2))/(LN(2)/2)*V73*Y73*VLOOKUP('Données projet'!$B$9,Paramètres!$A$1:$I$89,3,0)*0.475*44/12</f>
        <v>9.2434986488645933E-3</v>
      </c>
      <c r="AC73" s="22">
        <f t="shared" si="57"/>
        <v>36.728029414313163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2.8421709430404007E-14</v>
      </c>
      <c r="AJ73" s="13">
        <f>AI73*VLOOKUP('Données projet'!$B$10,Paramètres!$A$1:$I$89,3,0)*VLOOKUP('Données projet'!$B$10,Paramètres!$A$1:$I$89,5,0)</f>
        <v>2.4829205358400945E-14</v>
      </c>
      <c r="AK73" s="13">
        <f t="shared" si="89"/>
        <v>4.3867331143352915E-13</v>
      </c>
      <c r="AL73" s="20">
        <f t="shared" si="58"/>
        <v>8.0726688341261168E-13</v>
      </c>
      <c r="AM73" s="59">
        <f t="shared" si="59"/>
        <v>293.33333333333411</v>
      </c>
      <c r="AN73" s="59">
        <f ca="1">AVERAGE(OFFSET($AM$3,0,0,'Données projet'!$E$10+1,1))-AVERAGE(OFFSET($H$3,0,0,'Données projet'!$E$10+1,1))</f>
        <v>201.61452816909701</v>
      </c>
      <c r="AO73" s="59">
        <f t="shared" si="90"/>
        <v>287.77679930887746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43.637741419747037</v>
      </c>
      <c r="AV73" s="21">
        <f>EXP(-LN(2)/25)*AV72+(1-EXP(-LN(2)/25))/(LN(2)/25)*Calculateur!AQ73*Calculateur!AS73*VLOOKUP('Données projet'!$B$10,Paramètres!$A$1:$I$89,3,0)*0.475*44/12</f>
        <v>32.375667377021877</v>
      </c>
      <c r="AW73" s="21">
        <f>EXP(-LN(2)/2)*AW72+(1-EXP(-LN(2)/2))/(LN(2)/2)*AQ73*AT73*VLOOKUP('Données projet'!$B$10,Paramètres!$A$1:$I$89,3,0)*0.475*44/12</f>
        <v>1.1640010768564135</v>
      </c>
      <c r="AX73" s="21">
        <f t="shared" si="60"/>
        <v>77.177409873625322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-3.3992364478763198E-14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225.63994281336028</v>
      </c>
      <c r="BJ73" s="59">
        <f t="shared" si="92"/>
        <v>231.19476400361157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86.338227087275925</v>
      </c>
      <c r="BQ73" s="21">
        <f>EXP(-LN(2)/25)*BQ72+(1-EXP(-LN(2)/25))/(LN(2)/25)*Calculateur!BL73*Calculateur!BN73*VLOOKUP('Données projet'!$B$11,Paramètres!$A$1:$I$89,3,0)*0.475*44/12</f>
        <v>65.028288730106496</v>
      </c>
      <c r="BR73" s="21">
        <f>EXP(-LN(2)/2)*BR72+(1-EXP(-LN(2)/2))/(LN(2)/2)*BL73*BO73*VLOOKUP('Données projet'!$B$11,Paramètres!$A$1:$I$89,3,0)*0.475*44/12</f>
        <v>16.931110626747056</v>
      </c>
      <c r="BS73" s="22">
        <f t="shared" si="63"/>
        <v>168.29762644412949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5.6843418860808015E-14</v>
      </c>
      <c r="BZ73" s="13">
        <f>BY73*VLOOKUP('Données projet'!$B$12,Paramètres!$A$1:$I$89,3,0)*VLOOKUP('Données projet'!$B$12,Paramètres!$A$1:$I$89,5,0)</f>
        <v>2.6602720026858149E-14</v>
      </c>
      <c r="CA73" s="13">
        <f t="shared" si="93"/>
        <v>4.6624771586320878E-13</v>
      </c>
      <c r="CB73" s="20">
        <f t="shared" si="64"/>
        <v>8.583811758418665E-13</v>
      </c>
      <c r="CC73" s="59">
        <f t="shared" si="65"/>
        <v>293.33333333333417</v>
      </c>
      <c r="CD73" s="59">
        <f ca="1">AVERAGE(OFFSET($CC$3,0,0,'Données projet'!$E$12+1,1))-AVERAGE(OFFSET($H$3,0,0,'Données projet'!$E$12+1,1))</f>
        <v>111.69585394603672</v>
      </c>
      <c r="CE73" s="59">
        <f t="shared" si="94"/>
        <v>162.6701214629764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47.661325298065108</v>
      </c>
      <c r="CL73" s="21">
        <f>EXP(-LN(2)/25)*CL72+(1-EXP(-LN(2)/25))/(LN(2)/25)*Calculateur!CG73*Calculateur!CI73*VLOOKUP('Données projet'!$B$12,Paramètres!$A$1:$I$89,3,0)*0.475*44/12</f>
        <v>36.335343433165392</v>
      </c>
      <c r="CM73" s="21">
        <f>EXP(-LN(2)/2)*CM72+(1-EXP(-LN(2)/2))/(LN(2)/2)*CG73*CJ73*VLOOKUP('Données projet'!$B$12,Paramètres!$A$1:$I$89,3,0)*0.475*44/12</f>
        <v>1.0046497768913809</v>
      </c>
      <c r="CN73" s="22">
        <f t="shared" si="66"/>
        <v>85.001318508121884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-5.1431925385259088E-14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320.93171542656671</v>
      </c>
      <c r="T74" s="59">
        <f t="shared" si="88"/>
        <v>452.7298965816143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25.472538860511879</v>
      </c>
      <c r="AA74" s="21">
        <f>EXP(-LN(2)/25)*AA73+(1-EXP(-LN(2)/25))/(LN(2)/25)*Calculateur!V74*Calculateur!X74*VLOOKUP('Données projet'!$B$9,Paramètres!$A$1:$I$89,3,0)*0.475*44/12</f>
        <v>10.44315814409322</v>
      </c>
      <c r="AB74" s="21">
        <f>EXP(-LN(2)/2)*AB73+(1-EXP(-LN(2)/2))/(LN(2)/2)*V74*Y74*VLOOKUP('Données projet'!$B$9,Paramètres!$A$1:$I$89,3,0)*0.475*44/12</f>
        <v>6.5361405765008438E-3</v>
      </c>
      <c r="AC74" s="22">
        <f t="shared" si="57"/>
        <v>35.9222331451816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2.8421709430404007E-14</v>
      </c>
      <c r="AJ74" s="13">
        <f>AI74*VLOOKUP('Données projet'!$B$10,Paramètres!$A$1:$I$89,3,0)*VLOOKUP('Données projet'!$B$10,Paramètres!$A$1:$I$89,5,0)</f>
        <v>2.4829205358400945E-14</v>
      </c>
      <c r="AK74" s="13">
        <f t="shared" si="89"/>
        <v>4.3867331143352915E-13</v>
      </c>
      <c r="AL74" s="20">
        <f t="shared" si="58"/>
        <v>8.0726688341261168E-13</v>
      </c>
      <c r="AM74" s="59">
        <f t="shared" si="59"/>
        <v>293.33333333333411</v>
      </c>
      <c r="AN74" s="59">
        <f ca="1">AVERAGE(OFFSET($AM$3,0,0,'Données projet'!$E$10+1,1))-AVERAGE(OFFSET($H$3,0,0,'Données projet'!$E$10+1,1))</f>
        <v>201.61452816909701</v>
      </c>
      <c r="AO74" s="59">
        <f t="shared" si="90"/>
        <v>287.77679930887746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42.782031926899911</v>
      </c>
      <c r="AV74" s="21">
        <f>EXP(-LN(2)/25)*AV73+(1-EXP(-LN(2)/25))/(LN(2)/25)*Calculateur!AQ74*Calculateur!AS74*VLOOKUP('Données projet'!$B$10,Paramètres!$A$1:$I$89,3,0)*0.475*44/12</f>
        <v>31.490353050034862</v>
      </c>
      <c r="AW74" s="21">
        <f>EXP(-LN(2)/2)*AW73+(1-EXP(-LN(2)/2))/(LN(2)/2)*AQ74*AT74*VLOOKUP('Données projet'!$B$10,Paramètres!$A$1:$I$89,3,0)*0.475*44/12</f>
        <v>0.8230730547536137</v>
      </c>
      <c r="AX74" s="21">
        <f t="shared" si="60"/>
        <v>75.095458031688381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-3.3992364478763198E-14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225.63994281336028</v>
      </c>
      <c r="BJ74" s="59">
        <f t="shared" si="92"/>
        <v>231.19476400361157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84.645187115213119</v>
      </c>
      <c r="BQ74" s="21">
        <f>EXP(-LN(2)/25)*BQ73+(1-EXP(-LN(2)/25))/(LN(2)/25)*Calculateur!BL74*Calculateur!BN74*VLOOKUP('Données projet'!$B$11,Paramètres!$A$1:$I$89,3,0)*0.475*44/12</f>
        <v>63.250086755092653</v>
      </c>
      <c r="BR74" s="21">
        <f>EXP(-LN(2)/2)*BR73+(1-EXP(-LN(2)/2))/(LN(2)/2)*BL74*BO74*VLOOKUP('Données projet'!$B$11,Paramètres!$A$1:$I$89,3,0)*0.475*44/12</f>
        <v>11.972103137192461</v>
      </c>
      <c r="BS74" s="22">
        <f t="shared" si="63"/>
        <v>159.86737700749822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5.6843418860808015E-14</v>
      </c>
      <c r="BZ74" s="13">
        <f>BY74*VLOOKUP('Données projet'!$B$12,Paramètres!$A$1:$I$89,3,0)*VLOOKUP('Données projet'!$B$12,Paramètres!$A$1:$I$89,5,0)</f>
        <v>2.6602720026858149E-14</v>
      </c>
      <c r="CA74" s="13">
        <f t="shared" si="93"/>
        <v>4.6624771586320878E-13</v>
      </c>
      <c r="CB74" s="20">
        <f t="shared" si="64"/>
        <v>8.583811758418665E-13</v>
      </c>
      <c r="CC74" s="59">
        <f t="shared" si="65"/>
        <v>293.33333333333417</v>
      </c>
      <c r="CD74" s="59">
        <f ca="1">AVERAGE(OFFSET($CC$3,0,0,'Données projet'!$E$12+1,1))-AVERAGE(OFFSET($H$3,0,0,'Données projet'!$E$12+1,1))</f>
        <v>111.69585394603672</v>
      </c>
      <c r="CE74" s="59">
        <f t="shared" si="94"/>
        <v>162.6701214629764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46.726715779508005</v>
      </c>
      <c r="CL74" s="21">
        <f>EXP(-LN(2)/25)*CL73+(1-EXP(-LN(2)/25))/(LN(2)/25)*Calculateur!CG74*Calculateur!CI74*VLOOKUP('Données projet'!$B$12,Paramètres!$A$1:$I$89,3,0)*0.475*44/12</f>
        <v>35.341751556192818</v>
      </c>
      <c r="CM74" s="21">
        <f>EXP(-LN(2)/2)*CM73+(1-EXP(-LN(2)/2))/(LN(2)/2)*CG74*CJ74*VLOOKUP('Données projet'!$B$12,Paramètres!$A$1:$I$89,3,0)*0.475*44/12</f>
        <v>0.71039466995744749</v>
      </c>
      <c r="CN74" s="22">
        <f t="shared" si="66"/>
        <v>82.778862005658283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-5.1431925385259088E-14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320.93171542656671</v>
      </c>
      <c r="T75" s="59">
        <f t="shared" si="88"/>
        <v>452.7298965816143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24.973037910171822</v>
      </c>
      <c r="AA75" s="21">
        <f>EXP(-LN(2)/25)*AA74+(1-EXP(-LN(2)/25))/(LN(2)/25)*Calculateur!V75*Calculateur!X75*VLOOKUP('Données projet'!$B$9,Paramètres!$A$1:$I$89,3,0)*0.475*44/12</f>
        <v>10.157589435461173</v>
      </c>
      <c r="AB75" s="21">
        <f>EXP(-LN(2)/2)*AB74+(1-EXP(-LN(2)/2))/(LN(2)/2)*V75*Y75*VLOOKUP('Données projet'!$B$9,Paramètres!$A$1:$I$89,3,0)*0.475*44/12</f>
        <v>4.6217493244322966E-3</v>
      </c>
      <c r="AC75" s="22">
        <f t="shared" si="57"/>
        <v>35.13524909495743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2.8421709430404007E-14</v>
      </c>
      <c r="AJ75" s="13">
        <f>AI75*VLOOKUP('Données projet'!$B$10,Paramètres!$A$1:$I$89,3,0)*VLOOKUP('Données projet'!$B$10,Paramètres!$A$1:$I$89,5,0)</f>
        <v>2.4829205358400945E-14</v>
      </c>
      <c r="AK75" s="13">
        <f t="shared" si="89"/>
        <v>4.3867331143352915E-13</v>
      </c>
      <c r="AL75" s="20">
        <f t="shared" si="58"/>
        <v>8.0726688341261168E-13</v>
      </c>
      <c r="AM75" s="59">
        <f t="shared" si="59"/>
        <v>293.33333333333411</v>
      </c>
      <c r="AN75" s="59">
        <f ca="1">AVERAGE(OFFSET($AM$3,0,0,'Données projet'!$E$10+1,1))-AVERAGE(OFFSET($H$3,0,0,'Données projet'!$E$10+1,1))</f>
        <v>201.61452816909701</v>
      </c>
      <c r="AO75" s="59">
        <f t="shared" si="90"/>
        <v>287.77679930887746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41.943102375276268</v>
      </c>
      <c r="AV75" s="21">
        <f>EXP(-LN(2)/25)*AV74+(1-EXP(-LN(2)/25))/(LN(2)/25)*Calculateur!AQ75*Calculateur!AS75*VLOOKUP('Données projet'!$B$10,Paramètres!$A$1:$I$89,3,0)*0.475*44/12</f>
        <v>30.629247689875964</v>
      </c>
      <c r="AW75" s="21">
        <f>EXP(-LN(2)/2)*AW74+(1-EXP(-LN(2)/2))/(LN(2)/2)*AQ75*AT75*VLOOKUP('Données projet'!$B$10,Paramètres!$A$1:$I$89,3,0)*0.475*44/12</f>
        <v>0.58200053842820676</v>
      </c>
      <c r="AX75" s="21">
        <f t="shared" si="60"/>
        <v>73.15435060358044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-3.3992364478763198E-14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225.63994281336028</v>
      </c>
      <c r="BJ75" s="59">
        <f t="shared" si="92"/>
        <v>231.19476400361157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82.985346624350043</v>
      </c>
      <c r="BQ75" s="21">
        <f>EXP(-LN(2)/25)*BQ74+(1-EXP(-LN(2)/25))/(LN(2)/25)*Calculateur!BL75*Calculateur!BN75*VLOOKUP('Données projet'!$B$11,Paramètres!$A$1:$I$89,3,0)*0.475*44/12</f>
        <v>61.52050980659714</v>
      </c>
      <c r="BR75" s="21">
        <f>EXP(-LN(2)/2)*BR74+(1-EXP(-LN(2)/2))/(LN(2)/2)*BL75*BO75*VLOOKUP('Données projet'!$B$11,Paramètres!$A$1:$I$89,3,0)*0.475*44/12</f>
        <v>8.4655553133735282</v>
      </c>
      <c r="BS75" s="22">
        <f t="shared" si="63"/>
        <v>152.9714117443207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5.6843418860808015E-14</v>
      </c>
      <c r="BZ75" s="13">
        <f>BY75*VLOOKUP('Données projet'!$B$12,Paramètres!$A$1:$I$89,3,0)*VLOOKUP('Données projet'!$B$12,Paramètres!$A$1:$I$89,5,0)</f>
        <v>2.6602720026858149E-14</v>
      </c>
      <c r="CA75" s="13">
        <f t="shared" si="93"/>
        <v>4.6624771586320878E-13</v>
      </c>
      <c r="CB75" s="20">
        <f t="shared" si="64"/>
        <v>8.583811758418665E-13</v>
      </c>
      <c r="CC75" s="59">
        <f t="shared" si="65"/>
        <v>293.33333333333417</v>
      </c>
      <c r="CD75" s="59">
        <f ca="1">AVERAGE(OFFSET($CC$3,0,0,'Données projet'!$E$12+1,1))-AVERAGE(OFFSET($H$3,0,0,'Données projet'!$E$12+1,1))</f>
        <v>111.69585394603672</v>
      </c>
      <c r="CE75" s="59">
        <f t="shared" si="94"/>
        <v>162.6701214629764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45.81043338355429</v>
      </c>
      <c r="CL75" s="21">
        <f>EXP(-LN(2)/25)*CL74+(1-EXP(-LN(2)/25))/(LN(2)/25)*Calculateur!CG75*Calculateur!CI75*VLOOKUP('Données projet'!$B$12,Paramètres!$A$1:$I$89,3,0)*0.475*44/12</f>
        <v>34.375329501346783</v>
      </c>
      <c r="CM75" s="21">
        <f>EXP(-LN(2)/2)*CM74+(1-EXP(-LN(2)/2))/(LN(2)/2)*CG75*CJ75*VLOOKUP('Données projet'!$B$12,Paramètres!$A$1:$I$89,3,0)*0.475*44/12</f>
        <v>0.50232488844569045</v>
      </c>
      <c r="CN75" s="22">
        <f t="shared" si="66"/>
        <v>80.688087773346751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-5.1431925385259088E-14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320.93171542656671</v>
      </c>
      <c r="T76" s="59">
        <f t="shared" si="88"/>
        <v>452.7298965816143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24.483331868802438</v>
      </c>
      <c r="AA76" s="21">
        <f>EXP(-LN(2)/25)*AA75+(1-EXP(-LN(2)/25))/(LN(2)/25)*Calculateur!V76*Calculateur!X76*VLOOKUP('Données projet'!$B$9,Paramètres!$A$1:$I$89,3,0)*0.475*44/12</f>
        <v>9.8798296181840737</v>
      </c>
      <c r="AB76" s="21">
        <f>EXP(-LN(2)/2)*AB75+(1-EXP(-LN(2)/2))/(LN(2)/2)*V76*Y76*VLOOKUP('Données projet'!$B$9,Paramètres!$A$1:$I$89,3,0)*0.475*44/12</f>
        <v>3.2680702882504219E-3</v>
      </c>
      <c r="AC76" s="22">
        <f t="shared" si="57"/>
        <v>34.366429557274763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2.8421709430404007E-14</v>
      </c>
      <c r="AJ76" s="13">
        <f>AI76*VLOOKUP('Données projet'!$B$10,Paramètres!$A$1:$I$89,3,0)*VLOOKUP('Données projet'!$B$10,Paramètres!$A$1:$I$89,5,0)</f>
        <v>2.4829205358400945E-14</v>
      </c>
      <c r="AK76" s="13">
        <f t="shared" si="89"/>
        <v>4.3867331143352915E-13</v>
      </c>
      <c r="AL76" s="20">
        <f t="shared" si="58"/>
        <v>8.0726688341261168E-13</v>
      </c>
      <c r="AM76" s="59">
        <f t="shared" si="59"/>
        <v>293.33333333333411</v>
      </c>
      <c r="AN76" s="59">
        <f ca="1">AVERAGE(OFFSET($AM$3,0,0,'Données projet'!$E$10+1,1))-AVERAGE(OFFSET($H$3,0,0,'Données projet'!$E$10+1,1))</f>
        <v>201.61452816909701</v>
      </c>
      <c r="AO76" s="59">
        <f t="shared" si="90"/>
        <v>287.77679930887746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41.120623720463463</v>
      </c>
      <c r="AV76" s="21">
        <f>EXP(-LN(2)/25)*AV75+(1-EXP(-LN(2)/25))/(LN(2)/25)*Calculateur!AQ76*Calculateur!AS76*VLOOKUP('Données projet'!$B$10,Paramètres!$A$1:$I$89,3,0)*0.475*44/12</f>
        <v>29.791689301074175</v>
      </c>
      <c r="AW76" s="21">
        <f>EXP(-LN(2)/2)*AW75+(1-EXP(-LN(2)/2))/(LN(2)/2)*AQ76*AT76*VLOOKUP('Données projet'!$B$10,Paramètres!$A$1:$I$89,3,0)*0.475*44/12</f>
        <v>0.41153652737680685</v>
      </c>
      <c r="AX76" s="21">
        <f t="shared" si="60"/>
        <v>71.323849548914453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-3.3992364478763198E-14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225.63994281336028</v>
      </c>
      <c r="BJ76" s="59">
        <f t="shared" si="92"/>
        <v>231.19476400361157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81.358054593110054</v>
      </c>
      <c r="BQ76" s="21">
        <f>EXP(-LN(2)/25)*BQ75+(1-EXP(-LN(2)/25))/(LN(2)/25)*Calculateur!BL76*Calculateur!BN76*VLOOKUP('Données projet'!$B$11,Paramètres!$A$1:$I$89,3,0)*0.475*44/12</f>
        <v>59.838228230712737</v>
      </c>
      <c r="BR76" s="21">
        <f>EXP(-LN(2)/2)*BR75+(1-EXP(-LN(2)/2))/(LN(2)/2)*BL76*BO76*VLOOKUP('Données projet'!$B$11,Paramètres!$A$1:$I$89,3,0)*0.475*44/12</f>
        <v>5.9860515685962303</v>
      </c>
      <c r="BS76" s="22">
        <f t="shared" si="63"/>
        <v>147.18233439241902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5.6843418860808015E-14</v>
      </c>
      <c r="BZ76" s="13">
        <f>BY76*VLOOKUP('Données projet'!$B$12,Paramètres!$A$1:$I$89,3,0)*VLOOKUP('Données projet'!$B$12,Paramètres!$A$1:$I$89,5,0)</f>
        <v>2.6602720026858149E-14</v>
      </c>
      <c r="CA76" s="13">
        <f t="shared" si="93"/>
        <v>4.6624771586320878E-13</v>
      </c>
      <c r="CB76" s="20">
        <f t="shared" si="64"/>
        <v>8.583811758418665E-13</v>
      </c>
      <c r="CC76" s="59">
        <f t="shared" si="65"/>
        <v>293.33333333333417</v>
      </c>
      <c r="CD76" s="59">
        <f ca="1">AVERAGE(OFFSET($CC$3,0,0,'Données projet'!$E$12+1,1))-AVERAGE(OFFSET($H$3,0,0,'Données projet'!$E$12+1,1))</f>
        <v>111.69585394603672</v>
      </c>
      <c r="CE76" s="59">
        <f t="shared" si="94"/>
        <v>162.6701214629764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44.912118726508147</v>
      </c>
      <c r="CL76" s="21">
        <f>EXP(-LN(2)/25)*CL75+(1-EXP(-LN(2)/25))/(LN(2)/25)*Calculateur!CG76*Calculateur!CI76*VLOOKUP('Données projet'!$B$12,Paramètres!$A$1:$I$89,3,0)*0.475*44/12</f>
        <v>33.435334308412443</v>
      </c>
      <c r="CM76" s="21">
        <f>EXP(-LN(2)/2)*CM75+(1-EXP(-LN(2)/2))/(LN(2)/2)*CG76*CJ76*VLOOKUP('Données projet'!$B$12,Paramètres!$A$1:$I$89,3,0)*0.475*44/12</f>
        <v>0.35519733497872374</v>
      </c>
      <c r="CN76" s="22">
        <f t="shared" si="66"/>
        <v>78.702650369899317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-5.1431925385259088E-14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320.93171542656671</v>
      </c>
      <c r="T77" s="59">
        <f t="shared" si="88"/>
        <v>452.7298965816143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24.003228664213115</v>
      </c>
      <c r="AA77" s="21">
        <f>EXP(-LN(2)/25)*AA76+(1-EXP(-LN(2)/25))/(LN(2)/25)*Calculateur!V77*Calculateur!X77*VLOOKUP('Données projet'!$B$9,Paramètres!$A$1:$I$89,3,0)*0.475*44/12</f>
        <v>9.6096651577171706</v>
      </c>
      <c r="AB77" s="21">
        <f>EXP(-LN(2)/2)*AB76+(1-EXP(-LN(2)/2))/(LN(2)/2)*V77*Y77*VLOOKUP('Données projet'!$B$9,Paramètres!$A$1:$I$89,3,0)*0.475*44/12</f>
        <v>2.3108746622161483E-3</v>
      </c>
      <c r="AC77" s="22">
        <f t="shared" si="57"/>
        <v>33.6152046965925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2.8421709430404007E-14</v>
      </c>
      <c r="AJ77" s="13">
        <f>AI77*VLOOKUP('Données projet'!$B$10,Paramètres!$A$1:$I$89,3,0)*VLOOKUP('Données projet'!$B$10,Paramètres!$A$1:$I$89,5,0)</f>
        <v>2.4829205358400945E-14</v>
      </c>
      <c r="AK77" s="13">
        <f t="shared" si="89"/>
        <v>4.3867331143352915E-13</v>
      </c>
      <c r="AL77" s="20">
        <f t="shared" si="58"/>
        <v>8.0726688341261168E-13</v>
      </c>
      <c r="AM77" s="59">
        <f t="shared" si="59"/>
        <v>293.33333333333411</v>
      </c>
      <c r="AN77" s="59">
        <f ca="1">AVERAGE(OFFSET($AM$3,0,0,'Données projet'!$E$10+1,1))-AVERAGE(OFFSET($H$3,0,0,'Données projet'!$E$10+1,1))</f>
        <v>201.61452816909701</v>
      </c>
      <c r="AO77" s="59">
        <f t="shared" si="90"/>
        <v>287.77679930887746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40.31427337040909</v>
      </c>
      <c r="AV77" s="21">
        <f>EXP(-LN(2)/25)*AV76+(1-EXP(-LN(2)/25))/(LN(2)/25)*Calculateur!AQ77*Calculateur!AS77*VLOOKUP('Données projet'!$B$10,Paramètres!$A$1:$I$89,3,0)*0.475*44/12</f>
        <v>28.97703399045945</v>
      </c>
      <c r="AW77" s="21">
        <f>EXP(-LN(2)/2)*AW76+(1-EXP(-LN(2)/2))/(LN(2)/2)*AQ77*AT77*VLOOKUP('Données projet'!$B$10,Paramètres!$A$1:$I$89,3,0)*0.475*44/12</f>
        <v>0.29100026921410338</v>
      </c>
      <c r="AX77" s="21">
        <f t="shared" si="60"/>
        <v>69.582307630082653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-3.3992364478763198E-14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225.63994281336028</v>
      </c>
      <c r="BJ77" s="59">
        <f t="shared" si="92"/>
        <v>231.19476400361157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79.762672766052546</v>
      </c>
      <c r="BQ77" s="21">
        <f>EXP(-LN(2)/25)*BQ76+(1-EXP(-LN(2)/25))/(LN(2)/25)*Calculateur!BL77*Calculateur!BN77*VLOOKUP('Données projet'!$B$11,Paramètres!$A$1:$I$89,3,0)*0.475*44/12</f>
        <v>58.201948732988235</v>
      </c>
      <c r="BR77" s="21">
        <f>EXP(-LN(2)/2)*BR76+(1-EXP(-LN(2)/2))/(LN(2)/2)*BL77*BO77*VLOOKUP('Données projet'!$B$11,Paramètres!$A$1:$I$89,3,0)*0.475*44/12</f>
        <v>4.2327776566867641</v>
      </c>
      <c r="BS77" s="22">
        <f t="shared" si="63"/>
        <v>142.19739915572757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5.6843418860808015E-14</v>
      </c>
      <c r="BZ77" s="13">
        <f>BY77*VLOOKUP('Données projet'!$B$12,Paramètres!$A$1:$I$89,3,0)*VLOOKUP('Données projet'!$B$12,Paramètres!$A$1:$I$89,5,0)</f>
        <v>2.6602720026858149E-14</v>
      </c>
      <c r="CA77" s="13">
        <f t="shared" si="93"/>
        <v>4.6624771586320878E-13</v>
      </c>
      <c r="CB77" s="20">
        <f t="shared" si="64"/>
        <v>8.583811758418665E-13</v>
      </c>
      <c r="CC77" s="59">
        <f t="shared" si="65"/>
        <v>293.33333333333417</v>
      </c>
      <c r="CD77" s="59">
        <f ca="1">AVERAGE(OFFSET($CC$3,0,0,'Données projet'!$E$12+1,1))-AVERAGE(OFFSET($H$3,0,0,'Données projet'!$E$12+1,1))</f>
        <v>111.69585394603672</v>
      </c>
      <c r="CE77" s="59">
        <f t="shared" si="94"/>
        <v>162.6701214629764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44.031419471968846</v>
      </c>
      <c r="CL77" s="21">
        <f>EXP(-LN(2)/25)*CL76+(1-EXP(-LN(2)/25))/(LN(2)/25)*Calculateur!CG77*Calculateur!CI77*VLOOKUP('Données projet'!$B$12,Paramètres!$A$1:$I$89,3,0)*0.475*44/12</f>
        <v>32.521043333461094</v>
      </c>
      <c r="CM77" s="21">
        <f>EXP(-LN(2)/2)*CM76+(1-EXP(-LN(2)/2))/(LN(2)/2)*CG77*CJ77*VLOOKUP('Données projet'!$B$12,Paramètres!$A$1:$I$89,3,0)*0.475*44/12</f>
        <v>0.25116244422284523</v>
      </c>
      <c r="CN77" s="22">
        <f t="shared" si="66"/>
        <v>76.803625249652782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-5.1431925385259088E-14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320.93171542656671</v>
      </c>
      <c r="T78" s="59">
        <f t="shared" si="88"/>
        <v>452.7298965816143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23.532539990631751</v>
      </c>
      <c r="AA78" s="21">
        <f>EXP(-LN(2)/25)*AA77+(1-EXP(-LN(2)/25))/(LN(2)/25)*Calculateur!V78*Calculateur!X78*VLOOKUP('Données projet'!$B$9,Paramètres!$A$1:$I$89,3,0)*0.475*44/12</f>
        <v>9.3468883586290676</v>
      </c>
      <c r="AB78" s="21">
        <f>EXP(-LN(2)/2)*AB77+(1-EXP(-LN(2)/2))/(LN(2)/2)*V78*Y78*VLOOKUP('Données projet'!$B$9,Paramètres!$A$1:$I$89,3,0)*0.475*44/12</f>
        <v>1.6340351441252109E-3</v>
      </c>
      <c r="AC78" s="22">
        <f t="shared" si="57"/>
        <v>32.881062384404949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2.8421709430404007E-14</v>
      </c>
      <c r="AJ78" s="13">
        <f>AI78*VLOOKUP('Données projet'!$B$10,Paramètres!$A$1:$I$89,3,0)*VLOOKUP('Données projet'!$B$10,Paramètres!$A$1:$I$89,5,0)</f>
        <v>2.4829205358400945E-14</v>
      </c>
      <c r="AK78" s="13">
        <f t="shared" si="89"/>
        <v>4.3867331143352915E-13</v>
      </c>
      <c r="AL78" s="20">
        <f t="shared" si="58"/>
        <v>8.0726688341261168E-13</v>
      </c>
      <c r="AM78" s="59">
        <f t="shared" si="59"/>
        <v>293.33333333333411</v>
      </c>
      <c r="AN78" s="59">
        <f ca="1">AVERAGE(OFFSET($AM$3,0,0,'Données projet'!$E$10+1,1))-AVERAGE(OFFSET($H$3,0,0,'Données projet'!$E$10+1,1))</f>
        <v>201.61452816909701</v>
      </c>
      <c r="AO78" s="59">
        <f t="shared" si="90"/>
        <v>287.77679930887746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39.523735058894133</v>
      </c>
      <c r="AV78" s="21">
        <f>EXP(-LN(2)/25)*AV77+(1-EXP(-LN(2)/25))/(LN(2)/25)*Calculateur!AQ78*Calculateur!AS78*VLOOKUP('Données projet'!$B$10,Paramètres!$A$1:$I$89,3,0)*0.475*44/12</f>
        <v>28.184655472154347</v>
      </c>
      <c r="AW78" s="21">
        <f>EXP(-LN(2)/2)*AW77+(1-EXP(-LN(2)/2))/(LN(2)/2)*AQ78*AT78*VLOOKUP('Données projet'!$B$10,Paramètres!$A$1:$I$89,3,0)*0.475*44/12</f>
        <v>0.20576826368840342</v>
      </c>
      <c r="AX78" s="21">
        <f t="shared" si="60"/>
        <v>67.914158794736878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-3.3992364478763198E-14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225.63994281336028</v>
      </c>
      <c r="BJ78" s="59">
        <f t="shared" si="92"/>
        <v>231.19476400361157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78.198575403536807</v>
      </c>
      <c r="BQ78" s="21">
        <f>EXP(-LN(2)/25)*BQ77+(1-EXP(-LN(2)/25))/(LN(2)/25)*Calculateur!BL78*Calculateur!BN78*VLOOKUP('Données projet'!$B$11,Paramètres!$A$1:$I$89,3,0)*0.475*44/12</f>
        <v>56.610413384177214</v>
      </c>
      <c r="BR78" s="21">
        <f>EXP(-LN(2)/2)*BR77+(1-EXP(-LN(2)/2))/(LN(2)/2)*BL78*BO78*VLOOKUP('Données projet'!$B$11,Paramètres!$A$1:$I$89,3,0)*0.475*44/12</f>
        <v>2.9930257842981152</v>
      </c>
      <c r="BS78" s="22">
        <f t="shared" si="63"/>
        <v>137.80201457201213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5.6843418860808015E-14</v>
      </c>
      <c r="BZ78" s="13">
        <f>BY78*VLOOKUP('Données projet'!$B$12,Paramètres!$A$1:$I$89,3,0)*VLOOKUP('Données projet'!$B$12,Paramètres!$A$1:$I$89,5,0)</f>
        <v>2.6602720026858149E-14</v>
      </c>
      <c r="CA78" s="13">
        <f t="shared" si="93"/>
        <v>4.6624771586320878E-13</v>
      </c>
      <c r="CB78" s="20">
        <f t="shared" si="64"/>
        <v>8.583811758418665E-13</v>
      </c>
      <c r="CC78" s="59">
        <f t="shared" si="65"/>
        <v>293.33333333333417</v>
      </c>
      <c r="CD78" s="59">
        <f ca="1">AVERAGE(OFFSET($CC$3,0,0,'Données projet'!$E$12+1,1))-AVERAGE(OFFSET($H$3,0,0,'Données projet'!$E$12+1,1))</f>
        <v>111.69585394603672</v>
      </c>
      <c r="CE78" s="59">
        <f t="shared" si="94"/>
        <v>162.6701214629764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43.167990192637554</v>
      </c>
      <c r="CL78" s="21">
        <f>EXP(-LN(2)/25)*CL77+(1-EXP(-LN(2)/25))/(LN(2)/25)*Calculateur!CG78*Calculateur!CI78*VLOOKUP('Données projet'!$B$12,Paramètres!$A$1:$I$89,3,0)*0.475*44/12</f>
        <v>31.631753693300258</v>
      </c>
      <c r="CM78" s="21">
        <f>EXP(-LN(2)/2)*CM77+(1-EXP(-LN(2)/2))/(LN(2)/2)*CG78*CJ78*VLOOKUP('Données projet'!$B$12,Paramètres!$A$1:$I$89,3,0)*0.475*44/12</f>
        <v>0.17759866748936187</v>
      </c>
      <c r="CN78" s="22">
        <f t="shared" si="66"/>
        <v>74.977342553427178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-5.1431925385259088E-14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320.93171542656671</v>
      </c>
      <c r="T79" s="59">
        <f t="shared" si="88"/>
        <v>452.7298965816143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23.071081234847572</v>
      </c>
      <c r="AA79" s="21">
        <f>EXP(-LN(2)/25)*AA78+(1-EXP(-LN(2)/25))/(LN(2)/25)*Calculateur!V79*Calculateur!X79*VLOOKUP('Données projet'!$B$9,Paramètres!$A$1:$I$89,3,0)*0.475*44/12</f>
        <v>9.0912972049308589</v>
      </c>
      <c r="AB79" s="21">
        <f>EXP(-LN(2)/2)*AB78+(1-EXP(-LN(2)/2))/(LN(2)/2)*V79*Y79*VLOOKUP('Données projet'!$B$9,Paramètres!$A$1:$I$89,3,0)*0.475*44/12</f>
        <v>1.1554373311080742E-3</v>
      </c>
      <c r="AC79" s="22">
        <f t="shared" si="57"/>
        <v>32.163533877109536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2.8421709430404007E-14</v>
      </c>
      <c r="AJ79" s="13">
        <f>AI79*VLOOKUP('Données projet'!$B$10,Paramètres!$A$1:$I$89,3,0)*VLOOKUP('Données projet'!$B$10,Paramètres!$A$1:$I$89,5,0)</f>
        <v>2.4829205358400945E-14</v>
      </c>
      <c r="AK79" s="13">
        <f t="shared" si="89"/>
        <v>4.3867331143352915E-13</v>
      </c>
      <c r="AL79" s="20">
        <f t="shared" si="58"/>
        <v>8.0726688341261168E-13</v>
      </c>
      <c r="AM79" s="59">
        <f t="shared" si="59"/>
        <v>293.33333333333411</v>
      </c>
      <c r="AN79" s="59">
        <f ca="1">AVERAGE(OFFSET($AM$3,0,0,'Données projet'!$E$10+1,1))-AVERAGE(OFFSET($H$3,0,0,'Données projet'!$E$10+1,1))</f>
        <v>201.61452816909701</v>
      </c>
      <c r="AO79" s="59">
        <f t="shared" si="90"/>
        <v>287.77679930887746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38.748698721487223</v>
      </c>
      <c r="AV79" s="21">
        <f>EXP(-LN(2)/25)*AV78+(1-EXP(-LN(2)/25))/(LN(2)/25)*Calculateur!AQ79*Calculateur!AS79*VLOOKUP('Données projet'!$B$10,Paramètres!$A$1:$I$89,3,0)*0.475*44/12</f>
        <v>27.413944586101671</v>
      </c>
      <c r="AW79" s="21">
        <f>EXP(-LN(2)/2)*AW78+(1-EXP(-LN(2)/2))/(LN(2)/2)*AQ79*AT79*VLOOKUP('Données projet'!$B$10,Paramètres!$A$1:$I$89,3,0)*0.475*44/12</f>
        <v>0.14550013460705169</v>
      </c>
      <c r="AX79" s="21">
        <f t="shared" si="60"/>
        <v>66.308143442195941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-3.3992364478763198E-14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225.63994281336028</v>
      </c>
      <c r="BJ79" s="59">
        <f t="shared" si="92"/>
        <v>231.19476400361157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76.665149036294821</v>
      </c>
      <c r="BQ79" s="21">
        <f>EXP(-LN(2)/25)*BQ78+(1-EXP(-LN(2)/25))/(LN(2)/25)*Calculateur!BL79*Calculateur!BN79*VLOOKUP('Données projet'!$B$11,Paramètres!$A$1:$I$89,3,0)*0.475*44/12</f>
        <v>55.062398653174633</v>
      </c>
      <c r="BR79" s="21">
        <f>EXP(-LN(2)/2)*BR78+(1-EXP(-LN(2)/2))/(LN(2)/2)*BL79*BO79*VLOOKUP('Données projet'!$B$11,Paramètres!$A$1:$I$89,3,0)*0.475*44/12</f>
        <v>2.116388828343382</v>
      </c>
      <c r="BS79" s="22">
        <f t="shared" si="63"/>
        <v>133.84393651781284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5.6843418860808015E-14</v>
      </c>
      <c r="BZ79" s="13">
        <f>BY79*VLOOKUP('Données projet'!$B$12,Paramètres!$A$1:$I$89,3,0)*VLOOKUP('Données projet'!$B$12,Paramètres!$A$1:$I$89,5,0)</f>
        <v>2.6602720026858149E-14</v>
      </c>
      <c r="CA79" s="13">
        <f t="shared" si="93"/>
        <v>4.6624771586320878E-13</v>
      </c>
      <c r="CB79" s="20">
        <f t="shared" si="64"/>
        <v>8.583811758418665E-13</v>
      </c>
      <c r="CC79" s="59">
        <f t="shared" si="65"/>
        <v>293.33333333333417</v>
      </c>
      <c r="CD79" s="59">
        <f ca="1">AVERAGE(OFFSET($CC$3,0,0,'Données projet'!$E$12+1,1))-AVERAGE(OFFSET($H$3,0,0,'Données projet'!$E$12+1,1))</f>
        <v>111.69585394603672</v>
      </c>
      <c r="CE79" s="59">
        <f t="shared" si="94"/>
        <v>162.6701214629764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42.321492234834089</v>
      </c>
      <c r="CL79" s="21">
        <f>EXP(-LN(2)/25)*CL78+(1-EXP(-LN(2)/25))/(LN(2)/25)*Calculateur!CG79*Calculateur!CI79*VLOOKUP('Données projet'!$B$12,Paramètres!$A$1:$I$89,3,0)*0.475*44/12</f>
        <v>30.766781725115329</v>
      </c>
      <c r="CM79" s="21">
        <f>EXP(-LN(2)/2)*CM78+(1-EXP(-LN(2)/2))/(LN(2)/2)*CG79*CJ79*VLOOKUP('Données projet'!$B$12,Paramètres!$A$1:$I$89,3,0)*0.475*44/12</f>
        <v>0.12558122211142261</v>
      </c>
      <c r="CN79" s="22">
        <f t="shared" si="66"/>
        <v>73.21385518206084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-5.1431925385259088E-14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320.93171542656671</v>
      </c>
      <c r="T80" s="59">
        <f t="shared" si="88"/>
        <v>452.7298965816143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22.618671403802274</v>
      </c>
      <c r="AA80" s="21">
        <f>EXP(-LN(2)/25)*AA79+(1-EXP(-LN(2)/25))/(LN(2)/25)*Calculateur!V80*Calculateur!X80*VLOOKUP('Données projet'!$B$9,Paramètres!$A$1:$I$89,3,0)*0.475*44/12</f>
        <v>8.8426952047714824</v>
      </c>
      <c r="AB80" s="21">
        <f>EXP(-LN(2)/2)*AB79+(1-EXP(-LN(2)/2))/(LN(2)/2)*V80*Y80*VLOOKUP('Données projet'!$B$9,Paramètres!$A$1:$I$89,3,0)*0.475*44/12</f>
        <v>8.1701757206260547E-4</v>
      </c>
      <c r="AC80" s="22">
        <f t="shared" si="57"/>
        <v>31.462183626145819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2.8421709430404007E-14</v>
      </c>
      <c r="AJ80" s="13">
        <f>AI80*VLOOKUP('Données projet'!$B$10,Paramètres!$A$1:$I$89,3,0)*VLOOKUP('Données projet'!$B$10,Paramètres!$A$1:$I$89,5,0)</f>
        <v>2.4829205358400945E-14</v>
      </c>
      <c r="AK80" s="13">
        <f t="shared" si="89"/>
        <v>4.3867331143352915E-13</v>
      </c>
      <c r="AL80" s="20">
        <f t="shared" si="58"/>
        <v>8.0726688341261168E-13</v>
      </c>
      <c r="AM80" s="59">
        <f t="shared" si="59"/>
        <v>293.33333333333411</v>
      </c>
      <c r="AN80" s="59">
        <f ca="1">AVERAGE(OFFSET($AM$3,0,0,'Données projet'!$E$10+1,1))-AVERAGE(OFFSET($H$3,0,0,'Données projet'!$E$10+1,1))</f>
        <v>201.61452816909701</v>
      </c>
      <c r="AO80" s="59">
        <f t="shared" si="90"/>
        <v>287.77679930887746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37.988860373931381</v>
      </c>
      <c r="AV80" s="21">
        <f>EXP(-LN(2)/25)*AV79+(1-EXP(-LN(2)/25))/(LN(2)/25)*Calculateur!AQ80*Calculateur!AS80*VLOOKUP('Données projet'!$B$10,Paramètres!$A$1:$I$89,3,0)*0.475*44/12</f>
        <v>26.664308829758031</v>
      </c>
      <c r="AW80" s="21">
        <f>EXP(-LN(2)/2)*AW79+(1-EXP(-LN(2)/2))/(LN(2)/2)*AQ80*AT80*VLOOKUP('Données projet'!$B$10,Paramètres!$A$1:$I$89,3,0)*0.475*44/12</f>
        <v>0.10288413184420171</v>
      </c>
      <c r="AX80" s="21">
        <f t="shared" si="60"/>
        <v>64.756053335533622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-3.3992364478763198E-14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225.63994281336028</v>
      </c>
      <c r="BJ80" s="59">
        <f t="shared" si="92"/>
        <v>231.19476400361157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75.161792224816708</v>
      </c>
      <c r="BQ80" s="21">
        <f>EXP(-LN(2)/25)*BQ79+(1-EXP(-LN(2)/25))/(LN(2)/25)*Calculateur!BL80*Calculateur!BN80*VLOOKUP('Données projet'!$B$11,Paramètres!$A$1:$I$89,3,0)*0.475*44/12</f>
        <v>53.556714466397871</v>
      </c>
      <c r="BR80" s="21">
        <f>EXP(-LN(2)/2)*BR79+(1-EXP(-LN(2)/2))/(LN(2)/2)*BL80*BO80*VLOOKUP('Données projet'!$B$11,Paramètres!$A$1:$I$89,3,0)*0.475*44/12</f>
        <v>1.4965128921490576</v>
      </c>
      <c r="BS80" s="22">
        <f t="shared" si="63"/>
        <v>130.21501958336364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5.6843418860808015E-14</v>
      </c>
      <c r="BZ80" s="13">
        <f>BY80*VLOOKUP('Données projet'!$B$12,Paramètres!$A$1:$I$89,3,0)*VLOOKUP('Données projet'!$B$12,Paramètres!$A$1:$I$89,5,0)</f>
        <v>2.6602720026858149E-14</v>
      </c>
      <c r="CA80" s="13">
        <f t="shared" si="93"/>
        <v>4.6624771586320878E-13</v>
      </c>
      <c r="CB80" s="20">
        <f t="shared" si="64"/>
        <v>8.583811758418665E-13</v>
      </c>
      <c r="CC80" s="59">
        <f t="shared" si="65"/>
        <v>293.33333333333417</v>
      </c>
      <c r="CD80" s="59">
        <f ca="1">AVERAGE(OFFSET($CC$3,0,0,'Données projet'!$E$12+1,1))-AVERAGE(OFFSET($H$3,0,0,'Données projet'!$E$12+1,1))</f>
        <v>111.69585394603672</v>
      </c>
      <c r="CE80" s="59">
        <f t="shared" si="94"/>
        <v>162.6701214629764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41.49159358567038</v>
      </c>
      <c r="CL80" s="21">
        <f>EXP(-LN(2)/25)*CL79+(1-EXP(-LN(2)/25))/(LN(2)/25)*Calculateur!CG80*Calculateur!CI80*VLOOKUP('Données projet'!$B$12,Paramètres!$A$1:$I$89,3,0)*0.475*44/12</f>
        <v>29.925462460887317</v>
      </c>
      <c r="CM80" s="21">
        <f>EXP(-LN(2)/2)*CM79+(1-EXP(-LN(2)/2))/(LN(2)/2)*CG80*CJ80*VLOOKUP('Données projet'!$B$12,Paramètres!$A$1:$I$89,3,0)*0.475*44/12</f>
        <v>8.8799333744680936E-2</v>
      </c>
      <c r="CN80" s="22">
        <f t="shared" si="66"/>
        <v>71.505855380302364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-5.1431925385259088E-14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320.93171542656671</v>
      </c>
      <c r="T81" s="59">
        <f t="shared" si="88"/>
        <v>452.7298965816143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22.175133053601023</v>
      </c>
      <c r="AA81" s="21">
        <f>EXP(-LN(2)/25)*AA80+(1-EXP(-LN(2)/25))/(LN(2)/25)*Calculateur!V81*Calculateur!X81*VLOOKUP('Données projet'!$B$9,Paramètres!$A$1:$I$89,3,0)*0.475*44/12</f>
        <v>8.6008912393798749</v>
      </c>
      <c r="AB81" s="21">
        <f>EXP(-LN(2)/2)*AB80+(1-EXP(-LN(2)/2))/(LN(2)/2)*V81*Y81*VLOOKUP('Données projet'!$B$9,Paramètres!$A$1:$I$89,3,0)*0.475*44/12</f>
        <v>5.7771866555403708E-4</v>
      </c>
      <c r="AC81" s="22">
        <f t="shared" si="57"/>
        <v>30.776602011646453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2.8421709430404007E-14</v>
      </c>
      <c r="AJ81" s="13">
        <f>AI81*VLOOKUP('Données projet'!$B$10,Paramètres!$A$1:$I$89,3,0)*VLOOKUP('Données projet'!$B$10,Paramètres!$A$1:$I$89,5,0)</f>
        <v>2.4829205358400945E-14</v>
      </c>
      <c r="AK81" s="13">
        <f t="shared" si="89"/>
        <v>4.3867331143352915E-13</v>
      </c>
      <c r="AL81" s="20">
        <f t="shared" si="58"/>
        <v>8.0726688341261168E-13</v>
      </c>
      <c r="AM81" s="59">
        <f t="shared" si="59"/>
        <v>293.33333333333411</v>
      </c>
      <c r="AN81" s="59">
        <f ca="1">AVERAGE(OFFSET($AM$3,0,0,'Données projet'!$E$10+1,1))-AVERAGE(OFFSET($H$3,0,0,'Données projet'!$E$10+1,1))</f>
        <v>201.61452816909701</v>
      </c>
      <c r="AO81" s="59">
        <f t="shared" si="90"/>
        <v>287.77679930887746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37.243921992915475</v>
      </c>
      <c r="AV81" s="21">
        <f>EXP(-LN(2)/25)*AV80+(1-EXP(-LN(2)/25))/(LN(2)/25)*Calculateur!AQ81*Calculateur!AS81*VLOOKUP('Données projet'!$B$10,Paramètres!$A$1:$I$89,3,0)*0.475*44/12</f>
        <v>25.93517190259324</v>
      </c>
      <c r="AW81" s="21">
        <f>EXP(-LN(2)/2)*AW80+(1-EXP(-LN(2)/2))/(LN(2)/2)*AQ81*AT81*VLOOKUP('Données projet'!$B$10,Paramètres!$A$1:$I$89,3,0)*0.475*44/12</f>
        <v>7.2750067303525845E-2</v>
      </c>
      <c r="AX81" s="21">
        <f t="shared" si="60"/>
        <v>63.251843962812238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-3.3992364478763198E-14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225.63994281336028</v>
      </c>
      <c r="BJ81" s="59">
        <f t="shared" si="92"/>
        <v>231.19476400361157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73.687915323454575</v>
      </c>
      <c r="BQ81" s="21">
        <f>EXP(-LN(2)/25)*BQ80+(1-EXP(-LN(2)/25))/(LN(2)/25)*Calculateur!BL81*Calculateur!BN81*VLOOKUP('Données projet'!$B$11,Paramètres!$A$1:$I$89,3,0)*0.475*44/12</f>
        <v>52.09220329288901</v>
      </c>
      <c r="BR81" s="21">
        <f>EXP(-LN(2)/2)*BR80+(1-EXP(-LN(2)/2))/(LN(2)/2)*BL81*BO81*VLOOKUP('Données projet'!$B$11,Paramètres!$A$1:$I$89,3,0)*0.475*44/12</f>
        <v>1.058194414171691</v>
      </c>
      <c r="BS81" s="22">
        <f t="shared" si="63"/>
        <v>126.83831303051528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5.6843418860808015E-14</v>
      </c>
      <c r="BZ81" s="13">
        <f>BY81*VLOOKUP('Données projet'!$B$12,Paramètres!$A$1:$I$89,3,0)*VLOOKUP('Données projet'!$B$12,Paramètres!$A$1:$I$89,5,0)</f>
        <v>2.6602720026858149E-14</v>
      </c>
      <c r="CA81" s="13">
        <f t="shared" si="93"/>
        <v>4.6624771586320878E-13</v>
      </c>
      <c r="CB81" s="20">
        <f t="shared" si="64"/>
        <v>8.583811758418665E-13</v>
      </c>
      <c r="CC81" s="59">
        <f t="shared" si="65"/>
        <v>293.33333333333417</v>
      </c>
      <c r="CD81" s="59">
        <f ca="1">AVERAGE(OFFSET($CC$3,0,0,'Données projet'!$E$12+1,1))-AVERAGE(OFFSET($H$3,0,0,'Données projet'!$E$12+1,1))</f>
        <v>111.69585394603672</v>
      </c>
      <c r="CE81" s="59">
        <f t="shared" si="94"/>
        <v>162.6701214629764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40.677968742828575</v>
      </c>
      <c r="CL81" s="21">
        <f>EXP(-LN(2)/25)*CL80+(1-EXP(-LN(2)/25))/(LN(2)/25)*Calculateur!CG81*Calculateur!CI81*VLOOKUP('Données projet'!$B$12,Paramètres!$A$1:$I$89,3,0)*0.475*44/12</f>
        <v>29.107149116182679</v>
      </c>
      <c r="CM81" s="21">
        <f>EXP(-LN(2)/2)*CM80+(1-EXP(-LN(2)/2))/(LN(2)/2)*CG81*CJ81*VLOOKUP('Données projet'!$B$12,Paramètres!$A$1:$I$89,3,0)*0.475*44/12</f>
        <v>6.2790611055711307E-2</v>
      </c>
      <c r="CN81" s="22">
        <f t="shared" si="66"/>
        <v>69.847908470066969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-5.1431925385259088E-14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320.93171542656671</v>
      </c>
      <c r="T82" s="59">
        <f t="shared" si="88"/>
        <v>452.7298965816143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21.740292219915538</v>
      </c>
      <c r="AA82" s="21">
        <f>EXP(-LN(2)/25)*AA81+(1-EXP(-LN(2)/25))/(LN(2)/25)*Calculateur!V82*Calculateur!X82*VLOOKUP('Données projet'!$B$9,Paramètres!$A$1:$I$89,3,0)*0.475*44/12</f>
        <v>8.3656994161378186</v>
      </c>
      <c r="AB82" s="21">
        <f>EXP(-LN(2)/2)*AB81+(1-EXP(-LN(2)/2))/(LN(2)/2)*V82*Y82*VLOOKUP('Données projet'!$B$9,Paramètres!$A$1:$I$89,3,0)*0.475*44/12</f>
        <v>4.0850878603130274E-4</v>
      </c>
      <c r="AC82" s="22">
        <f t="shared" si="57"/>
        <v>30.106400144839387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2.8421709430404007E-14</v>
      </c>
      <c r="AJ82" s="13">
        <f>AI82*VLOOKUP('Données projet'!$B$10,Paramètres!$A$1:$I$89,3,0)*VLOOKUP('Données projet'!$B$10,Paramètres!$A$1:$I$89,5,0)</f>
        <v>2.4829205358400945E-14</v>
      </c>
      <c r="AK82" s="13">
        <f t="shared" si="89"/>
        <v>4.3867331143352915E-13</v>
      </c>
      <c r="AL82" s="20">
        <f t="shared" si="58"/>
        <v>8.0726688341261168E-13</v>
      </c>
      <c r="AM82" s="59">
        <f t="shared" si="59"/>
        <v>293.33333333333411</v>
      </c>
      <c r="AN82" s="59">
        <f ca="1">AVERAGE(OFFSET($AM$3,0,0,'Données projet'!$E$10+1,1))-AVERAGE(OFFSET($H$3,0,0,'Données projet'!$E$10+1,1))</f>
        <v>201.61452816909701</v>
      </c>
      <c r="AO82" s="59">
        <f t="shared" si="90"/>
        <v>287.77679930887746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36.513591399183746</v>
      </c>
      <c r="AV82" s="21">
        <f>EXP(-LN(2)/25)*AV81+(1-EXP(-LN(2)/25))/(LN(2)/25)*Calculateur!AQ82*Calculateur!AS82*VLOOKUP('Données projet'!$B$10,Paramètres!$A$1:$I$89,3,0)*0.475*44/12</f>
        <v>25.225973263045415</v>
      </c>
      <c r="AW82" s="21">
        <f>EXP(-LN(2)/2)*AW81+(1-EXP(-LN(2)/2))/(LN(2)/2)*AQ82*AT82*VLOOKUP('Données projet'!$B$10,Paramètres!$A$1:$I$89,3,0)*0.475*44/12</f>
        <v>5.1442065922100856E-2</v>
      </c>
      <c r="AX82" s="21">
        <f t="shared" si="60"/>
        <v>61.79100672815126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-3.3992364478763198E-14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225.63994281336028</v>
      </c>
      <c r="BJ82" s="59">
        <f t="shared" si="92"/>
        <v>231.19476400361157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72.242940249152014</v>
      </c>
      <c r="BQ82" s="21">
        <f>EXP(-LN(2)/25)*BQ81+(1-EXP(-LN(2)/25))/(LN(2)/25)*Calculateur!BL82*Calculateur!BN82*VLOOKUP('Données projet'!$B$11,Paramètres!$A$1:$I$89,3,0)*0.475*44/12</f>
        <v>50.667739254435048</v>
      </c>
      <c r="BR82" s="21">
        <f>EXP(-LN(2)/2)*BR81+(1-EXP(-LN(2)/2))/(LN(2)/2)*BL82*BO82*VLOOKUP('Données projet'!$B$11,Paramètres!$A$1:$I$89,3,0)*0.475*44/12</f>
        <v>0.74825644607452879</v>
      </c>
      <c r="BS82" s="22">
        <f t="shared" si="63"/>
        <v>123.6589359496616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5.6843418860808015E-14</v>
      </c>
      <c r="BZ82" s="13">
        <f>BY82*VLOOKUP('Données projet'!$B$12,Paramètres!$A$1:$I$89,3,0)*VLOOKUP('Données projet'!$B$12,Paramètres!$A$1:$I$89,5,0)</f>
        <v>2.6602720026858149E-14</v>
      </c>
      <c r="CA82" s="13">
        <f t="shared" si="93"/>
        <v>4.6624771586320878E-13</v>
      </c>
      <c r="CB82" s="20">
        <f t="shared" si="64"/>
        <v>8.583811758418665E-13</v>
      </c>
      <c r="CC82" s="59">
        <f t="shared" si="65"/>
        <v>293.33333333333417</v>
      </c>
      <c r="CD82" s="59">
        <f ca="1">AVERAGE(OFFSET($CC$3,0,0,'Données projet'!$E$12+1,1))-AVERAGE(OFFSET($H$3,0,0,'Données projet'!$E$12+1,1))</f>
        <v>111.69585394603672</v>
      </c>
      <c r="CE82" s="59">
        <f t="shared" si="94"/>
        <v>162.6701214629764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39.880298586892749</v>
      </c>
      <c r="CL82" s="21">
        <f>EXP(-LN(2)/25)*CL81+(1-EXP(-LN(2)/25))/(LN(2)/25)*Calculateur!CG82*Calculateur!CI82*VLOOKUP('Données projet'!$B$12,Paramètres!$A$1:$I$89,3,0)*0.475*44/12</f>
        <v>28.311212592922217</v>
      </c>
      <c r="CM82" s="21">
        <f>EXP(-LN(2)/2)*CM81+(1-EXP(-LN(2)/2))/(LN(2)/2)*CG82*CJ82*VLOOKUP('Données projet'!$B$12,Paramètres!$A$1:$I$89,3,0)*0.475*44/12</f>
        <v>4.4399666872340468E-2</v>
      </c>
      <c r="CN82" s="22">
        <f t="shared" si="66"/>
        <v>68.235910846687304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-5.1431925385259088E-14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320.93171542656671</v>
      </c>
      <c r="T83" s="59">
        <f t="shared" si="88"/>
        <v>452.7298965816143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21.313978349751906</v>
      </c>
      <c r="AA83" s="21">
        <f>EXP(-LN(2)/25)*AA82+(1-EXP(-LN(2)/25))/(LN(2)/25)*Calculateur!V83*Calculateur!X83*VLOOKUP('Données projet'!$B$9,Paramètres!$A$1:$I$89,3,0)*0.475*44/12</f>
        <v>8.1369389256705169</v>
      </c>
      <c r="AB83" s="21">
        <f>EXP(-LN(2)/2)*AB82+(1-EXP(-LN(2)/2))/(LN(2)/2)*V83*Y83*VLOOKUP('Données projet'!$B$9,Paramètres!$A$1:$I$89,3,0)*0.475*44/12</f>
        <v>2.8885933277701854E-4</v>
      </c>
      <c r="AC83" s="22">
        <f t="shared" si="57"/>
        <v>29.4512061347552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2.8421709430404007E-14</v>
      </c>
      <c r="AJ83" s="13">
        <f>AI83*VLOOKUP('Données projet'!$B$10,Paramètres!$A$1:$I$89,3,0)*VLOOKUP('Données projet'!$B$10,Paramètres!$A$1:$I$89,5,0)</f>
        <v>2.4829205358400945E-14</v>
      </c>
      <c r="AK83" s="13">
        <f t="shared" si="89"/>
        <v>4.3867331143352915E-13</v>
      </c>
      <c r="AL83" s="20">
        <f t="shared" si="58"/>
        <v>8.0726688341261168E-13</v>
      </c>
      <c r="AM83" s="59">
        <f t="shared" si="59"/>
        <v>293.33333333333411</v>
      </c>
      <c r="AN83" s="59">
        <f ca="1">AVERAGE(OFFSET($AM$3,0,0,'Données projet'!$E$10+1,1))-AVERAGE(OFFSET($H$3,0,0,'Données projet'!$E$10+1,1))</f>
        <v>201.61452816909701</v>
      </c>
      <c r="AO83" s="59">
        <f t="shared" si="90"/>
        <v>287.77679930887746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35.797582142937415</v>
      </c>
      <c r="AV83" s="21">
        <f>EXP(-LN(2)/25)*AV82+(1-EXP(-LN(2)/25))/(LN(2)/25)*Calculateur!AQ83*Calculateur!AS83*VLOOKUP('Données projet'!$B$10,Paramètres!$A$1:$I$89,3,0)*0.475*44/12</f>
        <v>24.536167697591157</v>
      </c>
      <c r="AW83" s="21">
        <f>EXP(-LN(2)/2)*AW82+(1-EXP(-LN(2)/2))/(LN(2)/2)*AQ83*AT83*VLOOKUP('Données projet'!$B$10,Paramètres!$A$1:$I$89,3,0)*0.475*44/12</f>
        <v>3.6375033651762922E-2</v>
      </c>
      <c r="AX83" s="21">
        <f t="shared" si="60"/>
        <v>60.370124874180334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-3.3992364478763198E-14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225.63994281336028</v>
      </c>
      <c r="BJ83" s="59">
        <f t="shared" si="92"/>
        <v>231.19476400361157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70.826300254708755</v>
      </c>
      <c r="BQ83" s="21">
        <f>EXP(-LN(2)/25)*BQ82+(1-EXP(-LN(2)/25))/(LN(2)/25)*Calculateur!BL83*Calculateur!BN83*VLOOKUP('Données projet'!$B$11,Paramètres!$A$1:$I$89,3,0)*0.475*44/12</f>
        <v>49.282227260021919</v>
      </c>
      <c r="BR83" s="21">
        <f>EXP(-LN(2)/2)*BR82+(1-EXP(-LN(2)/2))/(LN(2)/2)*BL83*BO83*VLOOKUP('Données projet'!$B$11,Paramètres!$A$1:$I$89,3,0)*0.475*44/12</f>
        <v>0.52909720708584551</v>
      </c>
      <c r="BS83" s="22">
        <f t="shared" si="63"/>
        <v>120.63762472181651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5.6843418860808015E-14</v>
      </c>
      <c r="BZ83" s="13">
        <f>BY83*VLOOKUP('Données projet'!$B$12,Paramètres!$A$1:$I$89,3,0)*VLOOKUP('Données projet'!$B$12,Paramètres!$A$1:$I$89,5,0)</f>
        <v>2.6602720026858149E-14</v>
      </c>
      <c r="CA83" s="13">
        <f t="shared" si="93"/>
        <v>4.6624771586320878E-13</v>
      </c>
      <c r="CB83" s="20">
        <f t="shared" si="64"/>
        <v>8.583811758418665E-13</v>
      </c>
      <c r="CC83" s="59">
        <f t="shared" si="65"/>
        <v>293.33333333333417</v>
      </c>
      <c r="CD83" s="59">
        <f ca="1">AVERAGE(OFFSET($CC$3,0,0,'Données projet'!$E$12+1,1))-AVERAGE(OFFSET($H$3,0,0,'Données projet'!$E$12+1,1))</f>
        <v>111.69585394603672</v>
      </c>
      <c r="CE83" s="59">
        <f t="shared" si="94"/>
        <v>162.6701214629764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39.098270256184065</v>
      </c>
      <c r="CL83" s="21">
        <f>EXP(-LN(2)/25)*CL82+(1-EXP(-LN(2)/25))/(LN(2)/25)*Calculateur!CG83*Calculateur!CI83*VLOOKUP('Données projet'!$B$12,Paramètres!$A$1:$I$89,3,0)*0.475*44/12</f>
        <v>27.537040995746796</v>
      </c>
      <c r="CM83" s="21">
        <f>EXP(-LN(2)/2)*CM82+(1-EXP(-LN(2)/2))/(LN(2)/2)*CG83*CJ83*VLOOKUP('Données projet'!$B$12,Paramètres!$A$1:$I$89,3,0)*0.475*44/12</f>
        <v>3.1395305527855653E-2</v>
      </c>
      <c r="CN83" s="22">
        <f t="shared" si="66"/>
        <v>66.66670655745871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-5.1431925385259088E-14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320.93171542656671</v>
      </c>
      <c r="T84" s="59">
        <f t="shared" si="88"/>
        <v>452.7298965816143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20.896024234556396</v>
      </c>
      <c r="AA84" s="21">
        <f>EXP(-LN(2)/25)*AA83+(1-EXP(-LN(2)/25))/(LN(2)/25)*Calculateur!V84*Calculateur!X84*VLOOKUP('Données projet'!$B$9,Paramètres!$A$1:$I$89,3,0)*0.475*44/12</f>
        <v>7.9144339028450359</v>
      </c>
      <c r="AB84" s="21">
        <f>EXP(-LN(2)/2)*AB83+(1-EXP(-LN(2)/2))/(LN(2)/2)*V84*Y84*VLOOKUP('Données projet'!$B$9,Paramètres!$A$1:$I$89,3,0)*0.475*44/12</f>
        <v>2.0425439301565137E-4</v>
      </c>
      <c r="AC84" s="22">
        <f t="shared" si="57"/>
        <v>28.810662391794448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2.8421709430404007E-14</v>
      </c>
      <c r="AJ84" s="13">
        <f>AI84*VLOOKUP('Données projet'!$B$10,Paramètres!$A$1:$I$89,3,0)*VLOOKUP('Données projet'!$B$10,Paramètres!$A$1:$I$89,5,0)</f>
        <v>2.4829205358400945E-14</v>
      </c>
      <c r="AK84" s="13">
        <f t="shared" si="89"/>
        <v>4.3867331143352915E-13</v>
      </c>
      <c r="AL84" s="20">
        <f t="shared" si="58"/>
        <v>8.0726688341261168E-13</v>
      </c>
      <c r="AM84" s="59">
        <f t="shared" si="59"/>
        <v>293.33333333333411</v>
      </c>
      <c r="AN84" s="59">
        <f ca="1">AVERAGE(OFFSET($AM$3,0,0,'Données projet'!$E$10+1,1))-AVERAGE(OFFSET($H$3,0,0,'Données projet'!$E$10+1,1))</f>
        <v>201.61452816909701</v>
      </c>
      <c r="AO84" s="59">
        <f t="shared" si="90"/>
        <v>287.77679930887746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35.095613391483553</v>
      </c>
      <c r="AV84" s="21">
        <f>EXP(-LN(2)/25)*AV83+(1-EXP(-LN(2)/25))/(LN(2)/25)*Calculateur!AQ84*Calculateur!AS84*VLOOKUP('Données projet'!$B$10,Paramètres!$A$1:$I$89,3,0)*0.475*44/12</f>
        <v>23.865224901599547</v>
      </c>
      <c r="AW84" s="21">
        <f>EXP(-LN(2)/2)*AW83+(1-EXP(-LN(2)/2))/(LN(2)/2)*AQ84*AT84*VLOOKUP('Données projet'!$B$10,Paramètres!$A$1:$I$89,3,0)*0.475*44/12</f>
        <v>2.5721032961050428E-2</v>
      </c>
      <c r="AX84" s="21">
        <f t="shared" si="60"/>
        <v>58.986559326044151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-3.3992364478763198E-14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225.63994281336028</v>
      </c>
      <c r="BJ84" s="59">
        <f t="shared" si="92"/>
        <v>231.19476400361157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69.437439706491446</v>
      </c>
      <c r="BQ84" s="21">
        <f>EXP(-LN(2)/25)*BQ83+(1-EXP(-LN(2)/25))/(LN(2)/25)*Calculateur!BL84*Calculateur!BN84*VLOOKUP('Données projet'!$B$11,Paramètres!$A$1:$I$89,3,0)*0.475*44/12</f>
        <v>47.934602163956924</v>
      </c>
      <c r="BR84" s="21">
        <f>EXP(-LN(2)/2)*BR83+(1-EXP(-LN(2)/2))/(LN(2)/2)*BL84*BO84*VLOOKUP('Données projet'!$B$11,Paramètres!$A$1:$I$89,3,0)*0.475*44/12</f>
        <v>0.3741282230372644</v>
      </c>
      <c r="BS84" s="22">
        <f t="shared" si="63"/>
        <v>117.74617009348563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2.6602720026858149E-14</v>
      </c>
      <c r="CA84" s="13">
        <f t="shared" si="93"/>
        <v>4.6624771586320878E-13</v>
      </c>
      <c r="CB84" s="20">
        <f t="shared" si="64"/>
        <v>8.583811758418665E-13</v>
      </c>
      <c r="CC84" s="59">
        <f t="shared" si="65"/>
        <v>293.33333333333417</v>
      </c>
      <c r="CD84" s="59">
        <f ca="1">AVERAGE(OFFSET($CC$3,0,0,'Données projet'!$E$12+1,1))-AVERAGE(OFFSET($H$3,0,0,'Données projet'!$E$12+1,1))</f>
        <v>111.69585394603672</v>
      </c>
      <c r="CE84" s="59">
        <f t="shared" si="94"/>
        <v>162.6701214629764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38.331577024050397</v>
      </c>
      <c r="CL84" s="21">
        <f>EXP(-LN(2)/25)*CL83+(1-EXP(-LN(2)/25))/(LN(2)/25)*Calculateur!CG84*Calculateur!CI84*VLOOKUP('Données projet'!$B$12,Paramètres!$A$1:$I$89,3,0)*0.475*44/12</f>
        <v>26.78403916160805</v>
      </c>
      <c r="CM84" s="21">
        <f>EXP(-LN(2)/2)*CM83+(1-EXP(-LN(2)/2))/(LN(2)/2)*CG84*CJ84*VLOOKUP('Données projet'!$B$12,Paramètres!$A$1:$I$89,3,0)*0.475*44/12</f>
        <v>2.2199833436170234E-2</v>
      </c>
      <c r="CN84" s="22">
        <f t="shared" si="66"/>
        <v>65.137816019094615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-5.1431925385259088E-14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320.93171542656671</v>
      </c>
      <c r="T85" s="59">
        <f t="shared" si="88"/>
        <v>452.7298965816143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20.486265944633033</v>
      </c>
      <c r="AA85" s="21">
        <f>EXP(-LN(2)/25)*AA84+(1-EXP(-LN(2)/25))/(LN(2)/25)*Calculateur!V85*Calculateur!X85*VLOOKUP('Données projet'!$B$9,Paramètres!$A$1:$I$89,3,0)*0.475*44/12</f>
        <v>7.6980132915697483</v>
      </c>
      <c r="AB85" s="21">
        <f>EXP(-LN(2)/2)*AB84+(1-EXP(-LN(2)/2))/(LN(2)/2)*V85*Y85*VLOOKUP('Données projet'!$B$9,Paramètres!$A$1:$I$89,3,0)*0.475*44/12</f>
        <v>1.4442966638850927E-4</v>
      </c>
      <c r="AC85" s="22">
        <f t="shared" si="57"/>
        <v>28.184423665869168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2.8421709430404007E-14</v>
      </c>
      <c r="AJ85" s="13">
        <f>AI85*VLOOKUP('Données projet'!$B$10,Paramètres!$A$1:$I$89,3,0)*VLOOKUP('Données projet'!$B$10,Paramètres!$A$1:$I$89,5,0)</f>
        <v>2.4829205358400945E-14</v>
      </c>
      <c r="AK85" s="13">
        <f t="shared" si="89"/>
        <v>4.3867331143352915E-13</v>
      </c>
      <c r="AL85" s="20">
        <f t="shared" si="58"/>
        <v>8.0726688341261168E-13</v>
      </c>
      <c r="AM85" s="59">
        <f t="shared" si="59"/>
        <v>293.33333333333411</v>
      </c>
      <c r="AN85" s="59">
        <f ca="1">AVERAGE(OFFSET($AM$3,0,0,'Données projet'!$E$10+1,1))-AVERAGE(OFFSET($H$3,0,0,'Données projet'!$E$10+1,1))</f>
        <v>201.61452816909701</v>
      </c>
      <c r="AO85" s="59">
        <f t="shared" si="90"/>
        <v>287.77679930887746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34.407409819087043</v>
      </c>
      <c r="AV85" s="21">
        <f>EXP(-LN(2)/25)*AV84+(1-EXP(-LN(2)/25))/(LN(2)/25)*Calculateur!AQ85*Calculateur!AS85*VLOOKUP('Données projet'!$B$10,Paramètres!$A$1:$I$89,3,0)*0.475*44/12</f>
        <v>23.212629071647672</v>
      </c>
      <c r="AW85" s="21">
        <f>EXP(-LN(2)/2)*AW84+(1-EXP(-LN(2)/2))/(LN(2)/2)*AQ85*AT85*VLOOKUP('Données projet'!$B$10,Paramètres!$A$1:$I$89,3,0)*0.475*44/12</f>
        <v>1.8187516825881461E-2</v>
      </c>
      <c r="AX85" s="21">
        <f t="shared" si="60"/>
        <v>57.638226407560602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-3.3992364478763198E-14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225.63994281336028</v>
      </c>
      <c r="BJ85" s="59">
        <f t="shared" si="92"/>
        <v>231.19476400361157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68.075813866503395</v>
      </c>
      <c r="BQ85" s="21">
        <f>EXP(-LN(2)/25)*BQ84+(1-EXP(-LN(2)/25))/(LN(2)/25)*Calculateur!BL85*Calculateur!BN85*VLOOKUP('Données projet'!$B$11,Paramètres!$A$1:$I$89,3,0)*0.475*44/12</f>
        <v>46.623827947012352</v>
      </c>
      <c r="BR85" s="21">
        <f>EXP(-LN(2)/2)*BR84+(1-EXP(-LN(2)/2))/(LN(2)/2)*BL85*BO85*VLOOKUP('Données projet'!$B$11,Paramètres!$A$1:$I$89,3,0)*0.475*44/12</f>
        <v>0.26454860354292276</v>
      </c>
      <c r="BS85" s="22">
        <f t="shared" si="63"/>
        <v>114.96419041705866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2.6602720026858149E-14</v>
      </c>
      <c r="CA85" s="13">
        <f t="shared" si="93"/>
        <v>4.6624771586320878E-13</v>
      </c>
      <c r="CB85" s="20">
        <f t="shared" si="64"/>
        <v>8.583811758418665E-13</v>
      </c>
      <c r="CC85" s="59">
        <f t="shared" si="65"/>
        <v>293.33333333333417</v>
      </c>
      <c r="CD85" s="59">
        <f ca="1">AVERAGE(OFFSET($CC$3,0,0,'Données projet'!$E$12+1,1))-AVERAGE(OFFSET($H$3,0,0,'Données projet'!$E$12+1,1))</f>
        <v>111.69585394603672</v>
      </c>
      <c r="CE85" s="59">
        <f t="shared" si="94"/>
        <v>162.6701214629764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37.579918178562174</v>
      </c>
      <c r="CL85" s="21">
        <f>EXP(-LN(2)/25)*CL84+(1-EXP(-LN(2)/25))/(LN(2)/25)*Calculateur!CG85*Calculateur!CI85*VLOOKUP('Données projet'!$B$12,Paramètres!$A$1:$I$89,3,0)*0.475*44/12</f>
        <v>26.051628202222474</v>
      </c>
      <c r="CM85" s="21">
        <f>EXP(-LN(2)/2)*CM84+(1-EXP(-LN(2)/2))/(LN(2)/2)*CG85*CJ85*VLOOKUP('Données projet'!$B$12,Paramètres!$A$1:$I$89,3,0)*0.475*44/12</f>
        <v>1.5697652763927827E-2</v>
      </c>
      <c r="CN85" s="22">
        <f t="shared" si="66"/>
        <v>63.647244033548574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-5.1431925385259088E-14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320.93171542656671</v>
      </c>
      <c r="T86" s="59">
        <f t="shared" si="88"/>
        <v>452.7298965816143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20.084542764847189</v>
      </c>
      <c r="AA86" s="21">
        <f>EXP(-LN(2)/25)*AA85+(1-EXP(-LN(2)/25))/(LN(2)/25)*Calculateur!V86*Calculateur!X86*VLOOKUP('Données projet'!$B$9,Paramètres!$A$1:$I$89,3,0)*0.475*44/12</f>
        <v>7.4875107132908489</v>
      </c>
      <c r="AB86" s="21">
        <f>EXP(-LN(2)/2)*AB85+(1-EXP(-LN(2)/2))/(LN(2)/2)*V86*Y86*VLOOKUP('Données projet'!$B$9,Paramètres!$A$1:$I$89,3,0)*0.475*44/12</f>
        <v>1.0212719650782568E-4</v>
      </c>
      <c r="AC86" s="22">
        <f t="shared" si="57"/>
        <v>27.572155605334547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2.8421709430404007E-14</v>
      </c>
      <c r="AJ86" s="13">
        <f>AI86*VLOOKUP('Données projet'!$B$10,Paramètres!$A$1:$I$89,3,0)*VLOOKUP('Données projet'!$B$10,Paramètres!$A$1:$I$89,5,0)</f>
        <v>2.4829205358400945E-14</v>
      </c>
      <c r="AK86" s="13">
        <f t="shared" si="89"/>
        <v>4.3867331143352915E-13</v>
      </c>
      <c r="AL86" s="20">
        <f t="shared" si="58"/>
        <v>8.0726688341261168E-13</v>
      </c>
      <c r="AM86" s="59">
        <f t="shared" si="59"/>
        <v>293.33333333333411</v>
      </c>
      <c r="AN86" s="59">
        <f ca="1">AVERAGE(OFFSET($AM$3,0,0,'Données projet'!$E$10+1,1))-AVERAGE(OFFSET($H$3,0,0,'Données projet'!$E$10+1,1))</f>
        <v>201.61452816909701</v>
      </c>
      <c r="AO86" s="59">
        <f t="shared" si="90"/>
        <v>287.77679930887746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33.732701498982493</v>
      </c>
      <c r="AV86" s="21">
        <f>EXP(-LN(2)/25)*AV85+(1-EXP(-LN(2)/25))/(LN(2)/25)*Calculateur!AQ86*Calculateur!AS86*VLOOKUP('Données projet'!$B$10,Paramètres!$A$1:$I$89,3,0)*0.475*44/12</f>
        <v>22.577878508984359</v>
      </c>
      <c r="AW86" s="21">
        <f>EXP(-LN(2)/2)*AW85+(1-EXP(-LN(2)/2))/(LN(2)/2)*AQ86*AT86*VLOOKUP('Données projet'!$B$10,Paramètres!$A$1:$I$89,3,0)*0.475*44/12</f>
        <v>1.2860516480525214E-2</v>
      </c>
      <c r="AX86" s="21">
        <f t="shared" si="60"/>
        <v>56.323440524447371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-3.3992364478763198E-14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225.63994281336028</v>
      </c>
      <c r="BJ86" s="59">
        <f t="shared" si="92"/>
        <v>231.19476400361157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66.740888678727757</v>
      </c>
      <c r="BQ86" s="21">
        <f>EXP(-LN(2)/25)*BQ85+(1-EXP(-LN(2)/25))/(LN(2)/25)*Calculateur!BL86*Calculateur!BN86*VLOOKUP('Données projet'!$B$11,Paramètres!$A$1:$I$89,3,0)*0.475*44/12</f>
        <v>45.348896919960744</v>
      </c>
      <c r="BR86" s="21">
        <f>EXP(-LN(2)/2)*BR85+(1-EXP(-LN(2)/2))/(LN(2)/2)*BL86*BO86*VLOOKUP('Données projet'!$B$11,Paramètres!$A$1:$I$89,3,0)*0.475*44/12</f>
        <v>0.1870641115186322</v>
      </c>
      <c r="BS86" s="22">
        <f t="shared" si="63"/>
        <v>112.27684971020714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2.6602720026858149E-14</v>
      </c>
      <c r="CA86" s="13">
        <f t="shared" si="93"/>
        <v>4.6624771586320878E-13</v>
      </c>
      <c r="CB86" s="20">
        <f t="shared" si="64"/>
        <v>8.583811758418665E-13</v>
      </c>
      <c r="CC86" s="59">
        <f t="shared" si="65"/>
        <v>293.33333333333417</v>
      </c>
      <c r="CD86" s="59">
        <f ca="1">AVERAGE(OFFSET($CC$3,0,0,'Données projet'!$E$12+1,1))-AVERAGE(OFFSET($H$3,0,0,'Données projet'!$E$12+1,1))</f>
        <v>111.69585394603672</v>
      </c>
      <c r="CE86" s="59">
        <f t="shared" si="94"/>
        <v>162.6701214629764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36.842998904567352</v>
      </c>
      <c r="CL86" s="21">
        <f>EXP(-LN(2)/25)*CL85+(1-EXP(-LN(2)/25))/(LN(2)/25)*Calculateur!CG86*Calculateur!CI86*VLOOKUP('Données projet'!$B$12,Paramètres!$A$1:$I$89,3,0)*0.475*44/12</f>
        <v>25.339245059037115</v>
      </c>
      <c r="CM86" s="21">
        <f>EXP(-LN(2)/2)*CM85+(1-EXP(-LN(2)/2))/(LN(2)/2)*CG86*CJ86*VLOOKUP('Données projet'!$B$12,Paramètres!$A$1:$I$89,3,0)*0.475*44/12</f>
        <v>1.1099916718085117E-2</v>
      </c>
      <c r="CN86" s="22">
        <f t="shared" si="66"/>
        <v>62.193343880322551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-5.1431925385259088E-14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320.93171542656671</v>
      </c>
      <c r="T87" s="59">
        <f t="shared" si="88"/>
        <v>452.7298965816143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19.690697131589999</v>
      </c>
      <c r="AA87" s="21">
        <f>EXP(-LN(2)/25)*AA86+(1-EXP(-LN(2)/25))/(LN(2)/25)*Calculateur!V87*Calculateur!X87*VLOOKUP('Données projet'!$B$9,Paramètres!$A$1:$I$89,3,0)*0.475*44/12</f>
        <v>7.2827643390848351</v>
      </c>
      <c r="AB87" s="21">
        <f>EXP(-LN(2)/2)*AB86+(1-EXP(-LN(2)/2))/(LN(2)/2)*V87*Y87*VLOOKUP('Données projet'!$B$9,Paramètres!$A$1:$I$89,3,0)*0.475*44/12</f>
        <v>7.2214833194254635E-5</v>
      </c>
      <c r="AC87" s="22">
        <f t="shared" si="57"/>
        <v>26.973533685508031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2.8421709430404007E-14</v>
      </c>
      <c r="AJ87" s="13">
        <f>AI87*VLOOKUP('Données projet'!$B$10,Paramètres!$A$1:$I$89,3,0)*VLOOKUP('Données projet'!$B$10,Paramètres!$A$1:$I$89,5,0)</f>
        <v>2.4829205358400945E-14</v>
      </c>
      <c r="AK87" s="13">
        <f t="shared" si="89"/>
        <v>4.3867331143352915E-13</v>
      </c>
      <c r="AL87" s="20">
        <f t="shared" si="58"/>
        <v>8.0726688341261168E-13</v>
      </c>
      <c r="AM87" s="59">
        <f t="shared" si="59"/>
        <v>293.33333333333411</v>
      </c>
      <c r="AN87" s="59">
        <f ca="1">AVERAGE(OFFSET($AM$3,0,0,'Données projet'!$E$10+1,1))-AVERAGE(OFFSET($H$3,0,0,'Données projet'!$E$10+1,1))</f>
        <v>201.61452816909701</v>
      </c>
      <c r="AO87" s="59">
        <f t="shared" si="90"/>
        <v>287.77679930887746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33.071223797503755</v>
      </c>
      <c r="AV87" s="21">
        <f>EXP(-LN(2)/25)*AV86+(1-EXP(-LN(2)/25))/(LN(2)/25)*Calculateur!AQ87*Calculateur!AS87*VLOOKUP('Données projet'!$B$10,Paramètres!$A$1:$I$89,3,0)*0.475*44/12</f>
        <v>21.960485233837154</v>
      </c>
      <c r="AW87" s="21">
        <f>EXP(-LN(2)/2)*AW86+(1-EXP(-LN(2)/2))/(LN(2)/2)*AQ87*AT87*VLOOKUP('Données projet'!$B$10,Paramètres!$A$1:$I$89,3,0)*0.475*44/12</f>
        <v>9.0937584129407306E-3</v>
      </c>
      <c r="AX87" s="21">
        <f t="shared" si="60"/>
        <v>55.040802789753847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-3.3992364478763198E-14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225.63994281336028</v>
      </c>
      <c r="BJ87" s="59">
        <f t="shared" si="92"/>
        <v>231.19476400361157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65.432140559660425</v>
      </c>
      <c r="BQ87" s="21">
        <f>EXP(-LN(2)/25)*BQ86+(1-EXP(-LN(2)/25))/(LN(2)/25)*Calculateur!BL87*Calculateur!BN87*VLOOKUP('Données projet'!$B$11,Paramètres!$A$1:$I$89,3,0)*0.475*44/12</f>
        <v>44.108828948889574</v>
      </c>
      <c r="BR87" s="21">
        <f>EXP(-LN(2)/2)*BR86+(1-EXP(-LN(2)/2))/(LN(2)/2)*BL87*BO87*VLOOKUP('Données projet'!$B$11,Paramètres!$A$1:$I$89,3,0)*0.475*44/12</f>
        <v>0.13227430177146138</v>
      </c>
      <c r="BS87" s="22">
        <f t="shared" si="63"/>
        <v>109.67324381032147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2.6602720026858149E-14</v>
      </c>
      <c r="CA87" s="13">
        <f t="shared" si="93"/>
        <v>4.6624771586320878E-13</v>
      </c>
      <c r="CB87" s="20">
        <f t="shared" si="64"/>
        <v>8.583811758418665E-13</v>
      </c>
      <c r="CC87" s="59">
        <f t="shared" si="65"/>
        <v>293.33333333333417</v>
      </c>
      <c r="CD87" s="59">
        <f ca="1">AVERAGE(OFFSET($CC$3,0,0,'Données projet'!$E$12+1,1))-AVERAGE(OFFSET($H$3,0,0,'Données projet'!$E$12+1,1))</f>
        <v>111.69585394603672</v>
      </c>
      <c r="CE87" s="59">
        <f t="shared" si="94"/>
        <v>162.6701214629764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36.12053016805919</v>
      </c>
      <c r="CL87" s="21">
        <f>EXP(-LN(2)/25)*CL86+(1-EXP(-LN(2)/25))/(LN(2)/25)*Calculateur!CG87*Calculateur!CI87*VLOOKUP('Données projet'!$B$12,Paramètres!$A$1:$I$89,3,0)*0.475*44/12</f>
        <v>24.64634207036476</v>
      </c>
      <c r="CM87" s="21">
        <f>EXP(-LN(2)/2)*CM86+(1-EXP(-LN(2)/2))/(LN(2)/2)*CG87*CJ87*VLOOKUP('Données projet'!$B$12,Paramètres!$A$1:$I$89,3,0)*0.475*44/12</f>
        <v>7.8488263819639133E-3</v>
      </c>
      <c r="CN87" s="22">
        <f t="shared" si="66"/>
        <v>60.774721064805917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-5.1431925385259088E-14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320.93171542656671</v>
      </c>
      <c r="T88" s="59">
        <f t="shared" si="88"/>
        <v>452.7298965816143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19.304574570978868</v>
      </c>
      <c r="AA88" s="21">
        <f>EXP(-LN(2)/25)*AA87+(1-EXP(-LN(2)/25))/(LN(2)/25)*Calculateur!V88*Calculateur!X88*VLOOKUP('Données projet'!$B$9,Paramètres!$A$1:$I$89,3,0)*0.475*44/12</f>
        <v>7.083616765248629</v>
      </c>
      <c r="AB88" s="21">
        <f>EXP(-LN(2)/2)*AB87+(1-EXP(-LN(2)/2))/(LN(2)/2)*V88*Y88*VLOOKUP('Données projet'!$B$9,Paramètres!$A$1:$I$89,3,0)*0.475*44/12</f>
        <v>5.1063598253912842E-5</v>
      </c>
      <c r="AC88" s="22">
        <f t="shared" si="57"/>
        <v>26.388242399825749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2.8421709430404007E-14</v>
      </c>
      <c r="AJ88" s="13">
        <f>AI88*VLOOKUP('Données projet'!$B$10,Paramètres!$A$1:$I$89,3,0)*VLOOKUP('Données projet'!$B$10,Paramètres!$A$1:$I$89,5,0)</f>
        <v>2.4829205358400945E-14</v>
      </c>
      <c r="AK88" s="13">
        <f t="shared" si="89"/>
        <v>4.3867331143352915E-13</v>
      </c>
      <c r="AL88" s="20">
        <f t="shared" si="58"/>
        <v>8.0726688341261168E-13</v>
      </c>
      <c r="AM88" s="59">
        <f t="shared" si="59"/>
        <v>293.33333333333411</v>
      </c>
      <c r="AN88" s="59">
        <f ca="1">AVERAGE(OFFSET($AM$3,0,0,'Données projet'!$E$10+1,1))-AVERAGE(OFFSET($H$3,0,0,'Données projet'!$E$10+1,1))</f>
        <v>201.61452816909701</v>
      </c>
      <c r="AO88" s="59">
        <f t="shared" si="90"/>
        <v>287.77679930887746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32.422717270289461</v>
      </c>
      <c r="AV88" s="21">
        <f>EXP(-LN(2)/25)*AV87+(1-EXP(-LN(2)/25))/(LN(2)/25)*Calculateur!AQ88*Calculateur!AS88*VLOOKUP('Données projet'!$B$10,Paramètres!$A$1:$I$89,3,0)*0.475*44/12</f>
        <v>21.35997461026615</v>
      </c>
      <c r="AW88" s="21">
        <f>EXP(-LN(2)/2)*AW87+(1-EXP(-LN(2)/2))/(LN(2)/2)*AQ88*AT88*VLOOKUP('Données projet'!$B$10,Paramètres!$A$1:$I$89,3,0)*0.475*44/12</f>
        <v>6.430258240262607E-3</v>
      </c>
      <c r="AX88" s="21">
        <f t="shared" si="60"/>
        <v>53.789122138795875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-3.3992364478763198E-14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225.63994281336028</v>
      </c>
      <c r="BJ88" s="59">
        <f t="shared" si="92"/>
        <v>231.19476400361157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64.149056192950468</v>
      </c>
      <c r="BQ88" s="21">
        <f>EXP(-LN(2)/25)*BQ87+(1-EXP(-LN(2)/25))/(LN(2)/25)*Calculateur!BL88*Calculateur!BN88*VLOOKUP('Données projet'!$B$11,Paramètres!$A$1:$I$89,3,0)*0.475*44/12</f>
        <v>42.902670701699684</v>
      </c>
      <c r="BR88" s="21">
        <f>EXP(-LN(2)/2)*BR87+(1-EXP(-LN(2)/2))/(LN(2)/2)*BL88*BO88*VLOOKUP('Données projet'!$B$11,Paramètres!$A$1:$I$89,3,0)*0.475*44/12</f>
        <v>9.3532055759316099E-2</v>
      </c>
      <c r="BS88" s="22">
        <f t="shared" si="63"/>
        <v>107.14525895040947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2.6602720026858149E-14</v>
      </c>
      <c r="CA88" s="13">
        <f t="shared" si="93"/>
        <v>4.6624771586320878E-13</v>
      </c>
      <c r="CB88" s="20">
        <f t="shared" si="64"/>
        <v>8.583811758418665E-13</v>
      </c>
      <c r="CC88" s="59">
        <f t="shared" si="65"/>
        <v>293.33333333333417</v>
      </c>
      <c r="CD88" s="59">
        <f ca="1">AVERAGE(OFFSET($CC$3,0,0,'Données projet'!$E$12+1,1))-AVERAGE(OFFSET($H$3,0,0,'Données projet'!$E$12+1,1))</f>
        <v>111.69585394603672</v>
      </c>
      <c r="CE88" s="59">
        <f t="shared" si="94"/>
        <v>162.6701214629764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35.412228602811538</v>
      </c>
      <c r="CL88" s="21">
        <f>EXP(-LN(2)/25)*CL87+(1-EXP(-LN(2)/25))/(LN(2)/25)*Calculateur!CG88*Calculateur!CI88*VLOOKUP('Données projet'!$B$12,Paramètres!$A$1:$I$89,3,0)*0.475*44/12</f>
        <v>23.972386550355836</v>
      </c>
      <c r="CM88" s="21">
        <f>EXP(-LN(2)/2)*CM87+(1-EXP(-LN(2)/2))/(LN(2)/2)*CG88*CJ88*VLOOKUP('Données projet'!$B$12,Paramètres!$A$1:$I$89,3,0)*0.475*44/12</f>
        <v>5.5499583590425585E-3</v>
      </c>
      <c r="CN88" s="22">
        <f t="shared" si="66"/>
        <v>59.390165111526414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-5.1431925385259088E-14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320.93171542656671</v>
      </c>
      <c r="T89" s="59">
        <f t="shared" si="88"/>
        <v>452.7298965816143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18.926023638269815</v>
      </c>
      <c r="AA89" s="21">
        <f>EXP(-LN(2)/25)*AA88+(1-EXP(-LN(2)/25))/(LN(2)/25)*Calculateur!V89*Calculateur!X89*VLOOKUP('Données projet'!$B$9,Paramètres!$A$1:$I$89,3,0)*0.475*44/12</f>
        <v>6.8899148922916895</v>
      </c>
      <c r="AB89" s="21">
        <f>EXP(-LN(2)/2)*AB88+(1-EXP(-LN(2)/2))/(LN(2)/2)*V89*Y89*VLOOKUP('Données projet'!$B$9,Paramètres!$A$1:$I$89,3,0)*0.475*44/12</f>
        <v>3.6107416597127318E-5</v>
      </c>
      <c r="AC89" s="22">
        <f t="shared" si="57"/>
        <v>25.815974637978101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2.8421709430404007E-14</v>
      </c>
      <c r="AJ89" s="13">
        <f>AI89*VLOOKUP('Données projet'!$B$10,Paramètres!$A$1:$I$89,3,0)*VLOOKUP('Données projet'!$B$10,Paramètres!$A$1:$I$89,5,0)</f>
        <v>2.4829205358400945E-14</v>
      </c>
      <c r="AK89" s="13">
        <f t="shared" si="89"/>
        <v>4.3867331143352915E-13</v>
      </c>
      <c r="AL89" s="20">
        <f t="shared" si="58"/>
        <v>8.0726688341261168E-13</v>
      </c>
      <c r="AM89" s="59">
        <f t="shared" si="59"/>
        <v>293.33333333333411</v>
      </c>
      <c r="AN89" s="59">
        <f ca="1">AVERAGE(OFFSET($AM$3,0,0,'Données projet'!$E$10+1,1))-AVERAGE(OFFSET($H$3,0,0,'Données projet'!$E$10+1,1))</f>
        <v>201.61452816909701</v>
      </c>
      <c r="AO89" s="59">
        <f t="shared" si="90"/>
        <v>287.77679930887746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31.78692756052391</v>
      </c>
      <c r="AV89" s="21">
        <f>EXP(-LN(2)/25)*AV88+(1-EXP(-LN(2)/25))/(LN(2)/25)*Calculateur!AQ89*Calculateur!AS89*VLOOKUP('Données projet'!$B$10,Paramètres!$A$1:$I$89,3,0)*0.475*44/12</f>
        <v>20.775884981276175</v>
      </c>
      <c r="AW89" s="21">
        <f>EXP(-LN(2)/2)*AW88+(1-EXP(-LN(2)/2))/(LN(2)/2)*AQ89*AT89*VLOOKUP('Données projet'!$B$10,Paramètres!$A$1:$I$89,3,0)*0.475*44/12</f>
        <v>4.5468792064703653E-3</v>
      </c>
      <c r="AX89" s="21">
        <f t="shared" si="60"/>
        <v>52.567359421006557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-3.3992364478763198E-14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225.63994281336028</v>
      </c>
      <c r="BJ89" s="59">
        <f t="shared" si="92"/>
        <v>231.19476400361157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62.891132328067513</v>
      </c>
      <c r="BQ89" s="21">
        <f>EXP(-LN(2)/25)*BQ88+(1-EXP(-LN(2)/25))/(LN(2)/25)*Calculateur!BL89*Calculateur!BN89*VLOOKUP('Données projet'!$B$11,Paramètres!$A$1:$I$89,3,0)*0.475*44/12</f>
        <v>41.729494915208306</v>
      </c>
      <c r="BR89" s="21">
        <f>EXP(-LN(2)/2)*BR88+(1-EXP(-LN(2)/2))/(LN(2)/2)*BL89*BO89*VLOOKUP('Données projet'!$B$11,Paramètres!$A$1:$I$89,3,0)*0.475*44/12</f>
        <v>6.6137150885730689E-2</v>
      </c>
      <c r="BS89" s="22">
        <f t="shared" si="63"/>
        <v>104.68676439416156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2.6602720026858149E-14</v>
      </c>
      <c r="CA89" s="13">
        <f t="shared" si="93"/>
        <v>4.6624771586320878E-13</v>
      </c>
      <c r="CB89" s="20">
        <f t="shared" si="64"/>
        <v>8.583811758418665E-13</v>
      </c>
      <c r="CC89" s="59">
        <f t="shared" si="65"/>
        <v>293.33333333333417</v>
      </c>
      <c r="CD89" s="59">
        <f ca="1">AVERAGE(OFFSET($CC$3,0,0,'Données projet'!$E$12+1,1))-AVERAGE(OFFSET($H$3,0,0,'Données projet'!$E$12+1,1))</f>
        <v>111.69585394603672</v>
      </c>
      <c r="CE89" s="59">
        <f t="shared" si="94"/>
        <v>162.6701214629764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34.717816399237094</v>
      </c>
      <c r="CL89" s="21">
        <f>EXP(-LN(2)/25)*CL88+(1-EXP(-LN(2)/25))/(LN(2)/25)*Calculateur!CG89*Calculateur!CI89*VLOOKUP('Données projet'!$B$12,Paramètres!$A$1:$I$89,3,0)*0.475*44/12</f>
        <v>23.316860379483337</v>
      </c>
      <c r="CM89" s="21">
        <f>EXP(-LN(2)/2)*CM88+(1-EXP(-LN(2)/2))/(LN(2)/2)*CG89*CJ89*VLOOKUP('Données projet'!$B$12,Paramètres!$A$1:$I$89,3,0)*0.475*44/12</f>
        <v>3.9244131909819567E-3</v>
      </c>
      <c r="CN89" s="22">
        <f t="shared" si="66"/>
        <v>58.038601191911411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-5.1431925385259088E-14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320.93171542656671</v>
      </c>
      <c r="T90" s="59">
        <f t="shared" si="88"/>
        <v>452.7298965816143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18.554895858457915</v>
      </c>
      <c r="AA90" s="21">
        <f>EXP(-LN(2)/25)*AA89+(1-EXP(-LN(2)/25))/(LN(2)/25)*Calculateur!V90*Calculateur!X90*VLOOKUP('Données projet'!$B$9,Paramètres!$A$1:$I$89,3,0)*0.475*44/12</f>
        <v>6.7015098072370964</v>
      </c>
      <c r="AB90" s="21">
        <f>EXP(-LN(2)/2)*AB89+(1-EXP(-LN(2)/2))/(LN(2)/2)*V90*Y90*VLOOKUP('Données projet'!$B$9,Paramètres!$A$1:$I$89,3,0)*0.475*44/12</f>
        <v>2.5531799126956421E-5</v>
      </c>
      <c r="AC90" s="22">
        <f t="shared" si="57"/>
        <v>25.256431197494141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2.8421709430404007E-14</v>
      </c>
      <c r="AJ90" s="13">
        <f>AI90*VLOOKUP('Données projet'!$B$10,Paramètres!$A$1:$I$89,3,0)*VLOOKUP('Données projet'!$B$10,Paramètres!$A$1:$I$89,5,0)</f>
        <v>2.4829205358400945E-14</v>
      </c>
      <c r="AK90" s="13">
        <f t="shared" si="89"/>
        <v>4.3867331143352915E-13</v>
      </c>
      <c r="AL90" s="20">
        <f t="shared" si="58"/>
        <v>8.0726688341261168E-13</v>
      </c>
      <c r="AM90" s="59">
        <f t="shared" si="59"/>
        <v>293.33333333333411</v>
      </c>
      <c r="AN90" s="59">
        <f ca="1">AVERAGE(OFFSET($AM$3,0,0,'Données projet'!$E$10+1,1))-AVERAGE(OFFSET($H$3,0,0,'Données projet'!$E$10+1,1))</f>
        <v>201.61452816909701</v>
      </c>
      <c r="AO90" s="59">
        <f t="shared" si="90"/>
        <v>287.77679930887746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31.163605299173433</v>
      </c>
      <c r="AV90" s="21">
        <f>EXP(-LN(2)/25)*AV89+(1-EXP(-LN(2)/25))/(LN(2)/25)*Calculateur!AQ90*Calculateur!AS90*VLOOKUP('Données projet'!$B$10,Paramètres!$A$1:$I$89,3,0)*0.475*44/12</f>
        <v>20.207767313906871</v>
      </c>
      <c r="AW90" s="21">
        <f>EXP(-LN(2)/2)*AW89+(1-EXP(-LN(2)/2))/(LN(2)/2)*AQ90*AT90*VLOOKUP('Données projet'!$B$10,Paramètres!$A$1:$I$89,3,0)*0.475*44/12</f>
        <v>3.2151291201313035E-3</v>
      </c>
      <c r="AX90" s="21">
        <f t="shared" si="60"/>
        <v>51.374587742200433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-3.3992364478763198E-14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225.63994281336028</v>
      </c>
      <c r="BJ90" s="59">
        <f t="shared" si="92"/>
        <v>231.19476400361157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61.657875582917114</v>
      </c>
      <c r="BQ90" s="21">
        <f>EXP(-LN(2)/25)*BQ89+(1-EXP(-LN(2)/25))/(LN(2)/25)*Calculateur!BL90*Calculateur!BN90*VLOOKUP('Données projet'!$B$11,Paramètres!$A$1:$I$89,3,0)*0.475*44/12</f>
        <v>40.588399682293172</v>
      </c>
      <c r="BR90" s="21">
        <f>EXP(-LN(2)/2)*BR89+(1-EXP(-LN(2)/2))/(LN(2)/2)*BL90*BO90*VLOOKUP('Données projet'!$B$11,Paramètres!$A$1:$I$89,3,0)*0.475*44/12</f>
        <v>4.6766027879658049E-2</v>
      </c>
      <c r="BS90" s="22">
        <f t="shared" si="63"/>
        <v>102.29304129308994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2.6602720026858149E-14</v>
      </c>
      <c r="CA90" s="13">
        <f t="shared" si="93"/>
        <v>4.6624771586320878E-13</v>
      </c>
      <c r="CB90" s="20">
        <f t="shared" si="64"/>
        <v>8.583811758418665E-13</v>
      </c>
      <c r="CC90" s="59">
        <f t="shared" si="65"/>
        <v>293.33333333333417</v>
      </c>
      <c r="CD90" s="59">
        <f ca="1">AVERAGE(OFFSET($CC$3,0,0,'Données projet'!$E$12+1,1))-AVERAGE(OFFSET($H$3,0,0,'Données projet'!$E$12+1,1))</f>
        <v>111.69585394603672</v>
      </c>
      <c r="CE90" s="59">
        <f t="shared" si="94"/>
        <v>162.6701214629764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34.037021195425126</v>
      </c>
      <c r="CL90" s="21">
        <f>EXP(-LN(2)/25)*CL89+(1-EXP(-LN(2)/25))/(LN(2)/25)*Calculateur!CG90*Calculateur!CI90*VLOOKUP('Données projet'!$B$12,Paramètres!$A$1:$I$89,3,0)*0.475*44/12</f>
        <v>22.679259606225969</v>
      </c>
      <c r="CM90" s="21">
        <f>EXP(-LN(2)/2)*CM89+(1-EXP(-LN(2)/2))/(LN(2)/2)*CG90*CJ90*VLOOKUP('Données projet'!$B$12,Paramètres!$A$1:$I$89,3,0)*0.475*44/12</f>
        <v>2.7749791795212793E-3</v>
      </c>
      <c r="CN90" s="22">
        <f t="shared" si="66"/>
        <v>56.719055780830615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-5.1431925385259088E-14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320.93171542656671</v>
      </c>
      <c r="T91" s="59">
        <f t="shared" si="88"/>
        <v>452.7298965816143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18.191045668042531</v>
      </c>
      <c r="AA91" s="21">
        <f>EXP(-LN(2)/25)*AA90+(1-EXP(-LN(2)/25))/(LN(2)/25)*Calculateur!V91*Calculateur!X91*VLOOKUP('Données projet'!$B$9,Paramètres!$A$1:$I$89,3,0)*0.475*44/12</f>
        <v>6.5182566691411141</v>
      </c>
      <c r="AB91" s="21">
        <f>EXP(-LN(2)/2)*AB90+(1-EXP(-LN(2)/2))/(LN(2)/2)*V91*Y91*VLOOKUP('Données projet'!$B$9,Paramètres!$A$1:$I$89,3,0)*0.475*44/12</f>
        <v>1.8053708298563659E-5</v>
      </c>
      <c r="AC91" s="22">
        <f t="shared" si="57"/>
        <v>24.709320390891943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2.8421709430404007E-14</v>
      </c>
      <c r="AJ91" s="13">
        <f>AI91*VLOOKUP('Données projet'!$B$10,Paramètres!$A$1:$I$89,3,0)*VLOOKUP('Données projet'!$B$10,Paramètres!$A$1:$I$89,5,0)</f>
        <v>2.4829205358400945E-14</v>
      </c>
      <c r="AK91" s="13">
        <f t="shared" si="89"/>
        <v>4.3867331143352915E-13</v>
      </c>
      <c r="AL91" s="20">
        <f t="shared" si="58"/>
        <v>8.0726688341261168E-13</v>
      </c>
      <c r="AM91" s="59">
        <f t="shared" si="59"/>
        <v>293.33333333333411</v>
      </c>
      <c r="AN91" s="59">
        <f ca="1">AVERAGE(OFFSET($AM$3,0,0,'Données projet'!$E$10+1,1))-AVERAGE(OFFSET($H$3,0,0,'Données projet'!$E$10+1,1))</f>
        <v>201.61452816909701</v>
      </c>
      <c r="AO91" s="59">
        <f t="shared" si="90"/>
        <v>287.77679930887746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30.552506007178998</v>
      </c>
      <c r="AV91" s="21">
        <f>EXP(-LN(2)/25)*AV90+(1-EXP(-LN(2)/25))/(LN(2)/25)*Calculateur!AQ91*Calculateur!AS91*VLOOKUP('Données projet'!$B$10,Paramètres!$A$1:$I$89,3,0)*0.475*44/12</f>
        <v>19.655184854027791</v>
      </c>
      <c r="AW91" s="21">
        <f>EXP(-LN(2)/2)*AW90+(1-EXP(-LN(2)/2))/(LN(2)/2)*AQ91*AT91*VLOOKUP('Données projet'!$B$10,Paramètres!$A$1:$I$89,3,0)*0.475*44/12</f>
        <v>2.2734396032351827E-3</v>
      </c>
      <c r="AX91" s="21">
        <f t="shared" si="60"/>
        <v>50.209964300810022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-3.3992364478763198E-14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225.63994281336028</v>
      </c>
      <c r="BJ91" s="59">
        <f t="shared" si="92"/>
        <v>231.19476400361157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60.448802250326771</v>
      </c>
      <c r="BQ91" s="21">
        <f>EXP(-LN(2)/25)*BQ90+(1-EXP(-LN(2)/25))/(LN(2)/25)*Calculateur!BL91*Calculateur!BN91*VLOOKUP('Données projet'!$B$11,Paramètres!$A$1:$I$89,3,0)*0.475*44/12</f>
        <v>39.478507758529695</v>
      </c>
      <c r="BR91" s="21">
        <f>EXP(-LN(2)/2)*BR90+(1-EXP(-LN(2)/2))/(LN(2)/2)*BL91*BO91*VLOOKUP('Données projet'!$B$11,Paramètres!$A$1:$I$89,3,0)*0.475*44/12</f>
        <v>3.3068575442865344E-2</v>
      </c>
      <c r="BS91" s="22">
        <f t="shared" si="63"/>
        <v>99.960378584299335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2.6602720026858149E-14</v>
      </c>
      <c r="CA91" s="13">
        <f t="shared" si="93"/>
        <v>4.6624771586320878E-13</v>
      </c>
      <c r="CB91" s="20">
        <f t="shared" si="64"/>
        <v>8.583811758418665E-13</v>
      </c>
      <c r="CC91" s="59">
        <f t="shared" si="65"/>
        <v>293.33333333333417</v>
      </c>
      <c r="CD91" s="59">
        <f ca="1">AVERAGE(OFFSET($CC$3,0,0,'Données projet'!$E$12+1,1))-AVERAGE(OFFSET($H$3,0,0,'Données projet'!$E$12+1,1))</f>
        <v>111.69585394603672</v>
      </c>
      <c r="CE91" s="59">
        <f t="shared" si="94"/>
        <v>162.6701214629764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33.369575970315836</v>
      </c>
      <c r="CL91" s="21">
        <f>EXP(-LN(2)/25)*CL90+(1-EXP(-LN(2)/25))/(LN(2)/25)*Calculateur!CG91*Calculateur!CI91*VLOOKUP('Données projet'!$B$12,Paramètres!$A$1:$I$89,3,0)*0.475*44/12</f>
        <v>22.059094059643293</v>
      </c>
      <c r="CM91" s="21">
        <f>EXP(-LN(2)/2)*CM90+(1-EXP(-LN(2)/2))/(LN(2)/2)*CG91*CJ91*VLOOKUP('Données projet'!$B$12,Paramètres!$A$1:$I$89,3,0)*0.475*44/12</f>
        <v>1.9622065954909783E-3</v>
      </c>
      <c r="CN91" s="22">
        <f t="shared" si="66"/>
        <v>55.430632236554622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-5.1431925385259088E-14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320.93171542656671</v>
      </c>
      <c r="T92" s="59">
        <f t="shared" si="88"/>
        <v>452.7298965816143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17.834330357934491</v>
      </c>
      <c r="AA92" s="21">
        <f>EXP(-LN(2)/25)*AA91+(1-EXP(-LN(2)/25))/(LN(2)/25)*Calculateur!V92*Calculateur!X92*VLOOKUP('Données projet'!$B$9,Paramètres!$A$1:$I$89,3,0)*0.475*44/12</f>
        <v>6.3400145977432301</v>
      </c>
      <c r="AB92" s="21">
        <f>EXP(-LN(2)/2)*AB91+(1-EXP(-LN(2)/2))/(LN(2)/2)*V92*Y92*VLOOKUP('Données projet'!$B$9,Paramètres!$A$1:$I$89,3,0)*0.475*44/12</f>
        <v>1.276589956347821E-5</v>
      </c>
      <c r="AC92" s="22">
        <f t="shared" si="57"/>
        <v>24.174357721577284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2.8421709430404007E-14</v>
      </c>
      <c r="AJ92" s="13">
        <f>AI92*VLOOKUP('Données projet'!$B$10,Paramètres!$A$1:$I$89,3,0)*VLOOKUP('Données projet'!$B$10,Paramètres!$A$1:$I$89,5,0)</f>
        <v>2.4829205358400945E-14</v>
      </c>
      <c r="AK92" s="13">
        <f t="shared" si="89"/>
        <v>4.3867331143352915E-13</v>
      </c>
      <c r="AL92" s="20">
        <f t="shared" si="58"/>
        <v>8.0726688341261168E-13</v>
      </c>
      <c r="AM92" s="59">
        <f t="shared" si="59"/>
        <v>293.33333333333411</v>
      </c>
      <c r="AN92" s="59">
        <f ca="1">AVERAGE(OFFSET($AM$3,0,0,'Données projet'!$E$10+1,1))-AVERAGE(OFFSET($H$3,0,0,'Données projet'!$E$10+1,1))</f>
        <v>201.61452816909701</v>
      </c>
      <c r="AO92" s="59">
        <f t="shared" si="90"/>
        <v>287.77679930887746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29.953389999566809</v>
      </c>
      <c r="AV92" s="21">
        <f>EXP(-LN(2)/25)*AV91+(1-EXP(-LN(2)/25))/(LN(2)/25)*Calculateur!AQ92*Calculateur!AS92*VLOOKUP('Données projet'!$B$10,Paramètres!$A$1:$I$89,3,0)*0.475*44/12</f>
        <v>19.117712790573151</v>
      </c>
      <c r="AW92" s="21">
        <f>EXP(-LN(2)/2)*AW91+(1-EXP(-LN(2)/2))/(LN(2)/2)*AQ92*AT92*VLOOKUP('Données projet'!$B$10,Paramètres!$A$1:$I$89,3,0)*0.475*44/12</f>
        <v>1.6075645600656518E-3</v>
      </c>
      <c r="AX92" s="21">
        <f t="shared" si="60"/>
        <v>49.072710354700028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-3.3992364478763198E-14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225.63994281336028</v>
      </c>
      <c r="BJ92" s="59">
        <f t="shared" si="92"/>
        <v>231.19476400361157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59.263438108326611</v>
      </c>
      <c r="BQ92" s="21">
        <f>EXP(-LN(2)/25)*BQ91+(1-EXP(-LN(2)/25))/(LN(2)/25)*Calculateur!BL92*Calculateur!BN92*VLOOKUP('Données projet'!$B$11,Paramètres!$A$1:$I$89,3,0)*0.475*44/12</f>
        <v>38.398965887788208</v>
      </c>
      <c r="BR92" s="21">
        <f>EXP(-LN(2)/2)*BR91+(1-EXP(-LN(2)/2))/(LN(2)/2)*BL92*BO92*VLOOKUP('Données projet'!$B$11,Paramètres!$A$1:$I$89,3,0)*0.475*44/12</f>
        <v>2.3383013939829025E-2</v>
      </c>
      <c r="BS92" s="22">
        <f t="shared" si="63"/>
        <v>97.685787010054653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2.6602720026858149E-14</v>
      </c>
      <c r="CA92" s="13">
        <f t="shared" si="93"/>
        <v>4.6624771586320878E-13</v>
      </c>
      <c r="CB92" s="20">
        <f t="shared" si="64"/>
        <v>8.583811758418665E-13</v>
      </c>
      <c r="CC92" s="59">
        <f t="shared" si="65"/>
        <v>293.33333333333417</v>
      </c>
      <c r="CD92" s="59">
        <f ca="1">AVERAGE(OFFSET($CC$3,0,0,'Données projet'!$E$12+1,1))-AVERAGE(OFFSET($H$3,0,0,'Données projet'!$E$12+1,1))</f>
        <v>111.69585394603672</v>
      </c>
      <c r="CE92" s="59">
        <f t="shared" si="94"/>
        <v>162.6701214629764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32.715218938969549</v>
      </c>
      <c r="CL92" s="21">
        <f>EXP(-LN(2)/25)*CL91+(1-EXP(-LN(2)/25))/(LN(2)/25)*Calculateur!CG92*Calculateur!CI92*VLOOKUP('Données projet'!$B$12,Paramètres!$A$1:$I$89,3,0)*0.475*44/12</f>
        <v>21.455886972545006</v>
      </c>
      <c r="CM92" s="21">
        <f>EXP(-LN(2)/2)*CM91+(1-EXP(-LN(2)/2))/(LN(2)/2)*CG92*CJ92*VLOOKUP('Données projet'!$B$12,Paramètres!$A$1:$I$89,3,0)*0.475*44/12</f>
        <v>1.3874895897606396E-3</v>
      </c>
      <c r="CN92" s="22">
        <f t="shared" si="66"/>
        <v>54.172493401104319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-5.1431925385259088E-14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320.93171542656671</v>
      </c>
      <c r="T93" s="59">
        <f t="shared" si="88"/>
        <v>452.7298965816143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17.484610017482812</v>
      </c>
      <c r="AA93" s="21">
        <f>EXP(-LN(2)/25)*AA92+(1-EXP(-LN(2)/25))/(LN(2)/25)*Calculateur!V93*Calculateur!X93*VLOOKUP('Données projet'!$B$9,Paramètres!$A$1:$I$89,3,0)*0.475*44/12</f>
        <v>6.1666465651610638</v>
      </c>
      <c r="AB93" s="21">
        <f>EXP(-LN(2)/2)*AB92+(1-EXP(-LN(2)/2))/(LN(2)/2)*V93*Y93*VLOOKUP('Données projet'!$B$9,Paramètres!$A$1:$I$89,3,0)*0.475*44/12</f>
        <v>9.0268541492818294E-6</v>
      </c>
      <c r="AC93" s="22">
        <f t="shared" si="57"/>
        <v>23.651265609498022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2.8421709430404007E-14</v>
      </c>
      <c r="AJ93" s="13">
        <f>AI93*VLOOKUP('Données projet'!$B$10,Paramètres!$A$1:$I$89,3,0)*VLOOKUP('Données projet'!$B$10,Paramètres!$A$1:$I$89,5,0)</f>
        <v>2.4829205358400945E-14</v>
      </c>
      <c r="AK93" s="13">
        <f t="shared" si="89"/>
        <v>4.3867331143352915E-13</v>
      </c>
      <c r="AL93" s="20">
        <f t="shared" si="58"/>
        <v>8.0726688341261168E-13</v>
      </c>
      <c r="AM93" s="59">
        <f t="shared" si="59"/>
        <v>293.33333333333411</v>
      </c>
      <c r="AN93" s="59">
        <f ca="1">AVERAGE(OFFSET($AM$3,0,0,'Données projet'!$E$10+1,1))-AVERAGE(OFFSET($H$3,0,0,'Données projet'!$E$10+1,1))</f>
        <v>201.61452816909701</v>
      </c>
      <c r="AO93" s="59">
        <f t="shared" si="90"/>
        <v>287.77679930887746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29.366022291439215</v>
      </c>
      <c r="AV93" s="21">
        <f>EXP(-LN(2)/25)*AV92+(1-EXP(-LN(2)/25))/(LN(2)/25)*Calculateur!AQ93*Calculateur!AS93*VLOOKUP('Données projet'!$B$10,Paramètres!$A$1:$I$89,3,0)*0.475*44/12</f>
        <v>18.594937928958107</v>
      </c>
      <c r="AW93" s="21">
        <f>EXP(-LN(2)/2)*AW92+(1-EXP(-LN(2)/2))/(LN(2)/2)*AQ93*AT93*VLOOKUP('Données projet'!$B$10,Paramètres!$A$1:$I$89,3,0)*0.475*44/12</f>
        <v>1.1367198016175913E-3</v>
      </c>
      <c r="AX93" s="21">
        <f t="shared" si="60"/>
        <v>47.96209694019894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-3.3992364478763198E-14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225.63994281336028</v>
      </c>
      <c r="BJ93" s="59">
        <f t="shared" si="92"/>
        <v>231.19476400361157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58.101318234150341</v>
      </c>
      <c r="BQ93" s="21">
        <f>EXP(-LN(2)/25)*BQ92+(1-EXP(-LN(2)/25))/(LN(2)/25)*Calculateur!BL93*Calculateur!BN93*VLOOKUP('Données projet'!$B$11,Paramètres!$A$1:$I$89,3,0)*0.475*44/12</f>
        <v>37.348944146272785</v>
      </c>
      <c r="BR93" s="21">
        <f>EXP(-LN(2)/2)*BR92+(1-EXP(-LN(2)/2))/(LN(2)/2)*BL93*BO93*VLOOKUP('Données projet'!$B$11,Paramètres!$A$1:$I$89,3,0)*0.475*44/12</f>
        <v>1.6534287721432672E-2</v>
      </c>
      <c r="BS93" s="22">
        <f t="shared" si="63"/>
        <v>95.466796668144553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2.6602720026858149E-14</v>
      </c>
      <c r="CA93" s="13">
        <f t="shared" si="93"/>
        <v>4.6624771586320878E-13</v>
      </c>
      <c r="CB93" s="20">
        <f t="shared" si="64"/>
        <v>8.583811758418665E-13</v>
      </c>
      <c r="CC93" s="59">
        <f t="shared" si="65"/>
        <v>293.33333333333417</v>
      </c>
      <c r="CD93" s="59">
        <f ca="1">AVERAGE(OFFSET($CC$3,0,0,'Données projet'!$E$12+1,1))-AVERAGE(OFFSET($H$3,0,0,'Données projet'!$E$12+1,1))</f>
        <v>111.69585394603672</v>
      </c>
      <c r="CE93" s="59">
        <f t="shared" si="94"/>
        <v>162.6701214629764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32.073693449889582</v>
      </c>
      <c r="CL93" s="21">
        <f>EXP(-LN(2)/25)*CL92+(1-EXP(-LN(2)/25))/(LN(2)/25)*Calculateur!CG93*Calculateur!CI93*VLOOKUP('Données projet'!$B$12,Paramètres!$A$1:$I$89,3,0)*0.475*44/12</f>
        <v>20.869174614964706</v>
      </c>
      <c r="CM93" s="21">
        <f>EXP(-LN(2)/2)*CM92+(1-EXP(-LN(2)/2))/(LN(2)/2)*CG93*CJ93*VLOOKUP('Données projet'!$B$12,Paramètres!$A$1:$I$89,3,0)*0.475*44/12</f>
        <v>9.8110329774548917E-4</v>
      </c>
      <c r="CN93" s="22">
        <f t="shared" si="66"/>
        <v>52.943849168152035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-5.1431925385259088E-14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320.93171542656671</v>
      </c>
      <c r="T94" s="59">
        <f t="shared" si="88"/>
        <v>452.7298965816143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17.141747479599047</v>
      </c>
      <c r="AA94" s="21">
        <f>EXP(-LN(2)/25)*AA93+(1-EXP(-LN(2)/25))/(LN(2)/25)*Calculateur!V94*Calculateur!X94*VLOOKUP('Données projet'!$B$9,Paramètres!$A$1:$I$89,3,0)*0.475*44/12</f>
        <v>5.9980192905468854</v>
      </c>
      <c r="AB94" s="21">
        <f>EXP(-LN(2)/2)*AB93+(1-EXP(-LN(2)/2))/(LN(2)/2)*V94*Y94*VLOOKUP('Données projet'!$B$9,Paramètres!$A$1:$I$89,3,0)*0.475*44/12</f>
        <v>6.3829497817391052E-6</v>
      </c>
      <c r="AC94" s="22">
        <f t="shared" si="57"/>
        <v>23.139773153095714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2.8421709430404007E-14</v>
      </c>
      <c r="AJ94" s="13">
        <f>AI94*VLOOKUP('Données projet'!$B$10,Paramètres!$A$1:$I$89,3,0)*VLOOKUP('Données projet'!$B$10,Paramètres!$A$1:$I$89,5,0)</f>
        <v>2.4829205358400945E-14</v>
      </c>
      <c r="AK94" s="13">
        <f t="shared" si="89"/>
        <v>4.3867331143352915E-13</v>
      </c>
      <c r="AL94" s="20">
        <f t="shared" si="58"/>
        <v>8.0726688341261168E-13</v>
      </c>
      <c r="AM94" s="59">
        <f t="shared" si="59"/>
        <v>293.33333333333411</v>
      </c>
      <c r="AN94" s="59">
        <f ca="1">AVERAGE(OFFSET($AM$3,0,0,'Données projet'!$E$10+1,1))-AVERAGE(OFFSET($H$3,0,0,'Données projet'!$E$10+1,1))</f>
        <v>201.61452816909701</v>
      </c>
      <c r="AO94" s="59">
        <f t="shared" si="90"/>
        <v>287.77679930887746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28.790172505809075</v>
      </c>
      <c r="AV94" s="21">
        <f>EXP(-LN(2)/25)*AV93+(1-EXP(-LN(2)/25))/(LN(2)/25)*Calculateur!AQ94*Calculateur!AS94*VLOOKUP('Données projet'!$B$10,Paramètres!$A$1:$I$89,3,0)*0.475*44/12</f>
        <v>18.086458373425462</v>
      </c>
      <c r="AW94" s="21">
        <f>EXP(-LN(2)/2)*AW93+(1-EXP(-LN(2)/2))/(LN(2)/2)*AQ94*AT94*VLOOKUP('Données projet'!$B$10,Paramètres!$A$1:$I$89,3,0)*0.475*44/12</f>
        <v>8.0378228003282588E-4</v>
      </c>
      <c r="AX94" s="21">
        <f t="shared" si="60"/>
        <v>46.87743466151457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-3.3992364478763198E-14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225.63994281336028</v>
      </c>
      <c r="BJ94" s="59">
        <f t="shared" si="92"/>
        <v>231.19476400361157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56.961986821883535</v>
      </c>
      <c r="BQ94" s="21">
        <f>EXP(-LN(2)/25)*BQ93+(1-EXP(-LN(2)/25))/(LN(2)/25)*Calculateur!BL94*Calculateur!BN94*VLOOKUP('Données projet'!$B$11,Paramètres!$A$1:$I$89,3,0)*0.475*44/12</f>
        <v>36.327635304497349</v>
      </c>
      <c r="BR94" s="21">
        <f>EXP(-LN(2)/2)*BR93+(1-EXP(-LN(2)/2))/(LN(2)/2)*BL94*BO94*VLOOKUP('Données projet'!$B$11,Paramètres!$A$1:$I$89,3,0)*0.475*44/12</f>
        <v>1.1691506969914512E-2</v>
      </c>
      <c r="BS94" s="22">
        <f t="shared" si="63"/>
        <v>93.301313633350802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2.6602720026858149E-14</v>
      </c>
      <c r="CA94" s="13">
        <f t="shared" si="93"/>
        <v>4.6624771586320878E-13</v>
      </c>
      <c r="CB94" s="20">
        <f t="shared" si="64"/>
        <v>8.583811758418665E-13</v>
      </c>
      <c r="CC94" s="59">
        <f t="shared" si="65"/>
        <v>293.33333333333417</v>
      </c>
      <c r="CD94" s="59">
        <f ca="1">AVERAGE(OFFSET($CC$3,0,0,'Données projet'!$E$12+1,1))-AVERAGE(OFFSET($H$3,0,0,'Données projet'!$E$12+1,1))</f>
        <v>111.69585394603672</v>
      </c>
      <c r="CE94" s="59">
        <f t="shared" si="94"/>
        <v>162.6701214629764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31.444747884358563</v>
      </c>
      <c r="CL94" s="21">
        <f>EXP(-LN(2)/25)*CL93+(1-EXP(-LN(2)/25))/(LN(2)/25)*Calculateur!CG94*Calculateur!CI94*VLOOKUP('Données projet'!$B$12,Paramètres!$A$1:$I$89,3,0)*0.475*44/12</f>
        <v>20.298505937656302</v>
      </c>
      <c r="CM94" s="21">
        <f>EXP(-LN(2)/2)*CM93+(1-EXP(-LN(2)/2))/(LN(2)/2)*CG94*CJ94*VLOOKUP('Données projet'!$B$12,Paramètres!$A$1:$I$89,3,0)*0.475*44/12</f>
        <v>6.9374479488031981E-4</v>
      </c>
      <c r="CN94" s="22">
        <f t="shared" si="66"/>
        <v>51.743947566809744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-5.1431925385259088E-14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320.93171542656671</v>
      </c>
      <c r="T95" s="59">
        <f t="shared" si="88"/>
        <v>452.7298965816143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16.805608266957684</v>
      </c>
      <c r="AA95" s="21">
        <f>EXP(-LN(2)/25)*AA94+(1-EXP(-LN(2)/25))/(LN(2)/25)*Calculateur!V95*Calculateur!X95*VLOOKUP('Données projet'!$B$9,Paramètres!$A$1:$I$89,3,0)*0.475*44/12</f>
        <v>5.8340031376247552</v>
      </c>
      <c r="AB95" s="21">
        <f>EXP(-LN(2)/2)*AB94+(1-EXP(-LN(2)/2))/(LN(2)/2)*V95*Y95*VLOOKUP('Données projet'!$B$9,Paramètres!$A$1:$I$89,3,0)*0.475*44/12</f>
        <v>4.5134270746409147E-6</v>
      </c>
      <c r="AC95" s="22">
        <f t="shared" si="57"/>
        <v>22.639615918009515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2.8421709430404007E-14</v>
      </c>
      <c r="AJ95" s="13">
        <f>AI95*VLOOKUP('Données projet'!$B$10,Paramètres!$A$1:$I$89,3,0)*VLOOKUP('Données projet'!$B$10,Paramètres!$A$1:$I$89,5,0)</f>
        <v>2.4829205358400945E-14</v>
      </c>
      <c r="AK95" s="13">
        <f t="shared" si="89"/>
        <v>4.3867331143352915E-13</v>
      </c>
      <c r="AL95" s="20">
        <f t="shared" si="58"/>
        <v>8.0726688341261168E-13</v>
      </c>
      <c r="AM95" s="59">
        <f t="shared" si="59"/>
        <v>293.33333333333411</v>
      </c>
      <c r="AN95" s="59">
        <f ca="1">AVERAGE(OFFSET($AM$3,0,0,'Données projet'!$E$10+1,1))-AVERAGE(OFFSET($H$3,0,0,'Données projet'!$E$10+1,1))</f>
        <v>201.61452816909701</v>
      </c>
      <c r="AO95" s="59">
        <f t="shared" si="90"/>
        <v>287.77679930887746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28.225614783241454</v>
      </c>
      <c r="AV95" s="21">
        <f>EXP(-LN(2)/25)*AV94+(1-EXP(-LN(2)/25))/(LN(2)/25)*Calculateur!AQ95*Calculateur!AS95*VLOOKUP('Données projet'!$B$10,Paramètres!$A$1:$I$89,3,0)*0.475*44/12</f>
        <v>17.591883218078635</v>
      </c>
      <c r="AW95" s="21">
        <f>EXP(-LN(2)/2)*AW94+(1-EXP(-LN(2)/2))/(LN(2)/2)*AQ95*AT95*VLOOKUP('Données projet'!$B$10,Paramètres!$A$1:$I$89,3,0)*0.475*44/12</f>
        <v>5.6835990080879566E-4</v>
      </c>
      <c r="AX95" s="21">
        <f t="shared" si="60"/>
        <v>45.8180663612209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-3.3992364478763198E-14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225.63994281336028</v>
      </c>
      <c r="BJ95" s="59">
        <f t="shared" si="92"/>
        <v>231.19476400361157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55.844997003687737</v>
      </c>
      <c r="BQ95" s="21">
        <f>EXP(-LN(2)/25)*BQ94+(1-EXP(-LN(2)/25))/(LN(2)/25)*Calculateur!BL95*Calculateur!BN95*VLOOKUP('Données projet'!$B$11,Paramètres!$A$1:$I$89,3,0)*0.475*44/12</f>
        <v>35.334254206708557</v>
      </c>
      <c r="BR95" s="21">
        <f>EXP(-LN(2)/2)*BR94+(1-EXP(-LN(2)/2))/(LN(2)/2)*BL95*BO95*VLOOKUP('Données projet'!$B$11,Paramètres!$A$1:$I$89,3,0)*0.475*44/12</f>
        <v>8.2671438607163361E-3</v>
      </c>
      <c r="BS95" s="22">
        <f t="shared" si="63"/>
        <v>91.187518354257023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2.6602720026858149E-14</v>
      </c>
      <c r="CA95" s="13">
        <f t="shared" si="93"/>
        <v>4.6624771586320878E-13</v>
      </c>
      <c r="CB95" s="20">
        <f t="shared" si="64"/>
        <v>8.583811758418665E-13</v>
      </c>
      <c r="CC95" s="59">
        <f t="shared" si="65"/>
        <v>293.33333333333417</v>
      </c>
      <c r="CD95" s="59">
        <f ca="1">AVERAGE(OFFSET($CC$3,0,0,'Données projet'!$E$12+1,1))-AVERAGE(OFFSET($H$3,0,0,'Données projet'!$E$12+1,1))</f>
        <v>111.69585394603672</v>
      </c>
      <c r="CE95" s="59">
        <f t="shared" si="94"/>
        <v>162.6701214629764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30.828135557748691</v>
      </c>
      <c r="CL95" s="21">
        <f>EXP(-LN(2)/25)*CL94+(1-EXP(-LN(2)/25))/(LN(2)/25)*Calculateur!CG95*Calculateur!CI95*VLOOKUP('Données projet'!$B$12,Paramètres!$A$1:$I$89,3,0)*0.475*44/12</f>
        <v>19.743442225339056</v>
      </c>
      <c r="CM95" s="21">
        <f>EXP(-LN(2)/2)*CM94+(1-EXP(-LN(2)/2))/(LN(2)/2)*CG95*CJ95*VLOOKUP('Données projet'!$B$12,Paramètres!$A$1:$I$89,3,0)*0.475*44/12</f>
        <v>4.9055164887274458E-4</v>
      </c>
      <c r="CN95" s="22">
        <f t="shared" si="66"/>
        <v>50.57206833473662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-5.1431925385259088E-14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320.93171542656671</v>
      </c>
      <c r="T96" s="59">
        <f t="shared" si="88"/>
        <v>452.7298965816143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16.476060539251542</v>
      </c>
      <c r="AA96" s="21">
        <f>EXP(-LN(2)/25)*AA95+(1-EXP(-LN(2)/25))/(LN(2)/25)*Calculateur!V96*Calculateur!X96*VLOOKUP('Données projet'!$B$9,Paramètres!$A$1:$I$89,3,0)*0.475*44/12</f>
        <v>5.6744720150295151</v>
      </c>
      <c r="AB96" s="21">
        <f>EXP(-LN(2)/2)*AB95+(1-EXP(-LN(2)/2))/(LN(2)/2)*V96*Y96*VLOOKUP('Données projet'!$B$9,Paramètres!$A$1:$I$89,3,0)*0.475*44/12</f>
        <v>3.1914748908695526E-6</v>
      </c>
      <c r="AC96" s="22">
        <f t="shared" si="57"/>
        <v>22.150535745755949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2.8421709430404007E-14</v>
      </c>
      <c r="AJ96" s="13">
        <f>AI96*VLOOKUP('Données projet'!$B$10,Paramètres!$A$1:$I$89,3,0)*VLOOKUP('Données projet'!$B$10,Paramètres!$A$1:$I$89,5,0)</f>
        <v>2.4829205358400945E-14</v>
      </c>
      <c r="AK96" s="13">
        <f t="shared" si="89"/>
        <v>4.3867331143352915E-13</v>
      </c>
      <c r="AL96" s="20">
        <f t="shared" si="58"/>
        <v>8.0726688341261168E-13</v>
      </c>
      <c r="AM96" s="59">
        <f t="shared" si="59"/>
        <v>293.33333333333411</v>
      </c>
      <c r="AN96" s="59">
        <f ca="1">AVERAGE(OFFSET($AM$3,0,0,'Données projet'!$E$10+1,1))-AVERAGE(OFFSET($H$3,0,0,'Données projet'!$E$10+1,1))</f>
        <v>201.61452816909701</v>
      </c>
      <c r="AO96" s="59">
        <f t="shared" si="90"/>
        <v>287.77679930887746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27.672127693267175</v>
      </c>
      <c r="AV96" s="21">
        <f>EXP(-LN(2)/25)*AV95+(1-EXP(-LN(2)/25))/(LN(2)/25)*Calculateur!AQ96*Calculateur!AS96*VLOOKUP('Données projet'!$B$10,Paramètres!$A$1:$I$89,3,0)*0.475*44/12</f>
        <v>17.110832246363344</v>
      </c>
      <c r="AW96" s="21">
        <f>EXP(-LN(2)/2)*AW95+(1-EXP(-LN(2)/2))/(LN(2)/2)*AQ96*AT96*VLOOKUP('Données projet'!$B$10,Paramètres!$A$1:$I$89,3,0)*0.475*44/12</f>
        <v>4.0189114001641294E-4</v>
      </c>
      <c r="AX96" s="21">
        <f t="shared" si="60"/>
        <v>44.783361830770531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-3.3992364478763198E-14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225.63994281336028</v>
      </c>
      <c r="BJ96" s="59">
        <f t="shared" si="92"/>
        <v>231.19476400361157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54.749910674530241</v>
      </c>
      <c r="BQ96" s="21">
        <f>EXP(-LN(2)/25)*BQ95+(1-EXP(-LN(2)/25))/(LN(2)/25)*Calculateur!BL96*Calculateur!BN96*VLOOKUP('Données projet'!$B$11,Paramètres!$A$1:$I$89,3,0)*0.475*44/12</f>
        <v>34.368037167278437</v>
      </c>
      <c r="BR96" s="21">
        <f>EXP(-LN(2)/2)*BR95+(1-EXP(-LN(2)/2))/(LN(2)/2)*BL96*BO96*VLOOKUP('Données projet'!$B$11,Paramètres!$A$1:$I$89,3,0)*0.475*44/12</f>
        <v>5.8457534849572562E-3</v>
      </c>
      <c r="BS96" s="22">
        <f t="shared" si="63"/>
        <v>89.123793595293634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2.6602720026858149E-14</v>
      </c>
      <c r="CA96" s="13">
        <f t="shared" si="93"/>
        <v>4.6624771586320878E-13</v>
      </c>
      <c r="CB96" s="20">
        <f t="shared" si="64"/>
        <v>8.583811758418665E-13</v>
      </c>
      <c r="CC96" s="59">
        <f t="shared" si="65"/>
        <v>293.33333333333417</v>
      </c>
      <c r="CD96" s="59">
        <f ca="1">AVERAGE(OFFSET($CC$3,0,0,'Données projet'!$E$12+1,1))-AVERAGE(OFFSET($H$3,0,0,'Données projet'!$E$12+1,1))</f>
        <v>111.69585394603672</v>
      </c>
      <c r="CE96" s="59">
        <f t="shared" si="94"/>
        <v>162.6701214629764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30.223614622767258</v>
      </c>
      <c r="CL96" s="21">
        <f>EXP(-LN(2)/25)*CL95+(1-EXP(-LN(2)/25))/(LN(2)/25)*Calculateur!CG96*Calculateur!CI96*VLOOKUP('Données projet'!$B$12,Paramètres!$A$1:$I$89,3,0)*0.475*44/12</f>
        <v>19.203556759424657</v>
      </c>
      <c r="CM96" s="21">
        <f>EXP(-LN(2)/2)*CM95+(1-EXP(-LN(2)/2))/(LN(2)/2)*CG96*CJ96*VLOOKUP('Données projet'!$B$12,Paramètres!$A$1:$I$89,3,0)*0.475*44/12</f>
        <v>3.4687239744015991E-4</v>
      </c>
      <c r="CN96" s="22">
        <f t="shared" si="66"/>
        <v>49.427518254589359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-5.1431925385259088E-14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320.93171542656671</v>
      </c>
      <c r="T97" s="59">
        <f t="shared" si="88"/>
        <v>452.7298965816143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16.152975041481451</v>
      </c>
      <c r="AA97" s="21">
        <f>EXP(-LN(2)/25)*AA96+(1-EXP(-LN(2)/25))/(LN(2)/25)*Calculateur!V97*Calculateur!X97*VLOOKUP('Données projet'!$B$9,Paramètres!$A$1:$I$89,3,0)*0.475*44/12</f>
        <v>5.5193032793710186</v>
      </c>
      <c r="AB97" s="21">
        <f>EXP(-LN(2)/2)*AB96+(1-EXP(-LN(2)/2))/(LN(2)/2)*V97*Y97*VLOOKUP('Données projet'!$B$9,Paramètres!$A$1:$I$89,3,0)*0.475*44/12</f>
        <v>2.2567135373204573E-6</v>
      </c>
      <c r="AC97" s="22">
        <f t="shared" si="57"/>
        <v>21.672280577566006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2.8421709430404007E-14</v>
      </c>
      <c r="AJ97" s="13">
        <f>AI97*VLOOKUP('Données projet'!$B$10,Paramètres!$A$1:$I$89,3,0)*VLOOKUP('Données projet'!$B$10,Paramètres!$A$1:$I$89,5,0)</f>
        <v>2.4829205358400945E-14</v>
      </c>
      <c r="AK97" s="13">
        <f t="shared" si="89"/>
        <v>4.3867331143352915E-13</v>
      </c>
      <c r="AL97" s="20">
        <f t="shared" si="58"/>
        <v>8.0726688341261168E-13</v>
      </c>
      <c r="AM97" s="59">
        <f t="shared" si="59"/>
        <v>293.33333333333411</v>
      </c>
      <c r="AN97" s="59">
        <f ca="1">AVERAGE(OFFSET($AM$3,0,0,'Données projet'!$E$10+1,1))-AVERAGE(OFFSET($H$3,0,0,'Données projet'!$E$10+1,1))</f>
        <v>201.61452816909701</v>
      </c>
      <c r="AO97" s="59">
        <f t="shared" si="90"/>
        <v>287.77679930887746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27.129494147533503</v>
      </c>
      <c r="AV97" s="21">
        <f>EXP(-LN(2)/25)*AV96+(1-EXP(-LN(2)/25))/(LN(2)/25)*Calculateur!AQ97*Calculateur!AS97*VLOOKUP('Données projet'!$B$10,Paramètres!$A$1:$I$89,3,0)*0.475*44/12</f>
        <v>16.642935638766978</v>
      </c>
      <c r="AW97" s="21">
        <f>EXP(-LN(2)/2)*AW96+(1-EXP(-LN(2)/2))/(LN(2)/2)*AQ97*AT97*VLOOKUP('Données projet'!$B$10,Paramètres!$A$1:$I$89,3,0)*0.475*44/12</f>
        <v>2.8417995040439783E-4</v>
      </c>
      <c r="AX97" s="21">
        <f t="shared" si="60"/>
        <v>43.772713966250883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-3.3992364478763198E-14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225.63994281336028</v>
      </c>
      <c r="BJ97" s="59">
        <f t="shared" si="92"/>
        <v>231.19476400361157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53.676298320350817</v>
      </c>
      <c r="BQ97" s="21">
        <f>EXP(-LN(2)/25)*BQ96+(1-EXP(-LN(2)/25))/(LN(2)/25)*Calculateur!BL97*Calculateur!BN97*VLOOKUP('Données projet'!$B$11,Paramètres!$A$1:$I$89,3,0)*0.475*44/12</f>
        <v>33.428241383602682</v>
      </c>
      <c r="BR97" s="21">
        <f>EXP(-LN(2)/2)*BR96+(1-EXP(-LN(2)/2))/(LN(2)/2)*BL97*BO97*VLOOKUP('Données projet'!$B$11,Paramètres!$A$1:$I$89,3,0)*0.475*44/12</f>
        <v>4.1335719303581681E-3</v>
      </c>
      <c r="BS97" s="22">
        <f t="shared" si="63"/>
        <v>87.108673275883845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2.6602720026858149E-14</v>
      </c>
      <c r="CA97" s="13">
        <f t="shared" si="93"/>
        <v>4.6624771586320878E-13</v>
      </c>
      <c r="CB97" s="20">
        <f t="shared" si="64"/>
        <v>8.583811758418665E-13</v>
      </c>
      <c r="CC97" s="59">
        <f t="shared" si="65"/>
        <v>293.33333333333417</v>
      </c>
      <c r="CD97" s="59">
        <f ca="1">AVERAGE(OFFSET($CC$3,0,0,'Données projet'!$E$12+1,1))-AVERAGE(OFFSET($H$3,0,0,'Données projet'!$E$12+1,1))</f>
        <v>111.69585394603672</v>
      </c>
      <c r="CE97" s="59">
        <f t="shared" si="94"/>
        <v>162.6701214629764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29.630947974599447</v>
      </c>
      <c r="CL97" s="21">
        <f>EXP(-LN(2)/25)*CL96+(1-EXP(-LN(2)/25))/(LN(2)/25)*Calculateur!CG97*Calculateur!CI97*VLOOKUP('Données projet'!$B$12,Paramètres!$A$1:$I$89,3,0)*0.475*44/12</f>
        <v>18.678434489967032</v>
      </c>
      <c r="CM97" s="21">
        <f>EXP(-LN(2)/2)*CM96+(1-EXP(-LN(2)/2))/(LN(2)/2)*CG97*CJ97*VLOOKUP('Données projet'!$B$12,Paramètres!$A$1:$I$89,3,0)*0.475*44/12</f>
        <v>2.4527582443637229E-4</v>
      </c>
      <c r="CN97" s="22">
        <f t="shared" si="66"/>
        <v>48.309627740390916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-5.1431925385259088E-14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320.93171542656671</v>
      </c>
      <c r="T98" s="59">
        <f t="shared" si="88"/>
        <v>452.7298965816143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15.836225053259938</v>
      </c>
      <c r="AA98" s="21">
        <f>EXP(-LN(2)/25)*AA97+(1-EXP(-LN(2)/25))/(LN(2)/25)*Calculateur!V98*Calculateur!X98*VLOOKUP('Données projet'!$B$9,Paramètres!$A$1:$I$89,3,0)*0.475*44/12</f>
        <v>5.3683776409490731</v>
      </c>
      <c r="AB98" s="21">
        <f>EXP(-LN(2)/2)*AB97+(1-EXP(-LN(2)/2))/(LN(2)/2)*V98*Y98*VLOOKUP('Données projet'!$B$9,Paramètres!$A$1:$I$89,3,0)*0.475*44/12</f>
        <v>1.5957374454347763E-6</v>
      </c>
      <c r="AC98" s="22">
        <f t="shared" si="57"/>
        <v>21.204604289946456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2.8421709430404007E-14</v>
      </c>
      <c r="AJ98" s="13">
        <f>AI98*VLOOKUP('Données projet'!$B$10,Paramètres!$A$1:$I$89,3,0)*VLOOKUP('Données projet'!$B$10,Paramètres!$A$1:$I$89,5,0)</f>
        <v>2.4829205358400945E-14</v>
      </c>
      <c r="AK98" s="13">
        <f t="shared" si="89"/>
        <v>4.3867331143352915E-13</v>
      </c>
      <c r="AL98" s="20">
        <f t="shared" si="58"/>
        <v>8.0726688341261168E-13</v>
      </c>
      <c r="AM98" s="59">
        <f t="shared" si="59"/>
        <v>293.33333333333411</v>
      </c>
      <c r="AN98" s="59">
        <f ca="1">AVERAGE(OFFSET($AM$3,0,0,'Données projet'!$E$10+1,1))-AVERAGE(OFFSET($H$3,0,0,'Données projet'!$E$10+1,1))</f>
        <v>201.61452816909701</v>
      </c>
      <c r="AO98" s="59">
        <f t="shared" si="90"/>
        <v>287.77679930887746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26.597501314657887</v>
      </c>
      <c r="AV98" s="21">
        <f>EXP(-LN(2)/25)*AV97+(1-EXP(-LN(2)/25))/(LN(2)/25)*Calculateur!AQ98*Calculateur!AS98*VLOOKUP('Données projet'!$B$10,Paramètres!$A$1:$I$89,3,0)*0.475*44/12</f>
        <v>16.187833688510949</v>
      </c>
      <c r="AW98" s="21">
        <f>EXP(-LN(2)/2)*AW97+(1-EXP(-LN(2)/2))/(LN(2)/2)*AQ98*AT98*VLOOKUP('Données projet'!$B$10,Paramètres!$A$1:$I$89,3,0)*0.475*44/12</f>
        <v>2.0094557000820647E-4</v>
      </c>
      <c r="AX98" s="21">
        <f t="shared" si="60"/>
        <v>42.785535948738847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-3.3992364478763198E-14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225.63994281336028</v>
      </c>
      <c r="BJ98" s="59">
        <f t="shared" si="92"/>
        <v>231.19476400361157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52.623738849597977</v>
      </c>
      <c r="BQ98" s="21">
        <f>EXP(-LN(2)/25)*BQ97+(1-EXP(-LN(2)/25))/(LN(2)/25)*Calculateur!BL98*Calculateur!BN98*VLOOKUP('Données projet'!$B$11,Paramètres!$A$1:$I$89,3,0)*0.475*44/12</f>
        <v>32.514144365053255</v>
      </c>
      <c r="BR98" s="21">
        <f>EXP(-LN(2)/2)*BR97+(1-EXP(-LN(2)/2))/(LN(2)/2)*BL98*BO98*VLOOKUP('Données projet'!$B$11,Paramètres!$A$1:$I$89,3,0)*0.475*44/12</f>
        <v>2.9228767424786281E-3</v>
      </c>
      <c r="BS98" s="22">
        <f t="shared" si="63"/>
        <v>85.140806091393699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2.6602720026858149E-14</v>
      </c>
      <c r="CA98" s="13">
        <f t="shared" si="93"/>
        <v>4.6624771586320878E-13</v>
      </c>
      <c r="CB98" s="20">
        <f t="shared" si="64"/>
        <v>8.583811758418665E-13</v>
      </c>
      <c r="CC98" s="59">
        <f t="shared" si="65"/>
        <v>293.33333333333417</v>
      </c>
      <c r="CD98" s="59">
        <f ca="1">AVERAGE(OFFSET($CC$3,0,0,'Données projet'!$E$12+1,1))-AVERAGE(OFFSET($H$3,0,0,'Données projet'!$E$12+1,1))</f>
        <v>111.69585394603672</v>
      </c>
      <c r="CE98" s="59">
        <f t="shared" si="94"/>
        <v>162.6701214629764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29.049903157911245</v>
      </c>
      <c r="CL98" s="21">
        <f>EXP(-LN(2)/25)*CL97+(1-EXP(-LN(2)/25))/(LN(2)/25)*Calculateur!CG98*Calculateur!CI98*VLOOKUP('Données projet'!$B$12,Paramètres!$A$1:$I$89,3,0)*0.475*44/12</f>
        <v>18.167671716582703</v>
      </c>
      <c r="CM98" s="21">
        <f>EXP(-LN(2)/2)*CM97+(1-EXP(-LN(2)/2))/(LN(2)/2)*CG98*CJ98*VLOOKUP('Données projet'!$B$12,Paramètres!$A$1:$I$89,3,0)*0.475*44/12</f>
        <v>1.7343619872007995E-4</v>
      </c>
      <c r="CN98" s="22">
        <f t="shared" si="66"/>
        <v>47.21774831069267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-5.1431925385259088E-14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320.93171542656671</v>
      </c>
      <c r="T99" s="59">
        <f t="shared" si="88"/>
        <v>452.7298965816143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15.525686339109031</v>
      </c>
      <c r="AA99" s="21">
        <f>EXP(-LN(2)/25)*AA98+(1-EXP(-LN(2)/25))/(LN(2)/25)*Calculateur!V99*Calculateur!X99*VLOOKUP('Données projet'!$B$9,Paramètres!$A$1:$I$89,3,0)*0.475*44/12</f>
        <v>5.2215790720466098</v>
      </c>
      <c r="AB99" s="21">
        <f>EXP(-LN(2)/2)*AB98+(1-EXP(-LN(2)/2))/(LN(2)/2)*V99*Y99*VLOOKUP('Données projet'!$B$9,Paramètres!$A$1:$I$89,3,0)*0.475*44/12</f>
        <v>1.1283567686602287E-6</v>
      </c>
      <c r="AC99" s="22">
        <f t="shared" si="57"/>
        <v>20.74726653951241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2.8421709430404007E-14</v>
      </c>
      <c r="AJ99" s="13">
        <f>AI99*VLOOKUP('Données projet'!$B$10,Paramètres!$A$1:$I$89,3,0)*VLOOKUP('Données projet'!$B$10,Paramètres!$A$1:$I$89,5,0)</f>
        <v>2.4829205358400945E-14</v>
      </c>
      <c r="AK99" s="13">
        <f t="shared" si="89"/>
        <v>4.3867331143352915E-13</v>
      </c>
      <c r="AL99" s="20">
        <f t="shared" si="58"/>
        <v>8.0726688341261168E-13</v>
      </c>
      <c r="AM99" s="59">
        <f t="shared" si="59"/>
        <v>293.33333333333411</v>
      </c>
      <c r="AN99" s="59">
        <f ca="1">AVERAGE(OFFSET($AM$3,0,0,'Données projet'!$E$10+1,1))-AVERAGE(OFFSET($H$3,0,0,'Données projet'!$E$10+1,1))</f>
        <v>201.61452816909701</v>
      </c>
      <c r="AO99" s="59">
        <f t="shared" si="90"/>
        <v>287.77679930887746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26.075940536751371</v>
      </c>
      <c r="AV99" s="21">
        <f>EXP(-LN(2)/25)*AV98+(1-EXP(-LN(2)/25))/(LN(2)/25)*Calculateur!AQ99*Calculateur!AS99*VLOOKUP('Données projet'!$B$10,Paramètres!$A$1:$I$89,3,0)*0.475*44/12</f>
        <v>15.745176525017442</v>
      </c>
      <c r="AW99" s="21">
        <f>EXP(-LN(2)/2)*AW98+(1-EXP(-LN(2)/2))/(LN(2)/2)*AQ99*AT99*VLOOKUP('Données projet'!$B$10,Paramètres!$A$1:$I$89,3,0)*0.475*44/12</f>
        <v>1.4208997520219892E-4</v>
      </c>
      <c r="AX99" s="21">
        <f t="shared" si="60"/>
        <v>41.821259151744016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-3.3992364478763198E-14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225.63994281336028</v>
      </c>
      <c r="BJ99" s="59">
        <f t="shared" si="92"/>
        <v>231.19476400361157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51.59181942806871</v>
      </c>
      <c r="BQ99" s="21">
        <f>EXP(-LN(2)/25)*BQ98+(1-EXP(-LN(2)/25))/(LN(2)/25)*Calculateur!BL99*Calculateur!BN99*VLOOKUP('Données projet'!$B$11,Paramètres!$A$1:$I$89,3,0)*0.475*44/12</f>
        <v>31.625043377546334</v>
      </c>
      <c r="BR99" s="21">
        <f>EXP(-LN(2)/2)*BR98+(1-EXP(-LN(2)/2))/(LN(2)/2)*BL99*BO99*VLOOKUP('Données projet'!$B$11,Paramètres!$A$1:$I$89,3,0)*0.475*44/12</f>
        <v>2.066785965179084E-3</v>
      </c>
      <c r="BS99" s="22">
        <f t="shared" si="63"/>
        <v>83.218929591580235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2.6602720026858149E-14</v>
      </c>
      <c r="CA99" s="13">
        <f t="shared" si="93"/>
        <v>4.6624771586320878E-13</v>
      </c>
      <c r="CB99" s="20">
        <f t="shared" si="64"/>
        <v>8.583811758418665E-13</v>
      </c>
      <c r="CC99" s="59">
        <f t="shared" si="65"/>
        <v>293.33333333333417</v>
      </c>
      <c r="CD99" s="59">
        <f ca="1">AVERAGE(OFFSET($CC$3,0,0,'Données projet'!$E$12+1,1))-AVERAGE(OFFSET($H$3,0,0,'Données projet'!$E$12+1,1))</f>
        <v>111.69585394603672</v>
      </c>
      <c r="CE99" s="59">
        <f t="shared" si="94"/>
        <v>162.6701214629764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28.480252275675955</v>
      </c>
      <c r="CL99" s="21">
        <f>EXP(-LN(2)/25)*CL98+(1-EXP(-LN(2)/25))/(LN(2)/25)*Calculateur!CG99*Calculateur!CI99*VLOOKUP('Données projet'!$B$12,Paramètres!$A$1:$I$89,3,0)*0.475*44/12</f>
        <v>17.670875778096416</v>
      </c>
      <c r="CM99" s="21">
        <f>EXP(-LN(2)/2)*CM98+(1-EXP(-LN(2)/2))/(LN(2)/2)*CG99*CJ99*VLOOKUP('Données projet'!$B$12,Paramètres!$A$1:$I$89,3,0)*0.475*44/12</f>
        <v>1.2263791221818615E-4</v>
      </c>
      <c r="CN99" s="22">
        <f t="shared" si="66"/>
        <v>46.151250691684588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-5.1431925385259088E-14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320.93171542656671</v>
      </c>
      <c r="T100" s="59">
        <f t="shared" si="88"/>
        <v>452.7298965816143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15.221237099732711</v>
      </c>
      <c r="AA100" s="21">
        <f>EXP(-LN(2)/25)*AA99+(1-EXP(-LN(2)/25))/(LN(2)/25)*Calculateur!V100*Calculateur!X100*VLOOKUP('Données projet'!$B$9,Paramètres!$A$1:$I$89,3,0)*0.475*44/12</f>
        <v>5.0787947177305863</v>
      </c>
      <c r="AB100" s="21">
        <f>EXP(-LN(2)/2)*AB99+(1-EXP(-LN(2)/2))/(LN(2)/2)*V100*Y100*VLOOKUP('Données projet'!$B$9,Paramètres!$A$1:$I$89,3,0)*0.475*44/12</f>
        <v>7.9786872271738816E-7</v>
      </c>
      <c r="AC100" s="22">
        <f t="shared" si="57"/>
        <v>20.300032615332022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2.8421709430404007E-14</v>
      </c>
      <c r="AJ100" s="13">
        <f>AI100*VLOOKUP('Données projet'!$B$10,Paramètres!$A$1:$I$89,3,0)*VLOOKUP('Données projet'!$B$10,Paramètres!$A$1:$I$89,5,0)</f>
        <v>2.4829205358400945E-14</v>
      </c>
      <c r="AK100" s="13">
        <f t="shared" si="89"/>
        <v>4.3867331143352915E-13</v>
      </c>
      <c r="AL100" s="20">
        <f t="shared" si="58"/>
        <v>8.0726688341261168E-13</v>
      </c>
      <c r="AM100" s="59">
        <f t="shared" si="59"/>
        <v>293.33333333333411</v>
      </c>
      <c r="AN100" s="59">
        <f ca="1">AVERAGE(OFFSET($AM$3,0,0,'Données projet'!$E$10+1,1))-AVERAGE(OFFSET($H$3,0,0,'Données projet'!$E$10+1,1))</f>
        <v>201.61452816909701</v>
      </c>
      <c r="AO100" s="59">
        <f t="shared" si="90"/>
        <v>287.77679930887746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25.564607247578941</v>
      </c>
      <c r="AV100" s="21">
        <f>EXP(-LN(2)/25)*AV99+(1-EXP(-LN(2)/25))/(LN(2)/25)*Calculateur!AQ100*Calculateur!AS100*VLOOKUP('Données projet'!$B$10,Paramètres!$A$1:$I$89,3,0)*0.475*44/12</f>
        <v>15.314623844937993</v>
      </c>
      <c r="AW100" s="21">
        <f>EXP(-LN(2)/2)*AW99+(1-EXP(-LN(2)/2))/(LN(2)/2)*AQ100*AT100*VLOOKUP('Données projet'!$B$10,Paramètres!$A$1:$I$89,3,0)*0.475*44/12</f>
        <v>1.0047278500410323E-4</v>
      </c>
      <c r="AX100" s="21">
        <f t="shared" si="60"/>
        <v>40.879331565301939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-3.3992364478763198E-14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225.63994281336028</v>
      </c>
      <c r="BJ100" s="59">
        <f t="shared" si="92"/>
        <v>231.19476400361157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50.58013531698694</v>
      </c>
      <c r="BQ100" s="21">
        <f>EXP(-LN(2)/25)*BQ99+(1-EXP(-LN(2)/25))/(LN(2)/25)*Calculateur!BL100*Calculateur!BN100*VLOOKUP('Données projet'!$B$11,Paramètres!$A$1:$I$89,3,0)*0.475*44/12</f>
        <v>30.760254903298577</v>
      </c>
      <c r="BR100" s="21">
        <f>EXP(-LN(2)/2)*BR99+(1-EXP(-LN(2)/2))/(LN(2)/2)*BL100*BO100*VLOOKUP('Données projet'!$B$11,Paramètres!$A$1:$I$89,3,0)*0.475*44/12</f>
        <v>1.461438371239314E-3</v>
      </c>
      <c r="BS100" s="22">
        <f t="shared" si="63"/>
        <v>81.341851658656751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2.6602720026858149E-14</v>
      </c>
      <c r="CA100" s="13">
        <f t="shared" si="93"/>
        <v>4.6624771586320878E-13</v>
      </c>
      <c r="CB100" s="20">
        <f t="shared" si="64"/>
        <v>8.583811758418665E-13</v>
      </c>
      <c r="CC100" s="59">
        <f t="shared" si="65"/>
        <v>293.33333333333417</v>
      </c>
      <c r="CD100" s="59">
        <f ca="1">AVERAGE(OFFSET($CC$3,0,0,'Données projet'!$E$12+1,1))-AVERAGE(OFFSET($H$3,0,0,'Données projet'!$E$12+1,1))</f>
        <v>111.69585394603672</v>
      </c>
      <c r="CE100" s="59">
        <f t="shared" si="94"/>
        <v>162.6701214629764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27.92177189978857</v>
      </c>
      <c r="CL100" s="21">
        <f>EXP(-LN(2)/25)*CL99+(1-EXP(-LN(2)/25))/(LN(2)/25)*Calculateur!CG100*Calculateur!CI100*VLOOKUP('Données projet'!$B$12,Paramètres!$A$1:$I$89,3,0)*0.475*44/12</f>
        <v>17.187664750673399</v>
      </c>
      <c r="CM100" s="21">
        <f>EXP(-LN(2)/2)*CM99+(1-EXP(-LN(2)/2))/(LN(2)/2)*CG100*CJ100*VLOOKUP('Données projet'!$B$12,Paramètres!$A$1:$I$89,3,0)*0.475*44/12</f>
        <v>8.6718099360039977E-5</v>
      </c>
      <c r="CN100" s="22">
        <f t="shared" si="66"/>
        <v>45.109523368561334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-5.1431925385259088E-14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320.93171542656671</v>
      </c>
      <c r="T101" s="59">
        <f t="shared" si="88"/>
        <v>452.7298965816143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14.922757924244861</v>
      </c>
      <c r="AA101" s="21">
        <f>EXP(-LN(2)/25)*AA100+(1-EXP(-LN(2)/25))/(LN(2)/25)*Calculateur!V101*Calculateur!X101*VLOOKUP('Données projet'!$B$9,Paramètres!$A$1:$I$89,3,0)*0.475*44/12</f>
        <v>4.9399148090920368</v>
      </c>
      <c r="AB101" s="21">
        <f>EXP(-LN(2)/2)*AB100+(1-EXP(-LN(2)/2))/(LN(2)/2)*V101*Y101*VLOOKUP('Données projet'!$B$9,Paramètres!$A$1:$I$89,3,0)*0.475*44/12</f>
        <v>5.6417838433011434E-7</v>
      </c>
      <c r="AC101" s="22">
        <f t="shared" si="57"/>
        <v>19.862673297515283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2.8421709430404007E-14</v>
      </c>
      <c r="AJ101" s="13">
        <f>AI101*VLOOKUP('Données projet'!$B$10,Paramètres!$A$1:$I$89,3,0)*VLOOKUP('Données projet'!$B$10,Paramètres!$A$1:$I$89,5,0)</f>
        <v>2.4829205358400945E-14</v>
      </c>
      <c r="AK101" s="13">
        <f t="shared" si="89"/>
        <v>4.3867331143352915E-13</v>
      </c>
      <c r="AL101" s="20">
        <f t="shared" si="58"/>
        <v>8.0726688341261168E-13</v>
      </c>
      <c r="AM101" s="59">
        <f t="shared" si="59"/>
        <v>293.33333333333411</v>
      </c>
      <c r="AN101" s="59">
        <f ca="1">AVERAGE(OFFSET($AM$3,0,0,'Données projet'!$E$10+1,1))-AVERAGE(OFFSET($H$3,0,0,'Données projet'!$E$10+1,1))</f>
        <v>201.61452816909701</v>
      </c>
      <c r="AO101" s="59">
        <f t="shared" si="90"/>
        <v>287.77679930887746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25.063300892324669</v>
      </c>
      <c r="AV101" s="21">
        <f>EXP(-LN(2)/25)*AV100+(1-EXP(-LN(2)/25))/(LN(2)/25)*Calculateur!AQ101*Calculateur!AS101*VLOOKUP('Données projet'!$B$10,Paramètres!$A$1:$I$89,3,0)*0.475*44/12</f>
        <v>14.895844650537096</v>
      </c>
      <c r="AW101" s="21">
        <f>EXP(-LN(2)/2)*AW100+(1-EXP(-LN(2)/2))/(LN(2)/2)*AQ101*AT101*VLOOKUP('Données projet'!$B$10,Paramètres!$A$1:$I$89,3,0)*0.475*44/12</f>
        <v>7.1044987601099458E-5</v>
      </c>
      <c r="AX101" s="21">
        <f t="shared" si="60"/>
        <v>39.959216587849362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-3.3992364478763198E-14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225.63994281336028</v>
      </c>
      <c r="BJ101" s="59">
        <f t="shared" si="92"/>
        <v>231.19476400361157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49.588289714257101</v>
      </c>
      <c r="BQ101" s="21">
        <f>EXP(-LN(2)/25)*BQ100+(1-EXP(-LN(2)/25))/(LN(2)/25)*Calculateur!BL101*Calculateur!BN101*VLOOKUP('Données projet'!$B$11,Paramètres!$A$1:$I$89,3,0)*0.475*44/12</f>
        <v>29.919114115356376</v>
      </c>
      <c r="BR101" s="21">
        <f>EXP(-LN(2)/2)*BR100+(1-EXP(-LN(2)/2))/(LN(2)/2)*BL101*BO101*VLOOKUP('Données projet'!$B$11,Paramètres!$A$1:$I$89,3,0)*0.475*44/12</f>
        <v>1.033392982589542E-3</v>
      </c>
      <c r="BS101" s="22">
        <f t="shared" si="63"/>
        <v>79.508437222596072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2.6602720026858149E-14</v>
      </c>
      <c r="CA101" s="13">
        <f t="shared" si="93"/>
        <v>4.6624771586320878E-13</v>
      </c>
      <c r="CB101" s="20">
        <f t="shared" si="64"/>
        <v>8.583811758418665E-13</v>
      </c>
      <c r="CC101" s="59">
        <f t="shared" si="65"/>
        <v>293.33333333333417</v>
      </c>
      <c r="CD101" s="59">
        <f ca="1">AVERAGE(OFFSET($CC$3,0,0,'Données projet'!$E$12+1,1))-AVERAGE(OFFSET($H$3,0,0,'Données projet'!$E$12+1,1))</f>
        <v>111.69585394603672</v>
      </c>
      <c r="CE101" s="59">
        <f t="shared" si="94"/>
        <v>162.6701214629764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27.374242983432943</v>
      </c>
      <c r="CL101" s="21">
        <f>EXP(-LN(2)/25)*CL100+(1-EXP(-LN(2)/25))/(LN(2)/25)*Calculateur!CG101*Calculateur!CI101*VLOOKUP('Données projet'!$B$12,Paramètres!$A$1:$I$89,3,0)*0.475*44/12</f>
        <v>16.717667154206229</v>
      </c>
      <c r="CM101" s="21">
        <f>EXP(-LN(2)/2)*CM100+(1-EXP(-LN(2)/2))/(LN(2)/2)*CG101*CJ101*VLOOKUP('Données projet'!$B$12,Paramètres!$A$1:$I$89,3,0)*0.475*44/12</f>
        <v>6.1318956109093073E-5</v>
      </c>
      <c r="CN101" s="22">
        <f t="shared" si="66"/>
        <v>44.091971456595282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-5.1431925385259088E-14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320.93171542656671</v>
      </c>
      <c r="T102" s="59">
        <f t="shared" si="88"/>
        <v>452.7298965816143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14.630131743334006</v>
      </c>
      <c r="AA102" s="21">
        <f>EXP(-LN(2)/25)*AA101+(1-EXP(-LN(2)/25))/(LN(2)/25)*Calculateur!V102*Calculateur!X102*VLOOKUP('Données projet'!$B$9,Paramètres!$A$1:$I$89,3,0)*0.475*44/12</f>
        <v>4.8048325788585853</v>
      </c>
      <c r="AB102" s="21">
        <f>EXP(-LN(2)/2)*AB101+(1-EXP(-LN(2)/2))/(LN(2)/2)*V102*Y102*VLOOKUP('Données projet'!$B$9,Paramètres!$A$1:$I$89,3,0)*0.475*44/12</f>
        <v>3.9893436135869408E-7</v>
      </c>
      <c r="AC102" s="22">
        <f t="shared" si="57"/>
        <v>19.434964721126953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2.8421709430404007E-14</v>
      </c>
      <c r="AJ102" s="13">
        <f>AI102*VLOOKUP('Données projet'!$B$10,Paramètres!$A$1:$I$89,3,0)*VLOOKUP('Données projet'!$B$10,Paramètres!$A$1:$I$89,5,0)</f>
        <v>2.4829205358400945E-14</v>
      </c>
      <c r="AK102" s="13">
        <f t="shared" si="89"/>
        <v>4.3867331143352915E-13</v>
      </c>
      <c r="AL102" s="20">
        <f t="shared" si="58"/>
        <v>8.0726688341261168E-13</v>
      </c>
      <c r="AM102" s="59">
        <f t="shared" si="59"/>
        <v>293.33333333333411</v>
      </c>
      <c r="AN102" s="59">
        <f ca="1">AVERAGE(OFFSET($AM$3,0,0,'Données projet'!$E$10+1,1))-AVERAGE(OFFSET($H$3,0,0,'Données projet'!$E$10+1,1))</f>
        <v>201.61452816909701</v>
      </c>
      <c r="AO102" s="59">
        <f t="shared" si="90"/>
        <v>287.77679930887746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24.571824848930252</v>
      </c>
      <c r="AV102" s="21">
        <f>EXP(-LN(2)/25)*AV101+(1-EXP(-LN(2)/25))/(LN(2)/25)*Calculateur!AQ102*Calculateur!AS102*VLOOKUP('Données projet'!$B$10,Paramètres!$A$1:$I$89,3,0)*0.475*44/12</f>
        <v>14.488516995229734</v>
      </c>
      <c r="AW102" s="21">
        <f>EXP(-LN(2)/2)*AW101+(1-EXP(-LN(2)/2))/(LN(2)/2)*AQ102*AT102*VLOOKUP('Données projet'!$B$10,Paramètres!$A$1:$I$89,3,0)*0.475*44/12</f>
        <v>5.0236392502051617E-5</v>
      </c>
      <c r="AX102" s="21">
        <f t="shared" si="60"/>
        <v>39.060392080552489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-3.3992364478763198E-14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225.63994281336028</v>
      </c>
      <c r="BJ102" s="59">
        <f t="shared" si="92"/>
        <v>231.19476400361157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48.615893598830716</v>
      </c>
      <c r="BQ102" s="21">
        <f>EXP(-LN(2)/25)*BQ101+(1-EXP(-LN(2)/25))/(LN(2)/25)*Calculateur!BL102*Calculateur!BN102*VLOOKUP('Données projet'!$B$11,Paramètres!$A$1:$I$89,3,0)*0.475*44/12</f>
        <v>29.100974366494125</v>
      </c>
      <c r="BR102" s="21">
        <f>EXP(-LN(2)/2)*BR101+(1-EXP(-LN(2)/2))/(LN(2)/2)*BL102*BO102*VLOOKUP('Données projet'!$B$11,Paramètres!$A$1:$I$89,3,0)*0.475*44/12</f>
        <v>7.3071918561965702E-4</v>
      </c>
      <c r="BS102" s="22">
        <f t="shared" si="63"/>
        <v>77.717598684510463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2.6602720026858149E-14</v>
      </c>
      <c r="CA102" s="13">
        <f t="shared" si="93"/>
        <v>4.6624771586320878E-13</v>
      </c>
      <c r="CB102" s="20">
        <f t="shared" si="64"/>
        <v>8.583811758418665E-13</v>
      </c>
      <c r="CC102" s="59">
        <f t="shared" si="65"/>
        <v>293.33333333333417</v>
      </c>
      <c r="CD102" s="59">
        <f ca="1">AVERAGE(OFFSET($CC$3,0,0,'Données projet'!$E$12+1,1))-AVERAGE(OFFSET($H$3,0,0,'Données projet'!$E$12+1,1))</f>
        <v>111.69585394603672</v>
      </c>
      <c r="CE102" s="59">
        <f t="shared" si="94"/>
        <v>162.6701214629764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26.837450775167387</v>
      </c>
      <c r="CL102" s="21">
        <f>EXP(-LN(2)/25)*CL101+(1-EXP(-LN(2)/25))/(LN(2)/25)*Calculateur!CG102*Calculateur!CI102*VLOOKUP('Données projet'!$B$12,Paramètres!$A$1:$I$89,3,0)*0.475*44/12</f>
        <v>16.260521666730554</v>
      </c>
      <c r="CM102" s="21">
        <f>EXP(-LN(2)/2)*CM101+(1-EXP(-LN(2)/2))/(LN(2)/2)*CG102*CJ102*VLOOKUP('Données projet'!$B$12,Paramètres!$A$1:$I$89,3,0)*0.475*44/12</f>
        <v>4.3359049680019988E-5</v>
      </c>
      <c r="CN102" s="22">
        <f t="shared" si="66"/>
        <v>43.098015800947614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-5.1431925385259088E-14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320.93171542656671</v>
      </c>
      <c r="T103" s="59">
        <f t="shared" si="88"/>
        <v>452.7298965816143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14.343243783346468</v>
      </c>
      <c r="AA103" s="21">
        <f>EXP(-LN(2)/25)*AA102+(1-EXP(-LN(2)/25))/(LN(2)/25)*Calculateur!V103*Calculateur!X103*VLOOKUP('Données projet'!$B$9,Paramètres!$A$1:$I$89,3,0)*0.475*44/12</f>
        <v>4.6734441793145338</v>
      </c>
      <c r="AB103" s="21">
        <f>EXP(-LN(2)/2)*AB102+(1-EXP(-LN(2)/2))/(LN(2)/2)*V103*Y103*VLOOKUP('Données projet'!$B$9,Paramètres!$A$1:$I$89,3,0)*0.475*44/12</f>
        <v>2.8208919216505717E-7</v>
      </c>
      <c r="AC103" s="22">
        <f t="shared" si="57"/>
        <v>19.016688244750195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2.8421709430404007E-14</v>
      </c>
      <c r="AJ103" s="13">
        <f>AI103*VLOOKUP('Données projet'!$B$10,Paramètres!$A$1:$I$89,3,0)*VLOOKUP('Données projet'!$B$10,Paramètres!$A$1:$I$89,5,0)</f>
        <v>2.4829205358400945E-14</v>
      </c>
      <c r="AK103" s="13">
        <f t="shared" si="89"/>
        <v>4.3867331143352915E-13</v>
      </c>
      <c r="AL103" s="20">
        <f t="shared" si="58"/>
        <v>8.0726688341261168E-13</v>
      </c>
      <c r="AM103" s="59">
        <f t="shared" si="59"/>
        <v>293.33333333333411</v>
      </c>
      <c r="AN103" s="59">
        <f ca="1">AVERAGE(OFFSET($AM$3,0,0,'Données projet'!$E$10+1,1))-AVERAGE(OFFSET($H$3,0,0,'Données projet'!$E$10+1,1))</f>
        <v>201.61452816909701</v>
      </c>
      <c r="AO103" s="59">
        <f t="shared" si="90"/>
        <v>287.77679930887746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24.089986350976012</v>
      </c>
      <c r="AV103" s="21">
        <f>EXP(-LN(2)/25)*AV102+(1-EXP(-LN(2)/25))/(LN(2)/25)*Calculateur!AQ103*Calculateur!AS103*VLOOKUP('Données projet'!$B$10,Paramètres!$A$1:$I$89,3,0)*0.475*44/12</f>
        <v>14.092327736077182</v>
      </c>
      <c r="AW103" s="21">
        <f>EXP(-LN(2)/2)*AW102+(1-EXP(-LN(2)/2))/(LN(2)/2)*AQ103*AT103*VLOOKUP('Données projet'!$B$10,Paramètres!$A$1:$I$89,3,0)*0.475*44/12</f>
        <v>3.5522493800549729E-5</v>
      </c>
      <c r="AX103" s="21">
        <f t="shared" si="60"/>
        <v>38.182349609546996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-3.3992364478763198E-14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225.63994281336028</v>
      </c>
      <c r="BJ103" s="59">
        <f t="shared" si="92"/>
        <v>231.19476400361157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47.662565578124777</v>
      </c>
      <c r="BQ103" s="21">
        <f>EXP(-LN(2)/25)*BQ102+(1-EXP(-LN(2)/25))/(LN(2)/25)*Calculateur!BL103*Calculateur!BN103*VLOOKUP('Données projet'!$B$11,Paramètres!$A$1:$I$89,3,0)*0.475*44/12</f>
        <v>28.305206692088611</v>
      </c>
      <c r="BR103" s="21">
        <f>EXP(-LN(2)/2)*BR102+(1-EXP(-LN(2)/2))/(LN(2)/2)*BL103*BO103*VLOOKUP('Données projet'!$B$11,Paramètres!$A$1:$I$89,3,0)*0.475*44/12</f>
        <v>5.1669649129477101E-4</v>
      </c>
      <c r="BS103" s="22">
        <f t="shared" si="63"/>
        <v>75.968288966704677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2.6602720026858149E-14</v>
      </c>
      <c r="CA103" s="13">
        <f t="shared" si="93"/>
        <v>4.6624771586320878E-13</v>
      </c>
      <c r="CB103" s="20">
        <f t="shared" si="64"/>
        <v>8.583811758418665E-13</v>
      </c>
      <c r="CC103" s="59">
        <f t="shared" si="65"/>
        <v>293.33333333333417</v>
      </c>
      <c r="CD103" s="59">
        <f ca="1">AVERAGE(OFFSET($CC$3,0,0,'Données projet'!$E$12+1,1))-AVERAGE(OFFSET($H$3,0,0,'Données projet'!$E$12+1,1))</f>
        <v>111.69585394603672</v>
      </c>
      <c r="CE103" s="59">
        <f t="shared" si="94"/>
        <v>162.6701214629764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26.311184734695001</v>
      </c>
      <c r="CL103" s="21">
        <f>EXP(-LN(2)/25)*CL102+(1-EXP(-LN(2)/25))/(LN(2)/25)*Calculateur!CG103*Calculateur!CI103*VLOOKUP('Données projet'!$B$12,Paramètres!$A$1:$I$89,3,0)*0.475*44/12</f>
        <v>15.815876846650136</v>
      </c>
      <c r="CM103" s="21">
        <f>EXP(-LN(2)/2)*CM102+(1-EXP(-LN(2)/2))/(LN(2)/2)*CG103*CJ103*VLOOKUP('Données projet'!$B$12,Paramètres!$A$1:$I$89,3,0)*0.475*44/12</f>
        <v>3.0659478054546536E-5</v>
      </c>
      <c r="CN103" s="22">
        <f t="shared" si="66"/>
        <v>42.127092240823195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-5.1431925385259088E-14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320.93171542656671</v>
      </c>
      <c r="T104" s="59">
        <f t="shared" si="88"/>
        <v>452.7298965816143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14.061981521269907</v>
      </c>
      <c r="AA104" s="21">
        <f>EXP(-LN(2)/25)*AA103+(1-EXP(-LN(2)/25))/(LN(2)/25)*Calculateur!V104*Calculateur!X104*VLOOKUP('Données projet'!$B$9,Paramètres!$A$1:$I$89,3,0)*0.475*44/12</f>
        <v>4.5456486024654295</v>
      </c>
      <c r="AB104" s="21">
        <f>EXP(-LN(2)/2)*AB103+(1-EXP(-LN(2)/2))/(LN(2)/2)*V104*Y104*VLOOKUP('Données projet'!$B$9,Paramètres!$A$1:$I$89,3,0)*0.475*44/12</f>
        <v>1.9946718067934704E-7</v>
      </c>
      <c r="AC104" s="22">
        <f t="shared" si="57"/>
        <v>18.607630323202518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2.8421709430404007E-14</v>
      </c>
      <c r="AJ104" s="13">
        <f>AI104*VLOOKUP('Données projet'!$B$10,Paramètres!$A$1:$I$89,3,0)*VLOOKUP('Données projet'!$B$10,Paramètres!$A$1:$I$89,5,0)</f>
        <v>2.4829205358400945E-14</v>
      </c>
      <c r="AK104" s="13">
        <f t="shared" si="89"/>
        <v>4.3867331143352915E-13</v>
      </c>
      <c r="AL104" s="20">
        <f t="shared" si="58"/>
        <v>8.0726688341261168E-13</v>
      </c>
      <c r="AM104" s="59">
        <f t="shared" si="59"/>
        <v>293.33333333333411</v>
      </c>
      <c r="AN104" s="59">
        <f ca="1">AVERAGE(OFFSET($AM$3,0,0,'Données projet'!$E$10+1,1))-AVERAGE(OFFSET($H$3,0,0,'Données projet'!$E$10+1,1))</f>
        <v>201.61452816909701</v>
      </c>
      <c r="AO104" s="59">
        <f t="shared" si="90"/>
        <v>287.77679930887746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23.617596412074189</v>
      </c>
      <c r="AV104" s="21">
        <f>EXP(-LN(2)/25)*AV103+(1-EXP(-LN(2)/25))/(LN(2)/25)*Calculateur!AQ104*Calculateur!AS104*VLOOKUP('Données projet'!$B$10,Paramètres!$A$1:$I$89,3,0)*0.475*44/12</f>
        <v>13.706972293050844</v>
      </c>
      <c r="AW104" s="21">
        <f>EXP(-LN(2)/2)*AW103+(1-EXP(-LN(2)/2))/(LN(2)/2)*AQ104*AT104*VLOOKUP('Données projet'!$B$10,Paramètres!$A$1:$I$89,3,0)*0.475*44/12</f>
        <v>2.5118196251025809E-5</v>
      </c>
      <c r="AX104" s="21">
        <f t="shared" si="60"/>
        <v>37.32459382332128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-3.3992364478763198E-14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225.63994281336028</v>
      </c>
      <c r="BJ104" s="59">
        <f t="shared" si="92"/>
        <v>231.19476400361157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46.727931738432204</v>
      </c>
      <c r="BQ104" s="21">
        <f>EXP(-LN(2)/25)*BQ103+(1-EXP(-LN(2)/25))/(LN(2)/25)*Calculateur!BL104*Calculateur!BN104*VLOOKUP('Données projet'!$B$11,Paramètres!$A$1:$I$89,3,0)*0.475*44/12</f>
        <v>27.53119932658732</v>
      </c>
      <c r="BR104" s="21">
        <f>EXP(-LN(2)/2)*BR103+(1-EXP(-LN(2)/2))/(LN(2)/2)*BL104*BO104*VLOOKUP('Données projet'!$B$11,Paramètres!$A$1:$I$89,3,0)*0.475*44/12</f>
        <v>3.6535959280982851E-4</v>
      </c>
      <c r="BS104" s="22">
        <f t="shared" si="63"/>
        <v>74.259496424612323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2.6602720026858149E-14</v>
      </c>
      <c r="CA104" s="13">
        <f t="shared" si="93"/>
        <v>4.6624771586320878E-13</v>
      </c>
      <c r="CB104" s="20">
        <f t="shared" si="64"/>
        <v>8.583811758418665E-13</v>
      </c>
      <c r="CC104" s="59">
        <f t="shared" si="65"/>
        <v>293.33333333333417</v>
      </c>
      <c r="CD104" s="59">
        <f ca="1">AVERAGE(OFFSET($CC$3,0,0,'Données projet'!$E$12+1,1))-AVERAGE(OFFSET($H$3,0,0,'Données projet'!$E$12+1,1))</f>
        <v>111.69585394603672</v>
      </c>
      <c r="CE104" s="59">
        <f t="shared" si="94"/>
        <v>162.6701214629764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25.795238450285687</v>
      </c>
      <c r="CL104" s="21">
        <f>EXP(-LN(2)/25)*CL103+(1-EXP(-LN(2)/25))/(LN(2)/25)*Calculateur!CG104*Calculateur!CI104*VLOOKUP('Données projet'!$B$12,Paramètres!$A$1:$I$89,3,0)*0.475*44/12</f>
        <v>15.383390862557672</v>
      </c>
      <c r="CM104" s="21">
        <f>EXP(-LN(2)/2)*CM103+(1-EXP(-LN(2)/2))/(LN(2)/2)*CG104*CJ104*VLOOKUP('Données projet'!$B$12,Paramètres!$A$1:$I$89,3,0)*0.475*44/12</f>
        <v>2.1679524840009994E-5</v>
      </c>
      <c r="CN104" s="22">
        <f t="shared" si="66"/>
        <v>41.178650992368198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-5.1431925385259088E-14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320.93171542656671</v>
      </c>
      <c r="T105" s="59">
        <f t="shared" si="88"/>
        <v>452.7298965816143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13.786234640599627</v>
      </c>
      <c r="AA105" s="21">
        <f>EXP(-LN(2)/25)*AA104+(1-EXP(-LN(2)/25))/(LN(2)/25)*Calculateur!V105*Calculateur!X105*VLOOKUP('Données projet'!$B$9,Paramètres!$A$1:$I$89,3,0)*0.475*44/12</f>
        <v>4.4213476023857412</v>
      </c>
      <c r="AB105" s="21">
        <f>EXP(-LN(2)/2)*AB104+(1-EXP(-LN(2)/2))/(LN(2)/2)*V105*Y105*VLOOKUP('Données projet'!$B$9,Paramètres!$A$1:$I$89,3,0)*0.475*44/12</f>
        <v>1.4104459608252858E-7</v>
      </c>
      <c r="AC105" s="22">
        <f t="shared" si="57"/>
        <v>18.207582384029962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2.8421709430404007E-14</v>
      </c>
      <c r="AJ105" s="13">
        <f>AI105*VLOOKUP('Données projet'!$B$10,Paramètres!$A$1:$I$89,3,0)*VLOOKUP('Données projet'!$B$10,Paramètres!$A$1:$I$89,5,0)</f>
        <v>2.4829205358400945E-14</v>
      </c>
      <c r="AK105" s="13">
        <f t="shared" si="89"/>
        <v>4.3867331143352915E-13</v>
      </c>
      <c r="AL105" s="20">
        <f t="shared" si="58"/>
        <v>8.0726688341261168E-13</v>
      </c>
      <c r="AM105" s="59">
        <f t="shared" si="59"/>
        <v>293.33333333333411</v>
      </c>
      <c r="AN105" s="59">
        <f ca="1">AVERAGE(OFFSET($AM$3,0,0,'Données projet'!$E$10+1,1))-AVERAGE(OFFSET($H$3,0,0,'Données projet'!$E$10+1,1))</f>
        <v>201.61452816909701</v>
      </c>
      <c r="AO105" s="59">
        <f t="shared" si="90"/>
        <v>287.77679930887746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23.15446975174482</v>
      </c>
      <c r="AV105" s="21">
        <f>EXP(-LN(2)/25)*AV104+(1-EXP(-LN(2)/25))/(LN(2)/25)*Calculateur!AQ105*Calculateur!AS105*VLOOKUP('Données projet'!$B$10,Paramètres!$A$1:$I$89,3,0)*0.475*44/12</f>
        <v>13.332154414879025</v>
      </c>
      <c r="AW105" s="21">
        <f>EXP(-LN(2)/2)*AW104+(1-EXP(-LN(2)/2))/(LN(2)/2)*AQ105*AT105*VLOOKUP('Données projet'!$B$10,Paramètres!$A$1:$I$89,3,0)*0.475*44/12</f>
        <v>1.7761246900274864E-5</v>
      </c>
      <c r="AX105" s="21">
        <f t="shared" si="60"/>
        <v>36.486641927870743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-3.3992364478763198E-14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225.63994281336028</v>
      </c>
      <c r="BJ105" s="59">
        <f t="shared" si="92"/>
        <v>231.19476400361157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45.811625498265649</v>
      </c>
      <c r="BQ105" s="21">
        <f>EXP(-LN(2)/25)*BQ104+(1-EXP(-LN(2)/25))/(LN(2)/25)*Calculateur!BL105*Calculateur!BN105*VLOOKUP('Données projet'!$B$11,Paramètres!$A$1:$I$89,3,0)*0.475*44/12</f>
        <v>26.778357233198939</v>
      </c>
      <c r="BR105" s="21">
        <f>EXP(-LN(2)/2)*BR104+(1-EXP(-LN(2)/2))/(LN(2)/2)*BL105*BO105*VLOOKUP('Données projet'!$B$11,Paramètres!$A$1:$I$89,3,0)*0.475*44/12</f>
        <v>2.583482456473855E-4</v>
      </c>
      <c r="BS105" s="22">
        <f t="shared" si="63"/>
        <v>72.590241079710239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2.6602720026858149E-14</v>
      </c>
      <c r="CA105" s="13">
        <f t="shared" si="93"/>
        <v>4.6624771586320878E-13</v>
      </c>
      <c r="CB105" s="20">
        <f t="shared" si="64"/>
        <v>8.583811758418665E-13</v>
      </c>
      <c r="CC105" s="59">
        <f t="shared" si="65"/>
        <v>293.33333333333417</v>
      </c>
      <c r="CD105" s="59">
        <f ca="1">AVERAGE(OFFSET($CC$3,0,0,'Données projet'!$E$12+1,1))-AVERAGE(OFFSET($H$3,0,0,'Données projet'!$E$12+1,1))</f>
        <v>111.69585394603672</v>
      </c>
      <c r="CE105" s="59">
        <f t="shared" si="94"/>
        <v>162.6701214629764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25.289409557817482</v>
      </c>
      <c r="CL105" s="21">
        <f>EXP(-LN(2)/25)*CL104+(1-EXP(-LN(2)/25))/(LN(2)/25)*Calculateur!CG105*Calculateur!CI105*VLOOKUP('Données projet'!$B$12,Paramètres!$A$1:$I$89,3,0)*0.475*44/12</f>
        <v>14.962731230443666</v>
      </c>
      <c r="CM105" s="21">
        <f>EXP(-LN(2)/2)*CM104+(1-EXP(-LN(2)/2))/(LN(2)/2)*CG105*CJ105*VLOOKUP('Données projet'!$B$12,Paramètres!$A$1:$I$89,3,0)*0.475*44/12</f>
        <v>1.5329739027273268E-5</v>
      </c>
      <c r="CN105" s="22">
        <f t="shared" si="66"/>
        <v>40.252156118000173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-5.1431925385259088E-14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320.93171542656671</v>
      </c>
      <c r="T106" s="59">
        <f t="shared" si="88"/>
        <v>452.7298965816143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13.515894988070302</v>
      </c>
      <c r="AA106" s="21">
        <f>EXP(-LN(2)/25)*AA105+(1-EXP(-LN(2)/25))/(LN(2)/25)*Calculateur!V106*Calculateur!X106*VLOOKUP('Données projet'!$B$9,Paramètres!$A$1:$I$89,3,0)*0.475*44/12</f>
        <v>4.3004456196899374</v>
      </c>
      <c r="AB106" s="21">
        <f>EXP(-LN(2)/2)*AB105+(1-EXP(-LN(2)/2))/(LN(2)/2)*V106*Y106*VLOOKUP('Données projet'!$B$9,Paramètres!$A$1:$I$89,3,0)*0.475*44/12</f>
        <v>9.9733590339673519E-8</v>
      </c>
      <c r="AC106" s="22">
        <f t="shared" si="57"/>
        <v>17.816340707493829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2.8421709430404007E-14</v>
      </c>
      <c r="AJ106" s="13">
        <f>AI106*VLOOKUP('Données projet'!$B$10,Paramètres!$A$1:$I$89,3,0)*VLOOKUP('Données projet'!$B$10,Paramètres!$A$1:$I$89,5,0)</f>
        <v>2.4829205358400945E-14</v>
      </c>
      <c r="AK106" s="13">
        <f t="shared" si="89"/>
        <v>4.3867331143352915E-13</v>
      </c>
      <c r="AL106" s="20">
        <f t="shared" si="58"/>
        <v>8.0726688341261168E-13</v>
      </c>
      <c r="AM106" s="59">
        <f t="shared" si="59"/>
        <v>293.33333333333411</v>
      </c>
      <c r="AN106" s="59">
        <f ca="1">AVERAGE(OFFSET($AM$3,0,0,'Données projet'!$E$10+1,1))-AVERAGE(OFFSET($H$3,0,0,'Données projet'!$E$10+1,1))</f>
        <v>201.61452816909701</v>
      </c>
      <c r="AO106" s="59">
        <f t="shared" si="90"/>
        <v>287.77679930887746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22.70042472274514</v>
      </c>
      <c r="AV106" s="21">
        <f>EXP(-LN(2)/25)*AV105+(1-EXP(-LN(2)/25))/(LN(2)/25)*Calculateur!AQ106*Calculateur!AS106*VLOOKUP('Données projet'!$B$10,Paramètres!$A$1:$I$89,3,0)*0.475*44/12</f>
        <v>12.967585951296629</v>
      </c>
      <c r="AW106" s="21">
        <f>EXP(-LN(2)/2)*AW105+(1-EXP(-LN(2)/2))/(LN(2)/2)*AQ106*AT106*VLOOKUP('Données projet'!$B$10,Paramètres!$A$1:$I$89,3,0)*0.475*44/12</f>
        <v>1.2559098125512904E-5</v>
      </c>
      <c r="AX106" s="21">
        <f t="shared" si="60"/>
        <v>35.668023233139891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-3.3992364478763198E-14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225.63994281336028</v>
      </c>
      <c r="BJ106" s="59">
        <f t="shared" si="92"/>
        <v>231.19476400361157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44.913287464577138</v>
      </c>
      <c r="BQ106" s="21">
        <f>EXP(-LN(2)/25)*BQ105+(1-EXP(-LN(2)/25))/(LN(2)/25)*Calculateur!BL106*Calculateur!BN106*VLOOKUP('Données projet'!$B$11,Paramètres!$A$1:$I$89,3,0)*0.475*44/12</f>
        <v>26.046101646444509</v>
      </c>
      <c r="BR106" s="21">
        <f>EXP(-LN(2)/2)*BR105+(1-EXP(-LN(2)/2))/(LN(2)/2)*BL106*BO106*VLOOKUP('Données projet'!$B$11,Paramètres!$A$1:$I$89,3,0)*0.475*44/12</f>
        <v>1.8267979640491426E-4</v>
      </c>
      <c r="BS106" s="22">
        <f t="shared" si="63"/>
        <v>70.95957179081806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2.6602720026858149E-14</v>
      </c>
      <c r="CA106" s="13">
        <f t="shared" si="93"/>
        <v>4.6624771586320878E-13</v>
      </c>
      <c r="CB106" s="20">
        <f t="shared" si="64"/>
        <v>8.583811758418665E-13</v>
      </c>
      <c r="CC106" s="59">
        <f t="shared" si="65"/>
        <v>293.33333333333417</v>
      </c>
      <c r="CD106" s="59">
        <f ca="1">AVERAGE(OFFSET($CC$3,0,0,'Données projet'!$E$12+1,1))-AVERAGE(OFFSET($H$3,0,0,'Données projet'!$E$12+1,1))</f>
        <v>111.69585394603672</v>
      </c>
      <c r="CE106" s="59">
        <f t="shared" si="94"/>
        <v>162.6701214629764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24.793499661405416</v>
      </c>
      <c r="CL106" s="21">
        <f>EXP(-LN(2)/25)*CL105+(1-EXP(-LN(2)/25))/(LN(2)/25)*Calculateur!CG106*Calculateur!CI106*VLOOKUP('Données projet'!$B$12,Paramètres!$A$1:$I$89,3,0)*0.475*44/12</f>
        <v>14.553574558091347</v>
      </c>
      <c r="CM106" s="21">
        <f>EXP(-LN(2)/2)*CM105+(1-EXP(-LN(2)/2))/(LN(2)/2)*CG106*CJ106*VLOOKUP('Données projet'!$B$12,Paramètres!$A$1:$I$89,3,0)*0.475*44/12</f>
        <v>1.0839762420004997E-5</v>
      </c>
      <c r="CN106" s="22">
        <f t="shared" si="66"/>
        <v>39.347085059259179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-5.1431925385259088E-14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320.93171542656671</v>
      </c>
      <c r="T107" s="59">
        <f t="shared" si="88"/>
        <v>452.7298965816143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13.25085653123617</v>
      </c>
      <c r="AA107" s="21">
        <f>EXP(-LN(2)/25)*AA106+(1-EXP(-LN(2)/25))/(LN(2)/25)*Calculateur!V107*Calculateur!X107*VLOOKUP('Données projet'!$B$9,Paramètres!$A$1:$I$89,3,0)*0.475*44/12</f>
        <v>4.1828497080689093</v>
      </c>
      <c r="AB107" s="21">
        <f>EXP(-LN(2)/2)*AB106+(1-EXP(-LN(2)/2))/(LN(2)/2)*V107*Y107*VLOOKUP('Données projet'!$B$9,Paramètres!$A$1:$I$89,3,0)*0.475*44/12</f>
        <v>7.0522298041264292E-8</v>
      </c>
      <c r="AC107" s="22">
        <f t="shared" si="57"/>
        <v>17.433706309827379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2.8421709430404007E-14</v>
      </c>
      <c r="AJ107" s="13">
        <f>AI107*VLOOKUP('Données projet'!$B$10,Paramètres!$A$1:$I$89,3,0)*VLOOKUP('Données projet'!$B$10,Paramètres!$A$1:$I$89,5,0)</f>
        <v>2.4829205358400945E-14</v>
      </c>
      <c r="AK107" s="13">
        <f t="shared" si="89"/>
        <v>4.3867331143352915E-13</v>
      </c>
      <c r="AL107" s="20">
        <f t="shared" si="58"/>
        <v>8.0726688341261168E-13</v>
      </c>
      <c r="AM107" s="59">
        <f t="shared" si="59"/>
        <v>293.33333333333411</v>
      </c>
      <c r="AN107" s="59">
        <f ca="1">AVERAGE(OFFSET($AM$3,0,0,'Données projet'!$E$10+1,1))-AVERAGE(OFFSET($H$3,0,0,'Données projet'!$E$10+1,1))</f>
        <v>201.61452816909701</v>
      </c>
      <c r="AO107" s="59">
        <f t="shared" si="90"/>
        <v>287.77679930887746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22.255283239824021</v>
      </c>
      <c r="AV107" s="21">
        <f>EXP(-LN(2)/25)*AV106+(1-EXP(-LN(2)/25))/(LN(2)/25)*Calculateur!AQ107*Calculateur!AS107*VLOOKUP('Données projet'!$B$10,Paramètres!$A$1:$I$89,3,0)*0.475*44/12</f>
        <v>12.612986631522714</v>
      </c>
      <c r="AW107" s="21">
        <f>EXP(-LN(2)/2)*AW106+(1-EXP(-LN(2)/2))/(LN(2)/2)*AQ107*AT107*VLOOKUP('Données projet'!$B$10,Paramètres!$A$1:$I$89,3,0)*0.475*44/12</f>
        <v>8.8806234501374322E-6</v>
      </c>
      <c r="AX107" s="21">
        <f t="shared" si="60"/>
        <v>34.86827875197018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-3.3992364478763198E-14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225.63994281336028</v>
      </c>
      <c r="BJ107" s="59">
        <f t="shared" si="92"/>
        <v>231.19476400361157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44.032565291797162</v>
      </c>
      <c r="BQ107" s="21">
        <f>EXP(-LN(2)/25)*BQ106+(1-EXP(-LN(2)/25))/(LN(2)/25)*Calculateur!BL107*Calculateur!BN107*VLOOKUP('Données projet'!$B$11,Paramètres!$A$1:$I$89,3,0)*0.475*44/12</f>
        <v>25.333869627217528</v>
      </c>
      <c r="BR107" s="21">
        <f>EXP(-LN(2)/2)*BR106+(1-EXP(-LN(2)/2))/(LN(2)/2)*BL107*BO107*VLOOKUP('Données projet'!$B$11,Paramètres!$A$1:$I$89,3,0)*0.475*44/12</f>
        <v>1.2917412282369275E-4</v>
      </c>
      <c r="BS107" s="22">
        <f t="shared" si="63"/>
        <v>69.366564093137512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2.6602720026858149E-14</v>
      </c>
      <c r="CA107" s="13">
        <f t="shared" si="93"/>
        <v>4.6624771586320878E-13</v>
      </c>
      <c r="CB107" s="20">
        <f t="shared" si="64"/>
        <v>8.583811758418665E-13</v>
      </c>
      <c r="CC107" s="59">
        <f t="shared" si="65"/>
        <v>293.33333333333417</v>
      </c>
      <c r="CD107" s="59">
        <f ca="1">AVERAGE(OFFSET($CC$3,0,0,'Données projet'!$E$12+1,1))-AVERAGE(OFFSET($H$3,0,0,'Données projet'!$E$12+1,1))</f>
        <v>111.69585394603672</v>
      </c>
      <c r="CE107" s="59">
        <f t="shared" si="94"/>
        <v>162.6701214629764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24.307314255586821</v>
      </c>
      <c r="CL107" s="21">
        <f>EXP(-LN(2)/25)*CL106+(1-EXP(-LN(2)/25))/(LN(2)/25)*Calculateur!CG107*Calculateur!CI107*VLOOKUP('Données projet'!$B$12,Paramètres!$A$1:$I$89,3,0)*0.475*44/12</f>
        <v>14.155606296461116</v>
      </c>
      <c r="CM107" s="21">
        <f>EXP(-LN(2)/2)*CM106+(1-EXP(-LN(2)/2))/(LN(2)/2)*CG107*CJ107*VLOOKUP('Données projet'!$B$12,Paramètres!$A$1:$I$89,3,0)*0.475*44/12</f>
        <v>7.6648695136366341E-6</v>
      </c>
      <c r="CN107" s="22">
        <f t="shared" si="66"/>
        <v>38.462928216917447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-5.1431925385259088E-14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320.93171542656671</v>
      </c>
      <c r="T108" s="59">
        <f t="shared" si="88"/>
        <v>452.7298965816143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12.991015316883059</v>
      </c>
      <c r="AA108" s="21">
        <f>EXP(-LN(2)/25)*AA107+(1-EXP(-LN(2)/25))/(LN(2)/25)*Calculateur!V108*Calculateur!X108*VLOOKUP('Données projet'!$B$9,Paramètres!$A$1:$I$89,3,0)*0.475*44/12</f>
        <v>4.0684694628352585</v>
      </c>
      <c r="AB108" s="21">
        <f>EXP(-LN(2)/2)*AB107+(1-EXP(-LN(2)/2))/(LN(2)/2)*V108*Y108*VLOOKUP('Données projet'!$B$9,Paramètres!$A$1:$I$89,3,0)*0.475*44/12</f>
        <v>4.986679516983676E-8</v>
      </c>
      <c r="AC108" s="22">
        <f t="shared" si="57"/>
        <v>17.059484829585113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2.8421709430404007E-14</v>
      </c>
      <c r="AJ108" s="13">
        <f>AI108*VLOOKUP('Données projet'!$B$10,Paramètres!$A$1:$I$89,3,0)*VLOOKUP('Données projet'!$B$10,Paramètres!$A$1:$I$89,5,0)</f>
        <v>2.4829205358400945E-14</v>
      </c>
      <c r="AK108" s="13">
        <f t="shared" si="89"/>
        <v>4.3867331143352915E-13</v>
      </c>
      <c r="AL108" s="20">
        <f t="shared" si="58"/>
        <v>8.0726688341261168E-13</v>
      </c>
      <c r="AM108" s="59">
        <f t="shared" si="59"/>
        <v>293.33333333333411</v>
      </c>
      <c r="AN108" s="59">
        <f ca="1">AVERAGE(OFFSET($AM$3,0,0,'Données projet'!$E$10+1,1))-AVERAGE(OFFSET($H$3,0,0,'Données projet'!$E$10+1,1))</f>
        <v>201.61452816909701</v>
      </c>
      <c r="AO108" s="59">
        <f t="shared" si="90"/>
        <v>287.77679930887746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21.81887070987349</v>
      </c>
      <c r="AV108" s="21">
        <f>EXP(-LN(2)/25)*AV107+(1-EXP(-LN(2)/25))/(LN(2)/25)*Calculateur!AQ108*Calculateur!AS108*VLOOKUP('Données projet'!$B$10,Paramètres!$A$1:$I$89,3,0)*0.475*44/12</f>
        <v>12.268083848795586</v>
      </c>
      <c r="AW108" s="21">
        <f>EXP(-LN(2)/2)*AW107+(1-EXP(-LN(2)/2))/(LN(2)/2)*AQ108*AT108*VLOOKUP('Données projet'!$B$10,Paramètres!$A$1:$I$89,3,0)*0.475*44/12</f>
        <v>6.2795490627564522E-6</v>
      </c>
      <c r="AX108" s="21">
        <f t="shared" si="60"/>
        <v>34.08696083821814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-3.3992364478763198E-14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225.63994281336028</v>
      </c>
      <c r="BJ108" s="59">
        <f t="shared" si="92"/>
        <v>231.19476400361157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43.16911354363792</v>
      </c>
      <c r="BQ108" s="21">
        <f>EXP(-LN(2)/25)*BQ107+(1-EXP(-LN(2)/25))/(LN(2)/25)*Calculateur!BL108*Calculateur!BN108*VLOOKUP('Données projet'!$B$11,Paramètres!$A$1:$I$89,3,0)*0.475*44/12</f>
        <v>24.641113630010963</v>
      </c>
      <c r="BR108" s="21">
        <f>EXP(-LN(2)/2)*BR107+(1-EXP(-LN(2)/2))/(LN(2)/2)*BL108*BO108*VLOOKUP('Données projet'!$B$11,Paramètres!$A$1:$I$89,3,0)*0.475*44/12</f>
        <v>9.1339898202457128E-5</v>
      </c>
      <c r="BS108" s="22">
        <f t="shared" si="63"/>
        <v>67.810318513547088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2.6602720026858149E-14</v>
      </c>
      <c r="CA108" s="13">
        <f t="shared" si="93"/>
        <v>4.6624771586320878E-13</v>
      </c>
      <c r="CB108" s="20">
        <f t="shared" si="64"/>
        <v>8.583811758418665E-13</v>
      </c>
      <c r="CC108" s="59">
        <f t="shared" si="65"/>
        <v>293.33333333333417</v>
      </c>
      <c r="CD108" s="59">
        <f ca="1">AVERAGE(OFFSET($CC$3,0,0,'Données projet'!$E$12+1,1))-AVERAGE(OFFSET($H$3,0,0,'Données projet'!$E$12+1,1))</f>
        <v>111.69585394603672</v>
      </c>
      <c r="CE108" s="59">
        <f t="shared" si="94"/>
        <v>162.6701214629764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23.830662649032515</v>
      </c>
      <c r="CL108" s="21">
        <f>EXP(-LN(2)/25)*CL107+(1-EXP(-LN(2)/25))/(LN(2)/25)*Calculateur!CG108*Calculateur!CI108*VLOOKUP('Données projet'!$B$12,Paramètres!$A$1:$I$89,3,0)*0.475*44/12</f>
        <v>13.768520497873405</v>
      </c>
      <c r="CM108" s="21">
        <f>EXP(-LN(2)/2)*CM107+(1-EXP(-LN(2)/2))/(LN(2)/2)*CG108*CJ108*VLOOKUP('Données projet'!$B$12,Paramètres!$A$1:$I$89,3,0)*0.475*44/12</f>
        <v>5.4198812100024985E-6</v>
      </c>
      <c r="CN108" s="22">
        <f t="shared" si="66"/>
        <v>37.599188566787134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-5.1431925385259088E-14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320.93171542656671</v>
      </c>
      <c r="T109" s="59">
        <f t="shared" si="88"/>
        <v>452.7298965816143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12.736269430255922</v>
      </c>
      <c r="AA109" s="21">
        <f>EXP(-LN(2)/25)*AA108+(1-EXP(-LN(2)/25))/(LN(2)/25)*Calculateur!V109*Calculateur!X109*VLOOKUP('Données projet'!$B$9,Paramètres!$A$1:$I$89,3,0)*0.475*44/12</f>
        <v>3.9572169514225179</v>
      </c>
      <c r="AB109" s="21">
        <f>EXP(-LN(2)/2)*AB108+(1-EXP(-LN(2)/2))/(LN(2)/2)*V109*Y109*VLOOKUP('Données projet'!$B$9,Paramètres!$A$1:$I$89,3,0)*0.475*44/12</f>
        <v>3.5261149020632146E-8</v>
      </c>
      <c r="AC109" s="22">
        <f t="shared" si="57"/>
        <v>16.693486416939589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2.8421709430404007E-14</v>
      </c>
      <c r="AJ109" s="13">
        <f>AI109*VLOOKUP('Données projet'!$B$10,Paramètres!$A$1:$I$89,3,0)*VLOOKUP('Données projet'!$B$10,Paramètres!$A$1:$I$89,5,0)</f>
        <v>2.4829205358400945E-14</v>
      </c>
      <c r="AK109" s="13">
        <f t="shared" si="89"/>
        <v>4.3867331143352915E-13</v>
      </c>
      <c r="AL109" s="20">
        <f t="shared" si="58"/>
        <v>8.0726688341261168E-13</v>
      </c>
      <c r="AM109" s="59">
        <f t="shared" si="59"/>
        <v>293.33333333333411</v>
      </c>
      <c r="AN109" s="59">
        <f ca="1">AVERAGE(OFFSET($AM$3,0,0,'Données projet'!$E$10+1,1))-AVERAGE(OFFSET($H$3,0,0,'Données projet'!$E$10+1,1))</f>
        <v>201.61452816909701</v>
      </c>
      <c r="AO109" s="59">
        <f t="shared" si="90"/>
        <v>287.77679930887746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21.391015963449927</v>
      </c>
      <c r="AV109" s="21">
        <f>EXP(-LN(2)/25)*AV108+(1-EXP(-LN(2)/25))/(LN(2)/25)*Calculateur!AQ109*Calculateur!AS109*VLOOKUP('Données projet'!$B$10,Paramètres!$A$1:$I$89,3,0)*0.475*44/12</f>
        <v>11.93261245079978</v>
      </c>
      <c r="AW109" s="21">
        <f>EXP(-LN(2)/2)*AW108+(1-EXP(-LN(2)/2))/(LN(2)/2)*AQ109*AT109*VLOOKUP('Données projet'!$B$10,Paramètres!$A$1:$I$89,3,0)*0.475*44/12</f>
        <v>4.4403117250687161E-6</v>
      </c>
      <c r="AX109" s="21">
        <f t="shared" si="60"/>
        <v>33.323632854561438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-3.3992364478763198E-14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225.63994281336028</v>
      </c>
      <c r="BJ109" s="59">
        <f t="shared" si="92"/>
        <v>231.19476400361157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42.322593557606517</v>
      </c>
      <c r="BQ109" s="21">
        <f>EXP(-LN(2)/25)*BQ108+(1-EXP(-LN(2)/25))/(LN(2)/25)*Calculateur!BL109*Calculateur!BN109*VLOOKUP('Données projet'!$B$11,Paramètres!$A$1:$I$89,3,0)*0.475*44/12</f>
        <v>23.967301081978466</v>
      </c>
      <c r="BR109" s="21">
        <f>EXP(-LN(2)/2)*BR108+(1-EXP(-LN(2)/2))/(LN(2)/2)*BL109*BO109*VLOOKUP('Données projet'!$B$11,Paramètres!$A$1:$I$89,3,0)*0.475*44/12</f>
        <v>6.4587061411846376E-5</v>
      </c>
      <c r="BS109" s="22">
        <f t="shared" si="63"/>
        <v>66.289959226646403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2.6602720026858149E-14</v>
      </c>
      <c r="CA109" s="13">
        <f t="shared" si="93"/>
        <v>4.6624771586320878E-13</v>
      </c>
      <c r="CB109" s="20">
        <f t="shared" si="64"/>
        <v>8.583811758418665E-13</v>
      </c>
      <c r="CC109" s="59">
        <f t="shared" si="65"/>
        <v>293.33333333333417</v>
      </c>
      <c r="CD109" s="59">
        <f ca="1">AVERAGE(OFFSET($CC$3,0,0,'Données projet'!$E$12+1,1))-AVERAGE(OFFSET($H$3,0,0,'Données projet'!$E$12+1,1))</f>
        <v>111.69585394603672</v>
      </c>
      <c r="CE109" s="59">
        <f t="shared" si="94"/>
        <v>162.6701214629764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23.363357889753964</v>
      </c>
      <c r="CL109" s="21">
        <f>EXP(-LN(2)/25)*CL108+(1-EXP(-LN(2)/25))/(LN(2)/25)*Calculateur!CG109*Calculateur!CI109*VLOOKUP('Données projet'!$B$12,Paramètres!$A$1:$I$89,3,0)*0.475*44/12</f>
        <v>13.392019580804032</v>
      </c>
      <c r="CM109" s="21">
        <f>EXP(-LN(2)/2)*CM108+(1-EXP(-LN(2)/2))/(LN(2)/2)*CG109*CJ109*VLOOKUP('Données projet'!$B$12,Paramètres!$A$1:$I$89,3,0)*0.475*44/12</f>
        <v>3.8324347568183171E-6</v>
      </c>
      <c r="CN109" s="22">
        <f t="shared" si="66"/>
        <v>36.755381302992753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-5.1431925385259088E-14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320.93171542656671</v>
      </c>
      <c r="T110" s="59">
        <f t="shared" si="88"/>
        <v>452.7298965816143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12.486518955085893</v>
      </c>
      <c r="AA110" s="21">
        <f>EXP(-LN(2)/25)*AA109+(1-EXP(-LN(2)/25))/(LN(2)/25)*Calculateur!V110*Calculateur!X110*VLOOKUP('Données projet'!$B$9,Paramètres!$A$1:$I$89,3,0)*0.475*44/12</f>
        <v>3.8490066457848742</v>
      </c>
      <c r="AB110" s="21">
        <f>EXP(-LN(2)/2)*AB109+(1-EXP(-LN(2)/2))/(LN(2)/2)*V110*Y110*VLOOKUP('Données projet'!$B$9,Paramètres!$A$1:$I$89,3,0)*0.475*44/12</f>
        <v>2.493339758491838E-8</v>
      </c>
      <c r="AC110" s="22">
        <f t="shared" si="57"/>
        <v>16.335525625804166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2.8421709430404007E-14</v>
      </c>
      <c r="AJ110" s="13">
        <f>AI110*VLOOKUP('Données projet'!$B$10,Paramètres!$A$1:$I$89,3,0)*VLOOKUP('Données projet'!$B$10,Paramètres!$A$1:$I$89,5,0)</f>
        <v>2.4829205358400945E-14</v>
      </c>
      <c r="AK110" s="13">
        <f t="shared" si="89"/>
        <v>4.3867331143352915E-13</v>
      </c>
      <c r="AL110" s="20">
        <f t="shared" si="58"/>
        <v>8.0726688341261168E-13</v>
      </c>
      <c r="AM110" s="59">
        <f t="shared" si="59"/>
        <v>293.33333333333411</v>
      </c>
      <c r="AN110" s="59">
        <f ca="1">AVERAGE(OFFSET($AM$3,0,0,'Données projet'!$E$10+1,1))-AVERAGE(OFFSET($H$3,0,0,'Données projet'!$E$10+1,1))</f>
        <v>201.61452816909701</v>
      </c>
      <c r="AO110" s="59">
        <f t="shared" si="90"/>
        <v>287.77679930887746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20.971551187638106</v>
      </c>
      <c r="AV110" s="21">
        <f>EXP(-LN(2)/25)*AV109+(1-EXP(-LN(2)/25))/(LN(2)/25)*Calculateur!AQ110*Calculateur!AS110*VLOOKUP('Données projet'!$B$10,Paramètres!$A$1:$I$89,3,0)*0.475*44/12</f>
        <v>11.606314535823843</v>
      </c>
      <c r="AW110" s="21">
        <f>EXP(-LN(2)/2)*AW109+(1-EXP(-LN(2)/2))/(LN(2)/2)*AQ110*AT110*VLOOKUP('Données projet'!$B$10,Paramètres!$A$1:$I$89,3,0)*0.475*44/12</f>
        <v>3.1397745313782261E-6</v>
      </c>
      <c r="AX110" s="21">
        <f t="shared" si="60"/>
        <v>32.577868863236482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-3.3992364478763198E-14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225.63994281336028</v>
      </c>
      <c r="BJ110" s="59">
        <f t="shared" si="92"/>
        <v>231.19476400361157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41.492673312174979</v>
      </c>
      <c r="BQ110" s="21">
        <f>EXP(-LN(2)/25)*BQ109+(1-EXP(-LN(2)/25))/(LN(2)/25)*Calculateur!BL110*Calculateur!BN110*VLOOKUP('Données projet'!$B$11,Paramètres!$A$1:$I$89,3,0)*0.475*44/12</f>
        <v>23.311913973506179</v>
      </c>
      <c r="BR110" s="21">
        <f>EXP(-LN(2)/2)*BR109+(1-EXP(-LN(2)/2))/(LN(2)/2)*BL110*BO110*VLOOKUP('Données projet'!$B$11,Paramètres!$A$1:$I$89,3,0)*0.475*44/12</f>
        <v>4.5669949101228564E-5</v>
      </c>
      <c r="BS110" s="22">
        <f t="shared" si="63"/>
        <v>64.804632955630254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2.6602720026858149E-14</v>
      </c>
      <c r="CA110" s="13">
        <f t="shared" si="93"/>
        <v>4.6624771586320878E-13</v>
      </c>
      <c r="CB110" s="20">
        <f t="shared" si="64"/>
        <v>8.583811758418665E-13</v>
      </c>
      <c r="CC110" s="59">
        <f t="shared" si="65"/>
        <v>293.33333333333417</v>
      </c>
      <c r="CD110" s="59">
        <f ca="1">AVERAGE(OFFSET($CC$3,0,0,'Données projet'!$E$12+1,1))-AVERAGE(OFFSET($H$3,0,0,'Données projet'!$E$12+1,1))</f>
        <v>111.69585394603672</v>
      </c>
      <c r="CE110" s="59">
        <f t="shared" si="94"/>
        <v>162.6701214629764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22.905216691777106</v>
      </c>
      <c r="CL110" s="21">
        <f>EXP(-LN(2)/25)*CL109+(1-EXP(-LN(2)/25))/(LN(2)/25)*Calculateur!CG110*Calculateur!CI110*VLOOKUP('Données projet'!$B$12,Paramètres!$A$1:$I$89,3,0)*0.475*44/12</f>
        <v>13.025814101111244</v>
      </c>
      <c r="CM110" s="21">
        <f>EXP(-LN(2)/2)*CM109+(1-EXP(-LN(2)/2))/(LN(2)/2)*CG110*CJ110*VLOOKUP('Données projet'!$B$12,Paramètres!$A$1:$I$89,3,0)*0.475*44/12</f>
        <v>2.7099406050012493E-6</v>
      </c>
      <c r="CN110" s="22">
        <f t="shared" si="66"/>
        <v>35.931033502828953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-5.1431925385259088E-14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320.93171542656671</v>
      </c>
      <c r="T111" s="59">
        <f t="shared" si="88"/>
        <v>452.7298965816143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12.241665934401201</v>
      </c>
      <c r="AA111" s="21">
        <f>EXP(-LN(2)/25)*AA110+(1-EXP(-LN(2)/25))/(LN(2)/25)*Calculateur!V111*Calculateur!X111*VLOOKUP('Données projet'!$B$9,Paramètres!$A$1:$I$89,3,0)*0.475*44/12</f>
        <v>3.7437553566454245</v>
      </c>
      <c r="AB111" s="21">
        <f>EXP(-LN(2)/2)*AB110+(1-EXP(-LN(2)/2))/(LN(2)/2)*V111*Y111*VLOOKUP('Données projet'!$B$9,Paramètres!$A$1:$I$89,3,0)*0.475*44/12</f>
        <v>1.7630574510316073E-8</v>
      </c>
      <c r="AC111" s="22">
        <f t="shared" si="57"/>
        <v>15.9854213086772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2.8421709430404007E-14</v>
      </c>
      <c r="AJ111" s="13">
        <f>AI111*VLOOKUP('Données projet'!$B$10,Paramètres!$A$1:$I$89,3,0)*VLOOKUP('Données projet'!$B$10,Paramètres!$A$1:$I$89,5,0)</f>
        <v>2.4829205358400945E-14</v>
      </c>
      <c r="AK111" s="13">
        <f t="shared" si="89"/>
        <v>4.3867331143352915E-13</v>
      </c>
      <c r="AL111" s="20">
        <f t="shared" si="58"/>
        <v>8.0726688341261168E-13</v>
      </c>
      <c r="AM111" s="59">
        <f t="shared" si="59"/>
        <v>293.33333333333411</v>
      </c>
      <c r="AN111" s="59">
        <f ca="1">AVERAGE(OFFSET($AM$3,0,0,'Données projet'!$E$10+1,1))-AVERAGE(OFFSET($H$3,0,0,'Données projet'!$E$10+1,1))</f>
        <v>201.61452816909701</v>
      </c>
      <c r="AO111" s="59">
        <f t="shared" si="90"/>
        <v>287.77679930887746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20.560311860231703</v>
      </c>
      <c r="AV111" s="21">
        <f>EXP(-LN(2)/25)*AV110+(1-EXP(-LN(2)/25))/(LN(2)/25)*Calculateur!AQ111*Calculateur!AS111*VLOOKUP('Données projet'!$B$10,Paramètres!$A$1:$I$89,3,0)*0.475*44/12</f>
        <v>11.288939254492185</v>
      </c>
      <c r="AW111" s="21">
        <f>EXP(-LN(2)/2)*AW110+(1-EXP(-LN(2)/2))/(LN(2)/2)*AQ111*AT111*VLOOKUP('Données projet'!$B$10,Paramètres!$A$1:$I$89,3,0)*0.475*44/12</f>
        <v>2.2201558625343581E-6</v>
      </c>
      <c r="AX111" s="21">
        <f t="shared" si="60"/>
        <v>31.849253334879752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-3.3992364478763198E-14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225.63994281336028</v>
      </c>
      <c r="BJ111" s="59">
        <f t="shared" si="92"/>
        <v>231.19476400361157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40.679027296554985</v>
      </c>
      <c r="BQ111" s="21">
        <f>EXP(-LN(2)/25)*BQ110+(1-EXP(-LN(2)/25))/(LN(2)/25)*Calculateur!BL111*Calculateur!BN111*VLOOKUP('Données projet'!$B$11,Paramètres!$A$1:$I$89,3,0)*0.475*44/12</f>
        <v>22.674448459980376</v>
      </c>
      <c r="BR111" s="21">
        <f>EXP(-LN(2)/2)*BR110+(1-EXP(-LN(2)/2))/(LN(2)/2)*BL111*BO111*VLOOKUP('Données projet'!$B$11,Paramètres!$A$1:$I$89,3,0)*0.475*44/12</f>
        <v>3.2293530705923188E-5</v>
      </c>
      <c r="BS111" s="22">
        <f t="shared" si="63"/>
        <v>63.353508050066068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2.6602720026858149E-14</v>
      </c>
      <c r="CA111" s="13">
        <f t="shared" si="93"/>
        <v>4.6624771586320878E-13</v>
      </c>
      <c r="CB111" s="20">
        <f t="shared" si="64"/>
        <v>8.583811758418665E-13</v>
      </c>
      <c r="CC111" s="59">
        <f t="shared" si="65"/>
        <v>293.33333333333417</v>
      </c>
      <c r="CD111" s="59">
        <f ca="1">AVERAGE(OFFSET($CC$3,0,0,'Données projet'!$E$12+1,1))-AVERAGE(OFFSET($H$3,0,0,'Données projet'!$E$12+1,1))</f>
        <v>111.69585394603672</v>
      </c>
      <c r="CE111" s="59">
        <f t="shared" si="94"/>
        <v>162.6701214629764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22.456059363254038</v>
      </c>
      <c r="CL111" s="21">
        <f>EXP(-LN(2)/25)*CL110+(1-EXP(-LN(2)/25))/(LN(2)/25)*Calculateur!CG111*Calculateur!CI111*VLOOKUP('Données projet'!$B$12,Paramètres!$A$1:$I$89,3,0)*0.475*44/12</f>
        <v>12.669622529518564</v>
      </c>
      <c r="CM111" s="21">
        <f>EXP(-LN(2)/2)*CM110+(1-EXP(-LN(2)/2))/(LN(2)/2)*CG111*CJ111*VLOOKUP('Données projet'!$B$12,Paramètres!$A$1:$I$89,3,0)*0.475*44/12</f>
        <v>1.9162173784091585E-6</v>
      </c>
      <c r="CN111" s="22">
        <f t="shared" si="66"/>
        <v>35.125683808989983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-5.1431925385259088E-14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320.93171542656671</v>
      </c>
      <c r="T112" s="59">
        <f t="shared" si="88"/>
        <v>452.7298965816143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12.00161433210654</v>
      </c>
      <c r="AA112" s="21">
        <f>EXP(-LN(2)/25)*AA111+(1-EXP(-LN(2)/25))/(LN(2)/25)*Calculateur!V112*Calculateur!X112*VLOOKUP('Données projet'!$B$9,Paramètres!$A$1:$I$89,3,0)*0.475*44/12</f>
        <v>3.6413821695424176</v>
      </c>
      <c r="AB112" s="21">
        <f>EXP(-LN(2)/2)*AB111+(1-EXP(-LN(2)/2))/(LN(2)/2)*V112*Y112*VLOOKUP('Données projet'!$B$9,Paramètres!$A$1:$I$89,3,0)*0.475*44/12</f>
        <v>1.246669879245919E-8</v>
      </c>
      <c r="AC112" s="22">
        <f t="shared" si="57"/>
        <v>15.642996514115657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2.8421709430404007E-14</v>
      </c>
      <c r="AJ112" s="13">
        <f>AI112*VLOOKUP('Données projet'!$B$10,Paramètres!$A$1:$I$89,3,0)*VLOOKUP('Données projet'!$B$10,Paramètres!$A$1:$I$89,5,0)</f>
        <v>2.4829205358400945E-14</v>
      </c>
      <c r="AK112" s="13">
        <f t="shared" si="89"/>
        <v>4.3867331143352915E-13</v>
      </c>
      <c r="AL112" s="20">
        <f t="shared" si="58"/>
        <v>8.0726688341261168E-13</v>
      </c>
      <c r="AM112" s="59">
        <f t="shared" si="59"/>
        <v>293.33333333333411</v>
      </c>
      <c r="AN112" s="59">
        <f ca="1">AVERAGE(OFFSET($AM$3,0,0,'Données projet'!$E$10+1,1))-AVERAGE(OFFSET($H$3,0,0,'Données projet'!$E$10+1,1))</f>
        <v>201.61452816909701</v>
      </c>
      <c r="AO112" s="59">
        <f t="shared" si="90"/>
        <v>287.77679930887746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20.157136685204517</v>
      </c>
      <c r="AV112" s="21">
        <f>EXP(-LN(2)/25)*AV111+(1-EXP(-LN(2)/25))/(LN(2)/25)*Calculateur!AQ112*Calculateur!AS112*VLOOKUP('Données projet'!$B$10,Paramètres!$A$1:$I$89,3,0)*0.475*44/12</f>
        <v>10.980242616918582</v>
      </c>
      <c r="AW112" s="21">
        <f>EXP(-LN(2)/2)*AW111+(1-EXP(-LN(2)/2))/(LN(2)/2)*AQ112*AT112*VLOOKUP('Données projet'!$B$10,Paramètres!$A$1:$I$89,3,0)*0.475*44/12</f>
        <v>1.569887265689113E-6</v>
      </c>
      <c r="AX112" s="21">
        <f t="shared" si="60"/>
        <v>31.137380872010368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-3.3992364478763198E-14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225.63994281336028</v>
      </c>
      <c r="BJ112" s="59">
        <f t="shared" si="92"/>
        <v>231.19476400361157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39.881336383026238</v>
      </c>
      <c r="BQ112" s="21">
        <f>EXP(-LN(2)/25)*BQ111+(1-EXP(-LN(2)/25))/(LN(2)/25)*Calculateur!BL112*Calculateur!BN112*VLOOKUP('Données projet'!$B$11,Paramètres!$A$1:$I$89,3,0)*0.475*44/12</f>
        <v>22.054414474444791</v>
      </c>
      <c r="BR112" s="21">
        <f>EXP(-LN(2)/2)*BR111+(1-EXP(-LN(2)/2))/(LN(2)/2)*BL112*BO112*VLOOKUP('Données projet'!$B$11,Paramètres!$A$1:$I$89,3,0)*0.475*44/12</f>
        <v>2.2834974550614282E-5</v>
      </c>
      <c r="BS112" s="22">
        <f t="shared" si="63"/>
        <v>61.935773692445579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2.6602720026858149E-14</v>
      </c>
      <c r="CA112" s="13">
        <f t="shared" si="93"/>
        <v>4.6624771586320878E-13</v>
      </c>
      <c r="CB112" s="20">
        <f t="shared" si="64"/>
        <v>8.583811758418665E-13</v>
      </c>
      <c r="CC112" s="59">
        <f t="shared" si="65"/>
        <v>293.33333333333417</v>
      </c>
      <c r="CD112" s="59">
        <f ca="1">AVERAGE(OFFSET($CC$3,0,0,'Données projet'!$E$12+1,1))-AVERAGE(OFFSET($H$3,0,0,'Données projet'!$E$12+1,1))</f>
        <v>111.69585394603672</v>
      </c>
      <c r="CE112" s="59">
        <f t="shared" si="94"/>
        <v>162.6701214629764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22.015709735984387</v>
      </c>
      <c r="CL112" s="21">
        <f>EXP(-LN(2)/25)*CL111+(1-EXP(-LN(2)/25))/(LN(2)/25)*Calculateur!CG112*Calculateur!CI112*VLOOKUP('Données projet'!$B$12,Paramètres!$A$1:$I$89,3,0)*0.475*44/12</f>
        <v>12.323171035182387</v>
      </c>
      <c r="CM112" s="21">
        <f>EXP(-LN(2)/2)*CM111+(1-EXP(-LN(2)/2))/(LN(2)/2)*CG112*CJ112*VLOOKUP('Données projet'!$B$12,Paramètres!$A$1:$I$89,3,0)*0.475*44/12</f>
        <v>1.3549703025006246E-6</v>
      </c>
      <c r="CN112" s="22">
        <f t="shared" si="66"/>
        <v>34.338882126137072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-5.1431925385259088E-14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320.93171542656671</v>
      </c>
      <c r="T113" s="59">
        <f t="shared" si="88"/>
        <v>452.7298965816143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11.766269995315858</v>
      </c>
      <c r="AA113" s="21">
        <f>EXP(-LN(2)/25)*AA112+(1-EXP(-LN(2)/25))/(LN(2)/25)*Calculateur!V113*Calculateur!X113*VLOOKUP('Données projet'!$B$9,Paramètres!$A$1:$I$89,3,0)*0.475*44/12</f>
        <v>3.5418083826243145</v>
      </c>
      <c r="AB113" s="21">
        <f>EXP(-LN(2)/2)*AB112+(1-EXP(-LN(2)/2))/(LN(2)/2)*V113*Y113*VLOOKUP('Données projet'!$B$9,Paramètres!$A$1:$I$89,3,0)*0.475*44/12</f>
        <v>8.8152872551580365E-9</v>
      </c>
      <c r="AC113" s="22">
        <f t="shared" si="57"/>
        <v>15.30807838675546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2.8421709430404007E-14</v>
      </c>
      <c r="AJ113" s="13">
        <f>AI113*VLOOKUP('Données projet'!$B$10,Paramètres!$A$1:$I$89,3,0)*VLOOKUP('Données projet'!$B$10,Paramètres!$A$1:$I$89,5,0)</f>
        <v>2.4829205358400945E-14</v>
      </c>
      <c r="AK113" s="13">
        <f t="shared" si="89"/>
        <v>4.3867331143352915E-13</v>
      </c>
      <c r="AL113" s="20">
        <f t="shared" si="58"/>
        <v>8.0726688341261168E-13</v>
      </c>
      <c r="AM113" s="59">
        <f t="shared" si="59"/>
        <v>293.33333333333411</v>
      </c>
      <c r="AN113" s="59">
        <f ca="1">AVERAGE(OFFSET($AM$3,0,0,'Données projet'!$E$10+1,1))-AVERAGE(OFFSET($H$3,0,0,'Données projet'!$E$10+1,1))</f>
        <v>201.61452816909701</v>
      </c>
      <c r="AO113" s="59">
        <f t="shared" si="90"/>
        <v>287.77679930887746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19.761867529447038</v>
      </c>
      <c r="AV113" s="21">
        <f>EXP(-LN(2)/25)*AV112+(1-EXP(-LN(2)/25))/(LN(2)/25)*Calculateur!AQ113*Calculateur!AS113*VLOOKUP('Données projet'!$B$10,Paramètres!$A$1:$I$89,3,0)*0.475*44/12</f>
        <v>10.67998730513308</v>
      </c>
      <c r="AW113" s="21">
        <f>EXP(-LN(2)/2)*AW112+(1-EXP(-LN(2)/2))/(LN(2)/2)*AQ113*AT113*VLOOKUP('Données projet'!$B$10,Paramètres!$A$1:$I$89,3,0)*0.475*44/12</f>
        <v>1.110077931267179E-6</v>
      </c>
      <c r="AX113" s="21">
        <f t="shared" si="60"/>
        <v>30.441855944658052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-3.3992364478763198E-14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225.63994281336028</v>
      </c>
      <c r="BJ113" s="59">
        <f t="shared" si="92"/>
        <v>231.19476400361157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39.099287701768368</v>
      </c>
      <c r="BQ113" s="21">
        <f>EXP(-LN(2)/25)*BQ112+(1-EXP(-LN(2)/25))/(LN(2)/25)*Calculateur!BL113*Calculateur!BN113*VLOOKUP('Données projet'!$B$11,Paramètres!$A$1:$I$89,3,0)*0.475*44/12</f>
        <v>21.451335350849845</v>
      </c>
      <c r="BR113" s="21">
        <f>EXP(-LN(2)/2)*BR112+(1-EXP(-LN(2)/2))/(LN(2)/2)*BL113*BO113*VLOOKUP('Données projet'!$B$11,Paramètres!$A$1:$I$89,3,0)*0.475*44/12</f>
        <v>1.6146765352961594E-5</v>
      </c>
      <c r="BS113" s="22">
        <f t="shared" si="63"/>
        <v>60.550639199383568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2.6602720026858149E-14</v>
      </c>
      <c r="CA113" s="13">
        <f t="shared" si="93"/>
        <v>4.6624771586320878E-13</v>
      </c>
      <c r="CB113" s="20">
        <f t="shared" si="64"/>
        <v>8.583811758418665E-13</v>
      </c>
      <c r="CC113" s="59">
        <f t="shared" si="65"/>
        <v>293.33333333333417</v>
      </c>
      <c r="CD113" s="59">
        <f ca="1">AVERAGE(OFFSET($CC$3,0,0,'Données projet'!$E$12+1,1))-AVERAGE(OFFSET($H$3,0,0,'Données projet'!$E$12+1,1))</f>
        <v>111.69585394603672</v>
      </c>
      <c r="CE113" s="59">
        <f t="shared" si="94"/>
        <v>162.6701214629764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21.583995096318741</v>
      </c>
      <c r="CL113" s="21">
        <f>EXP(-LN(2)/25)*CL112+(1-EXP(-LN(2)/25))/(LN(2)/25)*Calculateur!CG113*Calculateur!CI113*VLOOKUP('Données projet'!$B$12,Paramètres!$A$1:$I$89,3,0)*0.475*44/12</f>
        <v>11.986193275177925</v>
      </c>
      <c r="CM113" s="21">
        <f>EXP(-LN(2)/2)*CM112+(1-EXP(-LN(2)/2))/(LN(2)/2)*CG113*CJ113*VLOOKUP('Données projet'!$B$12,Paramètres!$A$1:$I$89,3,0)*0.475*44/12</f>
        <v>9.5810868920457927E-7</v>
      </c>
      <c r="CN113" s="22">
        <f t="shared" si="66"/>
        <v>33.570189329605356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-5.1431925385259088E-14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320.93171542656671</v>
      </c>
      <c r="T114" s="59">
        <f t="shared" si="88"/>
        <v>452.7298965816143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11.535540617423768</v>
      </c>
      <c r="AA114" s="21">
        <f>EXP(-LN(2)/25)*AA113+(1-EXP(-LN(2)/25))/(LN(2)/25)*Calculateur!V114*Calculateur!X114*VLOOKUP('Données projet'!$B$9,Paramètres!$A$1:$I$89,3,0)*0.475*44/12</f>
        <v>3.4449574461458448</v>
      </c>
      <c r="AB114" s="21">
        <f>EXP(-LN(2)/2)*AB113+(1-EXP(-LN(2)/2))/(LN(2)/2)*V114*Y114*VLOOKUP('Données projet'!$B$9,Paramètres!$A$1:$I$89,3,0)*0.475*44/12</f>
        <v>6.233349396229595E-9</v>
      </c>
      <c r="AC114" s="22">
        <f t="shared" si="57"/>
        <v>14.980498069802962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2.8421709430404007E-14</v>
      </c>
      <c r="AJ114" s="13">
        <f>AI114*VLOOKUP('Données projet'!$B$10,Paramètres!$A$1:$I$89,3,0)*VLOOKUP('Données projet'!$B$10,Paramètres!$A$1:$I$89,5,0)</f>
        <v>2.4829205358400945E-14</v>
      </c>
      <c r="AK114" s="13">
        <f t="shared" si="89"/>
        <v>4.3867331143352915E-13</v>
      </c>
      <c r="AL114" s="20">
        <f t="shared" si="58"/>
        <v>8.0726688341261168E-13</v>
      </c>
      <c r="AM114" s="59">
        <f t="shared" si="59"/>
        <v>293.33333333333411</v>
      </c>
      <c r="AN114" s="59">
        <f ca="1">AVERAGE(OFFSET($AM$3,0,0,'Données projet'!$E$10+1,1))-AVERAGE(OFFSET($H$3,0,0,'Données projet'!$E$10+1,1))</f>
        <v>201.61452816909701</v>
      </c>
      <c r="AO114" s="59">
        <f t="shared" si="90"/>
        <v>287.77679930887746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19.374349360743587</v>
      </c>
      <c r="AV114" s="21">
        <f>EXP(-LN(2)/25)*AV113+(1-EXP(-LN(2)/25))/(LN(2)/25)*Calculateur!AQ114*Calculateur!AS114*VLOOKUP('Données projet'!$B$10,Paramètres!$A$1:$I$89,3,0)*0.475*44/12</f>
        <v>10.387942490638093</v>
      </c>
      <c r="AW114" s="21">
        <f>EXP(-LN(2)/2)*AW113+(1-EXP(-LN(2)/2))/(LN(2)/2)*AQ114*AT114*VLOOKUP('Données projet'!$B$10,Paramètres!$A$1:$I$89,3,0)*0.475*44/12</f>
        <v>7.8494363284455652E-7</v>
      </c>
      <c r="AX114" s="21">
        <f t="shared" si="60"/>
        <v>29.762292636325313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-3.3992364478763198E-14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225.63994281336028</v>
      </c>
      <c r="BJ114" s="59">
        <f t="shared" si="92"/>
        <v>231.19476400361157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38.332574518147375</v>
      </c>
      <c r="BQ114" s="21">
        <f>EXP(-LN(2)/25)*BQ113+(1-EXP(-LN(2)/25))/(LN(2)/25)*Calculateur!BL114*Calculateur!BN114*VLOOKUP('Données projet'!$B$11,Paramètres!$A$1:$I$89,3,0)*0.475*44/12</f>
        <v>20.864747457604157</v>
      </c>
      <c r="BR114" s="21">
        <f>EXP(-LN(2)/2)*BR113+(1-EXP(-LN(2)/2))/(LN(2)/2)*BL114*BO114*VLOOKUP('Données projet'!$B$11,Paramètres!$A$1:$I$89,3,0)*0.475*44/12</f>
        <v>1.1417487275307141E-5</v>
      </c>
      <c r="BS114" s="22">
        <f t="shared" si="63"/>
        <v>59.197333393238807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2.6602720026858149E-14</v>
      </c>
      <c r="CA114" s="13">
        <f t="shared" si="93"/>
        <v>4.6624771586320878E-13</v>
      </c>
      <c r="CB114" s="20">
        <f t="shared" si="64"/>
        <v>8.583811758418665E-13</v>
      </c>
      <c r="CC114" s="59">
        <f t="shared" si="65"/>
        <v>293.33333333333417</v>
      </c>
      <c r="CD114" s="59">
        <f ca="1">AVERAGE(OFFSET($CC$3,0,0,'Données projet'!$E$12+1,1))-AVERAGE(OFFSET($H$3,0,0,'Données projet'!$E$12+1,1))</f>
        <v>111.69585394603672</v>
      </c>
      <c r="CE114" s="59">
        <f t="shared" si="94"/>
        <v>162.6701214629764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21.160746117417009</v>
      </c>
      <c r="CL114" s="21">
        <f>EXP(-LN(2)/25)*CL113+(1-EXP(-LN(2)/25))/(LN(2)/25)*Calculateur!CG114*Calculateur!CI114*VLOOKUP('Données projet'!$B$12,Paramètres!$A$1:$I$89,3,0)*0.475*44/12</f>
        <v>11.658430189741676</v>
      </c>
      <c r="CM114" s="21">
        <f>EXP(-LN(2)/2)*CM113+(1-EXP(-LN(2)/2))/(LN(2)/2)*CG114*CJ114*VLOOKUP('Données projet'!$B$12,Paramètres!$A$1:$I$89,3,0)*0.475*44/12</f>
        <v>6.7748515125031232E-7</v>
      </c>
      <c r="CN114" s="22">
        <f t="shared" si="66"/>
        <v>32.819176984643839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-5.1431925385259088E-14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320.93171542656671</v>
      </c>
      <c r="T115" s="59">
        <f t="shared" si="88"/>
        <v>452.7298965816143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11.309335701901119</v>
      </c>
      <c r="AA115" s="21">
        <f>EXP(-LN(2)/25)*AA114+(1-EXP(-LN(2)/25))/(LN(2)/25)*Calculateur!V115*Calculateur!X115*VLOOKUP('Données projet'!$B$9,Paramètres!$A$1:$I$89,3,0)*0.475*44/12</f>
        <v>3.3507549036185482</v>
      </c>
      <c r="AB115" s="21">
        <f>EXP(-LN(2)/2)*AB114+(1-EXP(-LN(2)/2))/(LN(2)/2)*V115*Y115*VLOOKUP('Données projet'!$B$9,Paramètres!$A$1:$I$89,3,0)*0.475*44/12</f>
        <v>4.4076436275790183E-9</v>
      </c>
      <c r="AC115" s="22">
        <f t="shared" si="57"/>
        <v>14.660090609927311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2.8421709430404007E-14</v>
      </c>
      <c r="AJ115" s="13">
        <f>AI115*VLOOKUP('Données projet'!$B$10,Paramètres!$A$1:$I$89,3,0)*VLOOKUP('Données projet'!$B$10,Paramètres!$A$1:$I$89,5,0)</f>
        <v>2.4829205358400945E-14</v>
      </c>
      <c r="AK115" s="13">
        <f t="shared" si="89"/>
        <v>4.3867331143352915E-13</v>
      </c>
      <c r="AL115" s="20">
        <f t="shared" si="58"/>
        <v>8.0726688341261168E-13</v>
      </c>
      <c r="AM115" s="59">
        <f t="shared" si="59"/>
        <v>293.33333333333411</v>
      </c>
      <c r="AN115" s="59">
        <f ca="1">AVERAGE(OFFSET($AM$3,0,0,'Données projet'!$E$10+1,1))-AVERAGE(OFFSET($H$3,0,0,'Données projet'!$E$10+1,1))</f>
        <v>201.61452816909701</v>
      </c>
      <c r="AO115" s="59">
        <f t="shared" si="90"/>
        <v>287.77679930887746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18.994430186965666</v>
      </c>
      <c r="AV115" s="21">
        <f>EXP(-LN(2)/25)*AV114+(1-EXP(-LN(2)/25))/(LN(2)/25)*Calculateur!AQ115*Calculateur!AS115*VLOOKUP('Données projet'!$B$10,Paramètres!$A$1:$I$89,3,0)*0.475*44/12</f>
        <v>10.103883656953441</v>
      </c>
      <c r="AW115" s="21">
        <f>EXP(-LN(2)/2)*AW114+(1-EXP(-LN(2)/2))/(LN(2)/2)*AQ115*AT115*VLOOKUP('Données projet'!$B$10,Paramètres!$A$1:$I$89,3,0)*0.475*44/12</f>
        <v>5.5503896563358952E-7</v>
      </c>
      <c r="AX115" s="21">
        <f t="shared" si="60"/>
        <v>29.098314398958074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-3.3992364478763198E-14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225.63994281336028</v>
      </c>
      <c r="BJ115" s="59">
        <f t="shared" si="92"/>
        <v>231.19476400361157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37.580896112408325</v>
      </c>
      <c r="BQ115" s="21">
        <f>EXP(-LN(2)/25)*BQ114+(1-EXP(-LN(2)/25))/(LN(2)/25)*Calculateur!BL115*Calculateur!BN115*VLOOKUP('Données projet'!$B$11,Paramètres!$A$1:$I$89,3,0)*0.475*44/12</f>
        <v>20.29419984114659</v>
      </c>
      <c r="BR115" s="21">
        <f>EXP(-LN(2)/2)*BR114+(1-EXP(-LN(2)/2))/(LN(2)/2)*BL115*BO115*VLOOKUP('Données projet'!$B$11,Paramètres!$A$1:$I$89,3,0)*0.475*44/12</f>
        <v>8.073382676480797E-6</v>
      </c>
      <c r="BS115" s="22">
        <f t="shared" si="63"/>
        <v>57.875104026937592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2.6602720026858149E-14</v>
      </c>
      <c r="CA115" s="13">
        <f t="shared" si="93"/>
        <v>4.6624771586320878E-13</v>
      </c>
      <c r="CB115" s="20">
        <f t="shared" si="64"/>
        <v>8.583811758418665E-13</v>
      </c>
      <c r="CC115" s="59">
        <f t="shared" si="65"/>
        <v>293.33333333333417</v>
      </c>
      <c r="CD115" s="59">
        <f ca="1">AVERAGE(OFFSET($CC$3,0,0,'Données projet'!$E$12+1,1))-AVERAGE(OFFSET($H$3,0,0,'Données projet'!$E$12+1,1))</f>
        <v>111.69585394603672</v>
      </c>
      <c r="CE115" s="59">
        <f t="shared" si="94"/>
        <v>162.6701214629764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20.745796792835154</v>
      </c>
      <c r="CL115" s="21">
        <f>EXP(-LN(2)/25)*CL114+(1-EXP(-LN(2)/25))/(LN(2)/25)*Calculateur!CG115*Calculateur!CI115*VLOOKUP('Données projet'!$B$12,Paramètres!$A$1:$I$89,3,0)*0.475*44/12</f>
        <v>11.339629803112992</v>
      </c>
      <c r="CM115" s="21">
        <f>EXP(-LN(2)/2)*CM114+(1-EXP(-LN(2)/2))/(LN(2)/2)*CG115*CJ115*VLOOKUP('Données projet'!$B$12,Paramètres!$A$1:$I$89,3,0)*0.475*44/12</f>
        <v>4.7905434460228963E-7</v>
      </c>
      <c r="CN115" s="22">
        <f t="shared" si="66"/>
        <v>32.085427075002492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-5.1431925385259088E-14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320.93171542656671</v>
      </c>
      <c r="T116" s="59">
        <f t="shared" si="88"/>
        <v>452.7298965816143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11.087566526800494</v>
      </c>
      <c r="AA116" s="21">
        <f>EXP(-LN(2)/25)*AA115+(1-EXP(-LN(2)/25))/(LN(2)/25)*Calculateur!V116*Calculateur!X116*VLOOKUP('Données projet'!$B$9,Paramètres!$A$1:$I$89,3,0)*0.475*44/12</f>
        <v>3.2591283345705571</v>
      </c>
      <c r="AB116" s="21">
        <f>EXP(-LN(2)/2)*AB115+(1-EXP(-LN(2)/2))/(LN(2)/2)*V116*Y116*VLOOKUP('Données projet'!$B$9,Paramètres!$A$1:$I$89,3,0)*0.475*44/12</f>
        <v>3.1166746981147975E-9</v>
      </c>
      <c r="AC116" s="22">
        <f t="shared" si="57"/>
        <v>14.346694864487725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2.8421709430404007E-14</v>
      </c>
      <c r="AJ116" s="13">
        <f>AI116*VLOOKUP('Données projet'!$B$10,Paramètres!$A$1:$I$89,3,0)*VLOOKUP('Données projet'!$B$10,Paramètres!$A$1:$I$89,5,0)</f>
        <v>2.4829205358400945E-14</v>
      </c>
      <c r="AK116" s="13">
        <f t="shared" si="89"/>
        <v>4.3867331143352915E-13</v>
      </c>
      <c r="AL116" s="20">
        <f t="shared" si="58"/>
        <v>8.0726688341261168E-13</v>
      </c>
      <c r="AM116" s="59">
        <f t="shared" si="59"/>
        <v>293.33333333333411</v>
      </c>
      <c r="AN116" s="59">
        <f ca="1">AVERAGE(OFFSET($AM$3,0,0,'Données projet'!$E$10+1,1))-AVERAGE(OFFSET($H$3,0,0,'Données projet'!$E$10+1,1))</f>
        <v>201.61452816909701</v>
      </c>
      <c r="AO116" s="59">
        <f t="shared" si="90"/>
        <v>287.77679930887746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18.621960996457712</v>
      </c>
      <c r="AV116" s="21">
        <f>EXP(-LN(2)/25)*AV115+(1-EXP(-LN(2)/25))/(LN(2)/25)*Calculateur!AQ116*Calculateur!AS116*VLOOKUP('Données projet'!$B$10,Paramètres!$A$1:$I$89,3,0)*0.475*44/12</f>
        <v>9.8275924270139008</v>
      </c>
      <c r="AW116" s="21">
        <f>EXP(-LN(2)/2)*AW115+(1-EXP(-LN(2)/2))/(LN(2)/2)*AQ116*AT116*VLOOKUP('Données projet'!$B$10,Paramètres!$A$1:$I$89,3,0)*0.475*44/12</f>
        <v>3.9247181642227826E-7</v>
      </c>
      <c r="AX116" s="21">
        <f t="shared" si="60"/>
        <v>28.449553815943428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-3.3992364478763198E-14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225.63994281336028</v>
      </c>
      <c r="BJ116" s="59">
        <f t="shared" si="92"/>
        <v>231.19476400361157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36.843957661727259</v>
      </c>
      <c r="BQ116" s="21">
        <f>EXP(-LN(2)/25)*BQ115+(1-EXP(-LN(2)/25))/(LN(2)/25)*Calculateur!BL116*Calculateur!BN116*VLOOKUP('Données projet'!$B$11,Paramètres!$A$1:$I$89,3,0)*0.475*44/12</f>
        <v>19.739253879264851</v>
      </c>
      <c r="BR116" s="21">
        <f>EXP(-LN(2)/2)*BR115+(1-EXP(-LN(2)/2))/(LN(2)/2)*BL116*BO116*VLOOKUP('Données projet'!$B$11,Paramètres!$A$1:$I$89,3,0)*0.475*44/12</f>
        <v>5.7087436376535705E-6</v>
      </c>
      <c r="BS116" s="22">
        <f t="shared" si="63"/>
        <v>56.583217249735746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2.6602720026858149E-14</v>
      </c>
      <c r="CA116" s="13">
        <f t="shared" si="93"/>
        <v>4.6624771586320878E-13</v>
      </c>
      <c r="CB116" s="20">
        <f t="shared" si="64"/>
        <v>8.583811758418665E-13</v>
      </c>
      <c r="CC116" s="59">
        <f t="shared" si="65"/>
        <v>293.33333333333417</v>
      </c>
      <c r="CD116" s="59">
        <f ca="1">AVERAGE(OFFSET($CC$3,0,0,'Données projet'!$E$12+1,1))-AVERAGE(OFFSET($H$3,0,0,'Données projet'!$E$12+1,1))</f>
        <v>111.69585394603672</v>
      </c>
      <c r="CE116" s="59">
        <f t="shared" si="94"/>
        <v>162.6701214629764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20.338984371414252</v>
      </c>
      <c r="CL116" s="21">
        <f>EXP(-LN(2)/25)*CL115+(1-EXP(-LN(2)/25))/(LN(2)/25)*Calculateur!CG116*Calculateur!CI116*VLOOKUP('Données projet'!$B$12,Paramètres!$A$1:$I$89,3,0)*0.475*44/12</f>
        <v>11.029547029821652</v>
      </c>
      <c r="CM116" s="21">
        <f>EXP(-LN(2)/2)*CM115+(1-EXP(-LN(2)/2))/(LN(2)/2)*CG116*CJ116*VLOOKUP('Données projet'!$B$12,Paramètres!$A$1:$I$89,3,0)*0.475*44/12</f>
        <v>3.3874257562515616E-7</v>
      </c>
      <c r="CN116" s="22">
        <f t="shared" si="66"/>
        <v>31.368531739978483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-5.1431925385259088E-14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320.93171542656671</v>
      </c>
      <c r="T117" s="59">
        <f t="shared" si="88"/>
        <v>452.7298965816143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10.870146109957751</v>
      </c>
      <c r="AA117" s="21">
        <f>EXP(-LN(2)/25)*AA116+(1-EXP(-LN(2)/25))/(LN(2)/25)*Calculateur!V117*Calculateur!X117*VLOOKUP('Données projet'!$B$9,Paramètres!$A$1:$I$89,3,0)*0.475*44/12</f>
        <v>3.170007298871615</v>
      </c>
      <c r="AB117" s="21">
        <f>EXP(-LN(2)/2)*AB116+(1-EXP(-LN(2)/2))/(LN(2)/2)*V117*Y117*VLOOKUP('Données projet'!$B$9,Paramètres!$A$1:$I$89,3,0)*0.475*44/12</f>
        <v>2.2038218137895091E-9</v>
      </c>
      <c r="AC117" s="22">
        <f t="shared" si="57"/>
        <v>14.040153411033188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2.8421709430404007E-14</v>
      </c>
      <c r="AJ117" s="13">
        <f>AI117*VLOOKUP('Données projet'!$B$10,Paramètres!$A$1:$I$89,3,0)*VLOOKUP('Données projet'!$B$10,Paramètres!$A$1:$I$89,5,0)</f>
        <v>2.4829205358400945E-14</v>
      </c>
      <c r="AK117" s="13">
        <f t="shared" si="89"/>
        <v>4.3867331143352915E-13</v>
      </c>
      <c r="AL117" s="20">
        <f t="shared" si="58"/>
        <v>8.0726688341261168E-13</v>
      </c>
      <c r="AM117" s="59">
        <f t="shared" si="59"/>
        <v>293.33333333333411</v>
      </c>
      <c r="AN117" s="59">
        <f ca="1">AVERAGE(OFFSET($AM$3,0,0,'Données projet'!$E$10+1,1))-AVERAGE(OFFSET($H$3,0,0,'Données projet'!$E$10+1,1))</f>
        <v>201.61452816909701</v>
      </c>
      <c r="AO117" s="59">
        <f t="shared" si="90"/>
        <v>287.77679930887746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18.256795699591848</v>
      </c>
      <c r="AV117" s="21">
        <f>EXP(-LN(2)/25)*AV116+(1-EXP(-LN(2)/25))/(LN(2)/25)*Calculateur!AQ117*Calculateur!AS117*VLOOKUP('Données projet'!$B$10,Paramètres!$A$1:$I$89,3,0)*0.475*44/12</f>
        <v>9.5588563952865808</v>
      </c>
      <c r="AW117" s="21">
        <f>EXP(-LN(2)/2)*AW116+(1-EXP(-LN(2)/2))/(LN(2)/2)*AQ117*AT117*VLOOKUP('Données projet'!$B$10,Paramètres!$A$1:$I$89,3,0)*0.475*44/12</f>
        <v>2.7751948281679476E-7</v>
      </c>
      <c r="AX117" s="21">
        <f t="shared" si="60"/>
        <v>27.815652372397913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-3.3992364478763198E-14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225.63994281336028</v>
      </c>
      <c r="BJ117" s="59">
        <f t="shared" si="92"/>
        <v>231.19476400361157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36.121470124575978</v>
      </c>
      <c r="BQ117" s="21">
        <f>EXP(-LN(2)/25)*BQ116+(1-EXP(-LN(2)/25))/(LN(2)/25)*Calculateur!BL117*Calculateur!BN117*VLOOKUP('Données projet'!$B$11,Paramètres!$A$1:$I$89,3,0)*0.475*44/12</f>
        <v>19.199482943894107</v>
      </c>
      <c r="BR117" s="21">
        <f>EXP(-LN(2)/2)*BR116+(1-EXP(-LN(2)/2))/(LN(2)/2)*BL117*BO117*VLOOKUP('Données projet'!$B$11,Paramètres!$A$1:$I$89,3,0)*0.475*44/12</f>
        <v>4.0366913382403985E-6</v>
      </c>
      <c r="BS117" s="22">
        <f t="shared" si="63"/>
        <v>55.320957105161426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2.6602720026858149E-14</v>
      </c>
      <c r="CA117" s="13">
        <f t="shared" si="93"/>
        <v>4.6624771586320878E-13</v>
      </c>
      <c r="CB117" s="20">
        <f t="shared" si="64"/>
        <v>8.583811758418665E-13</v>
      </c>
      <c r="CC117" s="59">
        <f t="shared" si="65"/>
        <v>293.33333333333417</v>
      </c>
      <c r="CD117" s="59">
        <f ca="1">AVERAGE(OFFSET($CC$3,0,0,'Données projet'!$E$12+1,1))-AVERAGE(OFFSET($H$3,0,0,'Données projet'!$E$12+1,1))</f>
        <v>111.69585394603672</v>
      </c>
      <c r="CE117" s="59">
        <f t="shared" si="94"/>
        <v>162.6701214629764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19.940149293446339</v>
      </c>
      <c r="CL117" s="21">
        <f>EXP(-LN(2)/25)*CL116+(1-EXP(-LN(2)/25))/(LN(2)/25)*Calculateur!CG117*Calculateur!CI117*VLOOKUP('Données projet'!$B$12,Paramètres!$A$1:$I$89,3,0)*0.475*44/12</f>
        <v>10.727943486272508</v>
      </c>
      <c r="CM117" s="21">
        <f>EXP(-LN(2)/2)*CM116+(1-EXP(-LN(2)/2))/(LN(2)/2)*CG117*CJ117*VLOOKUP('Données projet'!$B$12,Paramètres!$A$1:$I$89,3,0)*0.475*44/12</f>
        <v>2.3952717230114482E-7</v>
      </c>
      <c r="CN117" s="22">
        <f t="shared" si="66"/>
        <v>30.668093019246019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-5.1431925385259088E-14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320.93171542656671</v>
      </c>
      <c r="T118" s="59">
        <f t="shared" si="88"/>
        <v>452.7298965816143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10.656989174875935</v>
      </c>
      <c r="AA118" s="21">
        <f>EXP(-LN(2)/25)*AA117+(1-EXP(-LN(2)/25))/(LN(2)/25)*Calculateur!V118*Calculateur!X118*VLOOKUP('Données projet'!$B$9,Paramètres!$A$1:$I$89,3,0)*0.475*44/12</f>
        <v>3.0833232825805319</v>
      </c>
      <c r="AB118" s="21">
        <f>EXP(-LN(2)/2)*AB117+(1-EXP(-LN(2)/2))/(LN(2)/2)*V118*Y118*VLOOKUP('Données projet'!$B$9,Paramètres!$A$1:$I$89,3,0)*0.475*44/12</f>
        <v>1.5583373490573987E-9</v>
      </c>
      <c r="AC118" s="22">
        <f t="shared" si="57"/>
        <v>13.740312459014804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2.8421709430404007E-14</v>
      </c>
      <c r="AJ118" s="13">
        <f>AI118*VLOOKUP('Données projet'!$B$10,Paramètres!$A$1:$I$89,3,0)*VLOOKUP('Données projet'!$B$10,Paramètres!$A$1:$I$89,5,0)</f>
        <v>2.4829205358400945E-14</v>
      </c>
      <c r="AK118" s="13">
        <f t="shared" si="89"/>
        <v>4.3867331143352915E-13</v>
      </c>
      <c r="AL118" s="20">
        <f t="shared" si="58"/>
        <v>8.0726688341261168E-13</v>
      </c>
      <c r="AM118" s="59">
        <f t="shared" si="59"/>
        <v>293.33333333333411</v>
      </c>
      <c r="AN118" s="59">
        <f ca="1">AVERAGE(OFFSET($AM$3,0,0,'Données projet'!$E$10+1,1))-AVERAGE(OFFSET($H$3,0,0,'Données projet'!$E$10+1,1))</f>
        <v>201.61452816909701</v>
      </c>
      <c r="AO118" s="59">
        <f t="shared" si="90"/>
        <v>287.77679930887746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17.898791071468686</v>
      </c>
      <c r="AV118" s="21">
        <f>EXP(-LN(2)/25)*AV117+(1-EXP(-LN(2)/25))/(LN(2)/25)*Calculateur!AQ118*Calculateur!AS118*VLOOKUP('Données projet'!$B$10,Paramètres!$A$1:$I$89,3,0)*0.475*44/12</f>
        <v>9.2974689644790587</v>
      </c>
      <c r="AW118" s="21">
        <f>EXP(-LN(2)/2)*AW117+(1-EXP(-LN(2)/2))/(LN(2)/2)*AQ118*AT118*VLOOKUP('Données projet'!$B$10,Paramètres!$A$1:$I$89,3,0)*0.475*44/12</f>
        <v>1.9623590821113913E-7</v>
      </c>
      <c r="AX118" s="21">
        <f t="shared" si="60"/>
        <v>27.196260232183654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-3.3992364478763198E-14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225.63994281336028</v>
      </c>
      <c r="BJ118" s="59">
        <f t="shared" si="92"/>
        <v>231.19476400361157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35.413150127354349</v>
      </c>
      <c r="BQ118" s="21">
        <f>EXP(-LN(2)/25)*BQ117+(1-EXP(-LN(2)/25))/(LN(2)/25)*Calculateur!BL118*Calculateur!BN118*VLOOKUP('Données projet'!$B$11,Paramètres!$A$1:$I$89,3,0)*0.475*44/12</f>
        <v>18.674472073136396</v>
      </c>
      <c r="BR118" s="21">
        <f>EXP(-LN(2)/2)*BR117+(1-EXP(-LN(2)/2))/(LN(2)/2)*BL118*BO118*VLOOKUP('Données projet'!$B$11,Paramètres!$A$1:$I$89,3,0)*0.475*44/12</f>
        <v>2.8543718188267852E-6</v>
      </c>
      <c r="BS118" s="22">
        <f t="shared" si="63"/>
        <v>54.087625054862563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2.6602720026858149E-14</v>
      </c>
      <c r="CA118" s="13">
        <f t="shared" si="93"/>
        <v>4.6624771586320878E-13</v>
      </c>
      <c r="CB118" s="20">
        <f t="shared" si="64"/>
        <v>8.583811758418665E-13</v>
      </c>
      <c r="CC118" s="59">
        <f t="shared" si="65"/>
        <v>293.33333333333417</v>
      </c>
      <c r="CD118" s="59">
        <f ca="1">AVERAGE(OFFSET($CC$3,0,0,'Données projet'!$E$12+1,1))-AVERAGE(OFFSET($H$3,0,0,'Données projet'!$E$12+1,1))</f>
        <v>111.69585394603672</v>
      </c>
      <c r="CE118" s="59">
        <f t="shared" si="94"/>
        <v>162.6701214629764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19.549135128092001</v>
      </c>
      <c r="CL118" s="21">
        <f>EXP(-LN(2)/25)*CL117+(1-EXP(-LN(2)/25))/(LN(2)/25)*Calculateur!CG118*Calculateur!CI118*VLOOKUP('Données projet'!$B$12,Paramètres!$A$1:$I$89,3,0)*0.475*44/12</f>
        <v>10.434587307482358</v>
      </c>
      <c r="CM118" s="21">
        <f>EXP(-LN(2)/2)*CM117+(1-EXP(-LN(2)/2))/(LN(2)/2)*CG118*CJ118*VLOOKUP('Données projet'!$B$12,Paramètres!$A$1:$I$89,3,0)*0.475*44/12</f>
        <v>1.6937128781257808E-7</v>
      </c>
      <c r="CN118" s="22">
        <f t="shared" si="66"/>
        <v>29.983722604945644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-5.1431925385259088E-14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320.93171542656671</v>
      </c>
      <c r="T119" s="59">
        <f t="shared" si="88"/>
        <v>452.7298965816143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10.44801211727818</v>
      </c>
      <c r="AA119" s="21">
        <f>EXP(-LN(2)/25)*AA118+(1-EXP(-LN(2)/25))/(LN(2)/25)*Calculateur!V119*Calculateur!X119*VLOOKUP('Données projet'!$B$9,Paramètres!$A$1:$I$89,3,0)*0.475*44/12</f>
        <v>2.9990096452734427</v>
      </c>
      <c r="AB119" s="21">
        <f>EXP(-LN(2)/2)*AB118+(1-EXP(-LN(2)/2))/(LN(2)/2)*V119*Y119*VLOOKUP('Données projet'!$B$9,Paramètres!$A$1:$I$89,3,0)*0.475*44/12</f>
        <v>1.1019109068947546E-9</v>
      </c>
      <c r="AC119" s="22">
        <f t="shared" si="57"/>
        <v>13.447021763653535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2.8421709430404007E-14</v>
      </c>
      <c r="AJ119" s="13">
        <f>AI119*VLOOKUP('Données projet'!$B$10,Paramètres!$A$1:$I$89,3,0)*VLOOKUP('Données projet'!$B$10,Paramètres!$A$1:$I$89,5,0)</f>
        <v>2.4829205358400945E-14</v>
      </c>
      <c r="AK119" s="13">
        <f t="shared" si="89"/>
        <v>4.3867331143352915E-13</v>
      </c>
      <c r="AL119" s="20">
        <f t="shared" si="58"/>
        <v>8.0726688341261168E-13</v>
      </c>
      <c r="AM119" s="59">
        <f t="shared" si="59"/>
        <v>293.33333333333411</v>
      </c>
      <c r="AN119" s="59">
        <f ca="1">AVERAGE(OFFSET($AM$3,0,0,'Données projet'!$E$10+1,1))-AVERAGE(OFFSET($H$3,0,0,'Données projet'!$E$10+1,1))</f>
        <v>201.61452816909701</v>
      </c>
      <c r="AO119" s="59">
        <f t="shared" si="90"/>
        <v>287.77679930887746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17.547806695741755</v>
      </c>
      <c r="AV119" s="21">
        <f>EXP(-LN(2)/25)*AV118+(1-EXP(-LN(2)/25))/(LN(2)/25)*Calculateur!AQ119*Calculateur!AS119*VLOOKUP('Données projet'!$B$10,Paramètres!$A$1:$I$89,3,0)*0.475*44/12</f>
        <v>9.0432291867127361</v>
      </c>
      <c r="AW119" s="21">
        <f>EXP(-LN(2)/2)*AW118+(1-EXP(-LN(2)/2))/(LN(2)/2)*AQ119*AT119*VLOOKUP('Données projet'!$B$10,Paramètres!$A$1:$I$89,3,0)*0.475*44/12</f>
        <v>1.3875974140839738E-7</v>
      </c>
      <c r="AX119" s="21">
        <f t="shared" si="60"/>
        <v>26.591036021214233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-3.3992364478763198E-14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225.63994281336028</v>
      </c>
      <c r="BJ119" s="59">
        <f t="shared" si="92"/>
        <v>231.19476400361157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34.718719853245695</v>
      </c>
      <c r="BQ119" s="21">
        <f>EXP(-LN(2)/25)*BQ118+(1-EXP(-LN(2)/25))/(LN(2)/25)*Calculateur!BL119*Calculateur!BN119*VLOOKUP('Données projet'!$B$11,Paramètres!$A$1:$I$89,3,0)*0.475*44/12</f>
        <v>18.163817652248675</v>
      </c>
      <c r="BR119" s="21">
        <f>EXP(-LN(2)/2)*BR118+(1-EXP(-LN(2)/2))/(LN(2)/2)*BL119*BO119*VLOOKUP('Données projet'!$B$11,Paramètres!$A$1:$I$89,3,0)*0.475*44/12</f>
        <v>2.0183456691201992E-6</v>
      </c>
      <c r="BS119" s="22">
        <f t="shared" si="63"/>
        <v>52.882539523840038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2.6602720026858149E-14</v>
      </c>
      <c r="CA119" s="13">
        <f t="shared" si="93"/>
        <v>4.6624771586320878E-13</v>
      </c>
      <c r="CB119" s="20">
        <f t="shared" si="64"/>
        <v>8.583811758418665E-13</v>
      </c>
      <c r="CC119" s="59">
        <f t="shared" si="65"/>
        <v>293.33333333333417</v>
      </c>
      <c r="CD119" s="59">
        <f ca="1">AVERAGE(OFFSET($CC$3,0,0,'Données projet'!$E$12+1,1))-AVERAGE(OFFSET($H$3,0,0,'Données projet'!$E$12+1,1))</f>
        <v>111.69585394603672</v>
      </c>
      <c r="CE119" s="59">
        <f t="shared" si="94"/>
        <v>162.6701214629764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19.165788512025166</v>
      </c>
      <c r="CL119" s="21">
        <f>EXP(-LN(2)/25)*CL118+(1-EXP(-LN(2)/25))/(LN(2)/25)*Calculateur!CG119*Calculateur!CI119*VLOOKUP('Données projet'!$B$12,Paramètres!$A$1:$I$89,3,0)*0.475*44/12</f>
        <v>10.149252968828156</v>
      </c>
      <c r="CM119" s="21">
        <f>EXP(-LN(2)/2)*CM118+(1-EXP(-LN(2)/2))/(LN(2)/2)*CG119*CJ119*VLOOKUP('Données projet'!$B$12,Paramètres!$A$1:$I$89,3,0)*0.475*44/12</f>
        <v>1.1976358615057241E-7</v>
      </c>
      <c r="CN119" s="22">
        <f t="shared" si="66"/>
        <v>29.315041600616912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-5.1431925385259088E-14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320.93171542656671</v>
      </c>
      <c r="T120" s="59">
        <f t="shared" si="88"/>
        <v>452.7298965816143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10.243132972316499</v>
      </c>
      <c r="AA120" s="21">
        <f>EXP(-LN(2)/25)*AA119+(1-EXP(-LN(2)/25))/(LN(2)/25)*Calculateur!V120*Calculateur!X120*VLOOKUP('Données projet'!$B$9,Paramètres!$A$1:$I$89,3,0)*0.475*44/12</f>
        <v>2.9170015688123776</v>
      </c>
      <c r="AB120" s="21">
        <f>EXP(-LN(2)/2)*AB119+(1-EXP(-LN(2)/2))/(LN(2)/2)*V120*Y120*VLOOKUP('Données projet'!$B$9,Paramètres!$A$1:$I$89,3,0)*0.475*44/12</f>
        <v>7.7916867452869937E-10</v>
      </c>
      <c r="AC120" s="22">
        <f t="shared" si="57"/>
        <v>13.160134541908045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2.8421709430404007E-14</v>
      </c>
      <c r="AJ120" s="13">
        <f>AI120*VLOOKUP('Données projet'!$B$10,Paramètres!$A$1:$I$89,3,0)*VLOOKUP('Données projet'!$B$10,Paramètres!$A$1:$I$89,5,0)</f>
        <v>2.4829205358400945E-14</v>
      </c>
      <c r="AK120" s="13">
        <f t="shared" si="89"/>
        <v>4.3867331143352915E-13</v>
      </c>
      <c r="AL120" s="20">
        <f t="shared" si="58"/>
        <v>8.0726688341261168E-13</v>
      </c>
      <c r="AM120" s="59">
        <f t="shared" si="59"/>
        <v>293.33333333333411</v>
      </c>
      <c r="AN120" s="59">
        <f ca="1">AVERAGE(OFFSET($AM$3,0,0,'Données projet'!$E$10+1,1))-AVERAGE(OFFSET($H$3,0,0,'Données projet'!$E$10+1,1))</f>
        <v>201.61452816909701</v>
      </c>
      <c r="AO120" s="59">
        <f t="shared" si="90"/>
        <v>287.77679930887746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17.2037049095435</v>
      </c>
      <c r="AV120" s="21">
        <f>EXP(-LN(2)/25)*AV119+(1-EXP(-LN(2)/25))/(LN(2)/25)*Calculateur!AQ120*Calculateur!AS120*VLOOKUP('Données projet'!$B$10,Paramètres!$A$1:$I$89,3,0)*0.475*44/12</f>
        <v>8.7959416090393212</v>
      </c>
      <c r="AW120" s="21">
        <f>EXP(-LN(2)/2)*AW119+(1-EXP(-LN(2)/2))/(LN(2)/2)*AQ120*AT120*VLOOKUP('Données projet'!$B$10,Paramètres!$A$1:$I$89,3,0)*0.475*44/12</f>
        <v>9.8117954105569565E-8</v>
      </c>
      <c r="AX120" s="21">
        <f t="shared" si="60"/>
        <v>25.999646616700776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-3.3992364478763198E-14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225.63994281336028</v>
      </c>
      <c r="BJ120" s="59">
        <f t="shared" si="92"/>
        <v>231.19476400361157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34.037906933251669</v>
      </c>
      <c r="BQ120" s="21">
        <f>EXP(-LN(2)/25)*BQ119+(1-EXP(-LN(2)/25))/(LN(2)/25)*Calculateur!BL120*Calculateur!BN120*VLOOKUP('Données projet'!$B$11,Paramètres!$A$1:$I$89,3,0)*0.475*44/12</f>
        <v>17.667127103354279</v>
      </c>
      <c r="BR120" s="21">
        <f>EXP(-LN(2)/2)*BR119+(1-EXP(-LN(2)/2))/(LN(2)/2)*BL120*BO120*VLOOKUP('Données projet'!$B$11,Paramètres!$A$1:$I$89,3,0)*0.475*44/12</f>
        <v>1.4271859094133926E-6</v>
      </c>
      <c r="BS120" s="22">
        <f t="shared" si="63"/>
        <v>51.705035463791859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2.6602720026858149E-14</v>
      </c>
      <c r="CA120" s="13">
        <f t="shared" si="93"/>
        <v>4.6624771586320878E-13</v>
      </c>
      <c r="CB120" s="20">
        <f t="shared" si="64"/>
        <v>8.583811758418665E-13</v>
      </c>
      <c r="CC120" s="59">
        <f t="shared" si="65"/>
        <v>293.33333333333417</v>
      </c>
      <c r="CD120" s="59">
        <f ca="1">AVERAGE(OFFSET($CC$3,0,0,'Données projet'!$E$12+1,1))-AVERAGE(OFFSET($H$3,0,0,'Données projet'!$E$12+1,1))</f>
        <v>111.69585394603672</v>
      </c>
      <c r="CE120" s="59">
        <f t="shared" si="94"/>
        <v>162.6701214629764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18.789959089281055</v>
      </c>
      <c r="CL120" s="21">
        <f>EXP(-LN(2)/25)*CL119+(1-EXP(-LN(2)/25))/(LN(2)/25)*Calculateur!CG120*Calculateur!CI120*VLOOKUP('Données projet'!$B$12,Paramètres!$A$1:$I$89,3,0)*0.475*44/12</f>
        <v>9.8717211126695332</v>
      </c>
      <c r="CM120" s="21">
        <f>EXP(-LN(2)/2)*CM119+(1-EXP(-LN(2)/2))/(LN(2)/2)*CG120*CJ120*VLOOKUP('Données projet'!$B$12,Paramètres!$A$1:$I$89,3,0)*0.475*44/12</f>
        <v>8.468564390628904E-8</v>
      </c>
      <c r="CN120" s="22">
        <f t="shared" si="66"/>
        <v>28.661680286636233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-5.1431925385259088E-14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320.93171542656671</v>
      </c>
      <c r="T121" s="59">
        <f t="shared" si="88"/>
        <v>452.7298965816143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10.042271382423577</v>
      </c>
      <c r="AA121" s="21">
        <f>EXP(-LN(2)/25)*AA120+(1-EXP(-LN(2)/25))/(LN(2)/25)*Calculateur!V121*Calculateur!X121*VLOOKUP('Données projet'!$B$9,Paramètres!$A$1:$I$89,3,0)*0.475*44/12</f>
        <v>2.8372360075147576</v>
      </c>
      <c r="AB121" s="21">
        <f>EXP(-LN(2)/2)*AB120+(1-EXP(-LN(2)/2))/(LN(2)/2)*V121*Y121*VLOOKUP('Données projet'!$B$9,Paramètres!$A$1:$I$89,3,0)*0.475*44/12</f>
        <v>5.5095545344737728E-10</v>
      </c>
      <c r="AC121" s="22">
        <f t="shared" si="57"/>
        <v>12.879507390489289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2.8421709430404007E-14</v>
      </c>
      <c r="AJ121" s="13">
        <f>AI121*VLOOKUP('Données projet'!$B$10,Paramètres!$A$1:$I$89,3,0)*VLOOKUP('Données projet'!$B$10,Paramètres!$A$1:$I$89,5,0)</f>
        <v>2.4829205358400945E-14</v>
      </c>
      <c r="AK121" s="13">
        <f t="shared" si="89"/>
        <v>4.3867331143352915E-13</v>
      </c>
      <c r="AL121" s="20">
        <f t="shared" si="58"/>
        <v>8.0726688341261168E-13</v>
      </c>
      <c r="AM121" s="59">
        <f t="shared" si="59"/>
        <v>293.33333333333411</v>
      </c>
      <c r="AN121" s="59">
        <f ca="1">AVERAGE(OFFSET($AM$3,0,0,'Données projet'!$E$10+1,1))-AVERAGE(OFFSET($H$3,0,0,'Données projet'!$E$10+1,1))</f>
        <v>201.61452816909701</v>
      </c>
      <c r="AO121" s="59">
        <f t="shared" si="90"/>
        <v>287.77679930887746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16.866350749491229</v>
      </c>
      <c r="AV121" s="21">
        <f>EXP(-LN(2)/25)*AV120+(1-EXP(-LN(2)/25))/(LN(2)/25)*Calculateur!AQ121*Calculateur!AS121*VLOOKUP('Données projet'!$B$10,Paramètres!$A$1:$I$89,3,0)*0.475*44/12</f>
        <v>8.5554161231816757</v>
      </c>
      <c r="AW121" s="21">
        <f>EXP(-LN(2)/2)*AW120+(1-EXP(-LN(2)/2))/(LN(2)/2)*AQ121*AT121*VLOOKUP('Données projet'!$B$10,Paramètres!$A$1:$I$89,3,0)*0.475*44/12</f>
        <v>6.9379870704198689E-8</v>
      </c>
      <c r="AX121" s="21">
        <f t="shared" si="60"/>
        <v>25.421766942052773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-3.3992364478763198E-14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225.63994281336028</v>
      </c>
      <c r="BJ121" s="59">
        <f t="shared" si="92"/>
        <v>231.19476400361157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33.37044433936385</v>
      </c>
      <c r="BQ121" s="21">
        <f>EXP(-LN(2)/25)*BQ120+(1-EXP(-LN(2)/25))/(LN(2)/25)*Calculateur!BL121*Calculateur!BN121*VLOOKUP('Données projet'!$B$11,Paramètres!$A$1:$I$89,3,0)*0.475*44/12</f>
        <v>17.184018583639219</v>
      </c>
      <c r="BR121" s="21">
        <f>EXP(-LN(2)/2)*BR120+(1-EXP(-LN(2)/2))/(LN(2)/2)*BL121*BO121*VLOOKUP('Données projet'!$B$11,Paramètres!$A$1:$I$89,3,0)*0.475*44/12</f>
        <v>1.0091728345600996E-6</v>
      </c>
      <c r="BS121" s="22">
        <f t="shared" si="63"/>
        <v>50.554463932175906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2.6602720026858149E-14</v>
      </c>
      <c r="CA121" s="13">
        <f t="shared" si="93"/>
        <v>4.6624771586320878E-13</v>
      </c>
      <c r="CB121" s="20">
        <f t="shared" si="64"/>
        <v>8.583811758418665E-13</v>
      </c>
      <c r="CC121" s="59">
        <f t="shared" si="65"/>
        <v>293.33333333333417</v>
      </c>
      <c r="CD121" s="59">
        <f ca="1">AVERAGE(OFFSET($CC$3,0,0,'Données projet'!$E$12+1,1))-AVERAGE(OFFSET($H$3,0,0,'Données projet'!$E$12+1,1))</f>
        <v>111.69585394603672</v>
      </c>
      <c r="CE121" s="59">
        <f t="shared" si="94"/>
        <v>162.6701214629764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18.421499452283644</v>
      </c>
      <c r="CL121" s="21">
        <f>EXP(-LN(2)/25)*CL120+(1-EXP(-LN(2)/25))/(LN(2)/25)*Calculateur!CG121*Calculateur!CI121*VLOOKUP('Données projet'!$B$12,Paramètres!$A$1:$I$89,3,0)*0.475*44/12</f>
        <v>9.6017783797123339</v>
      </c>
      <c r="CM121" s="21">
        <f>EXP(-LN(2)/2)*CM120+(1-EXP(-LN(2)/2))/(LN(2)/2)*CG121*CJ121*VLOOKUP('Données projet'!$B$12,Paramètres!$A$1:$I$89,3,0)*0.475*44/12</f>
        <v>5.9881793075286204E-8</v>
      </c>
      <c r="CN121" s="22">
        <f t="shared" si="66"/>
        <v>28.023277891877768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-5.1431925385259088E-14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320.93171542656671</v>
      </c>
      <c r="T122" s="59">
        <f t="shared" si="88"/>
        <v>452.7298965816143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9.845348565794982</v>
      </c>
      <c r="AA122" s="21">
        <f>EXP(-LN(2)/25)*AA121+(1-EXP(-LN(2)/25))/(LN(2)/25)*Calculateur!V122*Calculateur!X122*VLOOKUP('Données projet'!$B$9,Paramètres!$A$1:$I$89,3,0)*0.475*44/12</f>
        <v>2.7596516396855093</v>
      </c>
      <c r="AB122" s="21">
        <f>EXP(-LN(2)/2)*AB121+(1-EXP(-LN(2)/2))/(LN(2)/2)*V122*Y122*VLOOKUP('Données projet'!$B$9,Paramètres!$A$1:$I$89,3,0)*0.475*44/12</f>
        <v>3.8958433726434969E-10</v>
      </c>
      <c r="AC122" s="22">
        <f t="shared" si="57"/>
        <v>12.605000205870075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2.8421709430404007E-14</v>
      </c>
      <c r="AJ122" s="13">
        <f>AI122*VLOOKUP('Données projet'!$B$10,Paramètres!$A$1:$I$89,3,0)*VLOOKUP('Données projet'!$B$10,Paramètres!$A$1:$I$89,5,0)</f>
        <v>2.4829205358400945E-14</v>
      </c>
      <c r="AK122" s="13">
        <f t="shared" si="89"/>
        <v>4.3867331143352915E-13</v>
      </c>
      <c r="AL122" s="20">
        <f t="shared" si="58"/>
        <v>8.0726688341261168E-13</v>
      </c>
      <c r="AM122" s="59">
        <f t="shared" si="59"/>
        <v>293.33333333333411</v>
      </c>
      <c r="AN122" s="59">
        <f ca="1">AVERAGE(OFFSET($AM$3,0,0,'Données projet'!$E$10+1,1))-AVERAGE(OFFSET($H$3,0,0,'Données projet'!$E$10+1,1))</f>
        <v>201.61452816909701</v>
      </c>
      <c r="AO122" s="59">
        <f t="shared" si="90"/>
        <v>287.77679930887746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16.53561189875186</v>
      </c>
      <c r="AV122" s="21">
        <f>EXP(-LN(2)/25)*AV121+(1-EXP(-LN(2)/25))/(LN(2)/25)*Calculateur!AQ122*Calculateur!AS122*VLOOKUP('Données projet'!$B$10,Paramètres!$A$1:$I$89,3,0)*0.475*44/12</f>
        <v>8.3214678193834928</v>
      </c>
      <c r="AW122" s="21">
        <f>EXP(-LN(2)/2)*AW121+(1-EXP(-LN(2)/2))/(LN(2)/2)*AQ122*AT122*VLOOKUP('Données projet'!$B$10,Paramètres!$A$1:$I$89,3,0)*0.475*44/12</f>
        <v>4.9058977052784783E-8</v>
      </c>
      <c r="AX122" s="21">
        <f t="shared" si="60"/>
        <v>24.857079767194328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-3.3992364478763198E-14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225.63994281336028</v>
      </c>
      <c r="BJ122" s="59">
        <f t="shared" si="92"/>
        <v>231.19476400361157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32.716070279830184</v>
      </c>
      <c r="BQ122" s="21">
        <f>EXP(-LN(2)/25)*BQ121+(1-EXP(-LN(2)/25))/(LN(2)/25)*Calculateur!BL122*Calculateur!BN122*VLOOKUP('Données projet'!$B$11,Paramètres!$A$1:$I$89,3,0)*0.475*44/12</f>
        <v>16.714120691801341</v>
      </c>
      <c r="BR122" s="21">
        <f>EXP(-LN(2)/2)*BR121+(1-EXP(-LN(2)/2))/(LN(2)/2)*BL122*BO122*VLOOKUP('Données projet'!$B$11,Paramètres!$A$1:$I$89,3,0)*0.475*44/12</f>
        <v>7.1359295470669631E-7</v>
      </c>
      <c r="BS122" s="22">
        <f t="shared" si="63"/>
        <v>49.430191685224479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2.6602720026858149E-14</v>
      </c>
      <c r="CA122" s="13">
        <f t="shared" si="93"/>
        <v>4.6624771586320878E-13</v>
      </c>
      <c r="CB122" s="20">
        <f t="shared" si="64"/>
        <v>8.583811758418665E-13</v>
      </c>
      <c r="CC122" s="59">
        <f t="shared" si="65"/>
        <v>293.33333333333417</v>
      </c>
      <c r="CD122" s="59">
        <f ca="1">AVERAGE(OFFSET($CC$3,0,0,'Données projet'!$E$12+1,1))-AVERAGE(OFFSET($H$3,0,0,'Données projet'!$E$12+1,1))</f>
        <v>111.69585394603672</v>
      </c>
      <c r="CE122" s="59">
        <f t="shared" si="94"/>
        <v>162.6701214629764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18.060265084029563</v>
      </c>
      <c r="CL122" s="21">
        <f>EXP(-LN(2)/25)*CL121+(1-EXP(-LN(2)/25))/(LN(2)/25)*Calculateur!CG122*Calculateur!CI122*VLOOKUP('Données projet'!$B$12,Paramètres!$A$1:$I$89,3,0)*0.475*44/12</f>
        <v>9.3392172449835211</v>
      </c>
      <c r="CM122" s="21">
        <f>EXP(-LN(2)/2)*CM121+(1-EXP(-LN(2)/2))/(LN(2)/2)*CG122*CJ122*VLOOKUP('Données projet'!$B$12,Paramètres!$A$1:$I$89,3,0)*0.475*44/12</f>
        <v>4.234282195314452E-8</v>
      </c>
      <c r="CN122" s="22">
        <f t="shared" si="66"/>
        <v>27.399482371355905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-5.1431925385259088E-14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320.93171542656671</v>
      </c>
      <c r="T123" s="59">
        <f t="shared" si="88"/>
        <v>452.7298965816143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9.6522872854894164</v>
      </c>
      <c r="AA123" s="21">
        <f>EXP(-LN(2)/25)*AA122+(1-EXP(-LN(2)/25))/(LN(2)/25)*Calculateur!V123*Calculateur!X123*VLOOKUP('Données projet'!$B$9,Paramètres!$A$1:$I$89,3,0)*0.475*44/12</f>
        <v>2.6841888204745366</v>
      </c>
      <c r="AB123" s="21">
        <f>EXP(-LN(2)/2)*AB122+(1-EXP(-LN(2)/2))/(LN(2)/2)*V123*Y123*VLOOKUP('Données projet'!$B$9,Paramètres!$A$1:$I$89,3,0)*0.475*44/12</f>
        <v>2.7547772672368864E-10</v>
      </c>
      <c r="AC123" s="22">
        <f t="shared" si="57"/>
        <v>12.336476106239431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2.8421709430404007E-14</v>
      </c>
      <c r="AJ123" s="13">
        <f>AI123*VLOOKUP('Données projet'!$B$10,Paramètres!$A$1:$I$89,3,0)*VLOOKUP('Données projet'!$B$10,Paramètres!$A$1:$I$89,5,0)</f>
        <v>2.4829205358400945E-14</v>
      </c>
      <c r="AK123" s="13">
        <f t="shared" si="89"/>
        <v>4.3867331143352915E-13</v>
      </c>
      <c r="AL123" s="20">
        <f t="shared" si="58"/>
        <v>8.0726688341261168E-13</v>
      </c>
      <c r="AM123" s="59">
        <f t="shared" si="59"/>
        <v>293.33333333333411</v>
      </c>
      <c r="AN123" s="59">
        <f ca="1">AVERAGE(OFFSET($AM$3,0,0,'Données projet'!$E$10+1,1))-AVERAGE(OFFSET($H$3,0,0,'Données projet'!$E$10+1,1))</f>
        <v>201.61452816909701</v>
      </c>
      <c r="AO123" s="59">
        <f t="shared" si="90"/>
        <v>287.77679930887746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16.211358635144713</v>
      </c>
      <c r="AV123" s="21">
        <f>EXP(-LN(2)/25)*AV122+(1-EXP(-LN(2)/25))/(LN(2)/25)*Calculateur!AQ123*Calculateur!AS123*VLOOKUP('Données projet'!$B$10,Paramètres!$A$1:$I$89,3,0)*0.475*44/12</f>
        <v>8.0939168442554781</v>
      </c>
      <c r="AW123" s="21">
        <f>EXP(-LN(2)/2)*AW122+(1-EXP(-LN(2)/2))/(LN(2)/2)*AQ123*AT123*VLOOKUP('Données projet'!$B$10,Paramètres!$A$1:$I$89,3,0)*0.475*44/12</f>
        <v>3.4689935352099345E-8</v>
      </c>
      <c r="AX123" s="21">
        <f t="shared" si="60"/>
        <v>24.305275514090127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-3.3992364478763198E-14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225.63994281336028</v>
      </c>
      <c r="BJ123" s="59">
        <f t="shared" si="92"/>
        <v>231.19476400361157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32.074528096475206</v>
      </c>
      <c r="BQ123" s="21">
        <f>EXP(-LN(2)/25)*BQ122+(1-EXP(-LN(2)/25))/(LN(2)/25)*Calculateur!BL123*Calculateur!BN123*VLOOKUP('Données projet'!$B$11,Paramètres!$A$1:$I$89,3,0)*0.475*44/12</f>
        <v>16.257072182526628</v>
      </c>
      <c r="BR123" s="21">
        <f>EXP(-LN(2)/2)*BR122+(1-EXP(-LN(2)/2))/(LN(2)/2)*BL123*BO123*VLOOKUP('Données projet'!$B$11,Paramètres!$A$1:$I$89,3,0)*0.475*44/12</f>
        <v>5.0458641728004981E-7</v>
      </c>
      <c r="BS123" s="22">
        <f t="shared" si="63"/>
        <v>48.33160078358825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2.6602720026858149E-14</v>
      </c>
      <c r="CA123" s="13">
        <f t="shared" si="93"/>
        <v>4.6624771586320878E-13</v>
      </c>
      <c r="CB123" s="20">
        <f t="shared" si="64"/>
        <v>8.583811758418665E-13</v>
      </c>
      <c r="CC123" s="59">
        <f t="shared" si="65"/>
        <v>293.33333333333417</v>
      </c>
      <c r="CD123" s="59">
        <f ca="1">AVERAGE(OFFSET($CC$3,0,0,'Données projet'!$E$12+1,1))-AVERAGE(OFFSET($H$3,0,0,'Données projet'!$E$12+1,1))</f>
        <v>111.69585394603672</v>
      </c>
      <c r="CE123" s="59">
        <f t="shared" si="94"/>
        <v>162.6701214629764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17.706114301405737</v>
      </c>
      <c r="CL123" s="21">
        <f>EXP(-LN(2)/25)*CL122+(1-EXP(-LN(2)/25))/(LN(2)/25)*Calculateur!CG123*Calculateur!CI123*VLOOKUP('Données projet'!$B$12,Paramètres!$A$1:$I$89,3,0)*0.475*44/12</f>
        <v>9.0838358582913568</v>
      </c>
      <c r="CM123" s="21">
        <f>EXP(-LN(2)/2)*CM122+(1-EXP(-LN(2)/2))/(LN(2)/2)*CG123*CJ123*VLOOKUP('Données projet'!$B$12,Paramètres!$A$1:$I$89,3,0)*0.475*44/12</f>
        <v>2.9940896537643102E-8</v>
      </c>
      <c r="CN123" s="22">
        <f t="shared" si="66"/>
        <v>26.789950189637988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-5.1431925385259088E-14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320.93171542656671</v>
      </c>
      <c r="T124" s="59">
        <f t="shared" si="88"/>
        <v>452.7298965816143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9.4630118191348895</v>
      </c>
      <c r="AA124" s="21">
        <f>EXP(-LN(2)/25)*AA123+(1-EXP(-LN(2)/25))/(LN(2)/25)*Calculateur!V124*Calculateur!X124*VLOOKUP('Données projet'!$B$9,Paramètres!$A$1:$I$89,3,0)*0.475*44/12</f>
        <v>2.6107895360233049</v>
      </c>
      <c r="AB124" s="21">
        <f>EXP(-LN(2)/2)*AB123+(1-EXP(-LN(2)/2))/(LN(2)/2)*V124*Y124*VLOOKUP('Données projet'!$B$9,Paramètres!$A$1:$I$89,3,0)*0.475*44/12</f>
        <v>1.9479216863217484E-10</v>
      </c>
      <c r="AC124" s="22">
        <f t="shared" si="57"/>
        <v>12.073801355352986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2.8421709430404007E-14</v>
      </c>
      <c r="AJ124" s="13">
        <f>AI124*VLOOKUP('Données projet'!$B$10,Paramètres!$A$1:$I$89,3,0)*VLOOKUP('Données projet'!$B$10,Paramètres!$A$1:$I$89,5,0)</f>
        <v>2.4829205358400945E-14</v>
      </c>
      <c r="AK124" s="13">
        <f t="shared" si="89"/>
        <v>4.3867331143352915E-13</v>
      </c>
      <c r="AL124" s="20">
        <f t="shared" si="58"/>
        <v>8.0726688341261168E-13</v>
      </c>
      <c r="AM124" s="59">
        <f t="shared" si="59"/>
        <v>293.33333333333411</v>
      </c>
      <c r="AN124" s="59">
        <f ca="1">AVERAGE(OFFSET($AM$3,0,0,'Données projet'!$E$10+1,1))-AVERAGE(OFFSET($H$3,0,0,'Données projet'!$E$10+1,1))</f>
        <v>201.61452816909701</v>
      </c>
      <c r="AO124" s="59">
        <f t="shared" si="90"/>
        <v>287.77679930887746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15.893463780261937</v>
      </c>
      <c r="AV124" s="21">
        <f>EXP(-LN(2)/25)*AV123+(1-EXP(-LN(2)/25))/(LN(2)/25)*Calculateur!AQ124*Calculateur!AS124*VLOOKUP('Données projet'!$B$10,Paramètres!$A$1:$I$89,3,0)*0.475*44/12</f>
        <v>7.8725882625087245</v>
      </c>
      <c r="AW124" s="21">
        <f>EXP(-LN(2)/2)*AW123+(1-EXP(-LN(2)/2))/(LN(2)/2)*AQ124*AT124*VLOOKUP('Données projet'!$B$10,Paramètres!$A$1:$I$89,3,0)*0.475*44/12</f>
        <v>2.4529488526392391E-8</v>
      </c>
      <c r="AX124" s="21">
        <f t="shared" si="60"/>
        <v>23.766052067300148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-3.3992364478763198E-14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225.63994281336028</v>
      </c>
      <c r="BJ124" s="59">
        <f t="shared" si="92"/>
        <v>231.19476400361157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31.445566164033728</v>
      </c>
      <c r="BQ124" s="21">
        <f>EXP(-LN(2)/25)*BQ123+(1-EXP(-LN(2)/25))/(LN(2)/25)*Calculateur!BL124*Calculateur!BN124*VLOOKUP('Données projet'!$B$11,Paramètres!$A$1:$I$89,3,0)*0.475*44/12</f>
        <v>15.812521688773167</v>
      </c>
      <c r="BR124" s="21">
        <f>EXP(-LN(2)/2)*BR123+(1-EXP(-LN(2)/2))/(LN(2)/2)*BL124*BO124*VLOOKUP('Données projet'!$B$11,Paramètres!$A$1:$I$89,3,0)*0.475*44/12</f>
        <v>3.5679647735334816E-7</v>
      </c>
      <c r="BS124" s="22">
        <f t="shared" si="63"/>
        <v>47.258088209603372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2.6602720026858149E-14</v>
      </c>
      <c r="CA124" s="13">
        <f t="shared" si="93"/>
        <v>4.6624771586320878E-13</v>
      </c>
      <c r="CB124" s="20">
        <f t="shared" si="64"/>
        <v>8.583811758418665E-13</v>
      </c>
      <c r="CC124" s="59">
        <f t="shared" si="65"/>
        <v>293.33333333333417</v>
      </c>
      <c r="CD124" s="59">
        <f ca="1">AVERAGE(OFFSET($CC$3,0,0,'Données projet'!$E$12+1,1))-AVERAGE(OFFSET($H$3,0,0,'Données projet'!$E$12+1,1))</f>
        <v>111.69585394603672</v>
      </c>
      <c r="CE124" s="59">
        <f t="shared" si="94"/>
        <v>162.6701214629764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17.358908199618515</v>
      </c>
      <c r="CL124" s="21">
        <f>EXP(-LN(2)/25)*CL123+(1-EXP(-LN(2)/25))/(LN(2)/25)*Calculateur!CG124*Calculateur!CI124*VLOOKUP('Données projet'!$B$12,Paramètres!$A$1:$I$89,3,0)*0.475*44/12</f>
        <v>8.8354378890482135</v>
      </c>
      <c r="CM124" s="21">
        <f>EXP(-LN(2)/2)*CM123+(1-EXP(-LN(2)/2))/(LN(2)/2)*CG124*CJ124*VLOOKUP('Données projet'!$B$12,Paramètres!$A$1:$I$89,3,0)*0.475*44/12</f>
        <v>2.117141097657226E-8</v>
      </c>
      <c r="CN124" s="22">
        <f t="shared" si="66"/>
        <v>26.194346109838136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-5.1431925385259088E-14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320.93171542656671</v>
      </c>
      <c r="T125" s="59">
        <f t="shared" si="88"/>
        <v>452.7298965816143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9.2774479292289396</v>
      </c>
      <c r="AA125" s="21">
        <f>EXP(-LN(2)/25)*AA124+(1-EXP(-LN(2)/25))/(LN(2)/25)*Calculateur!V125*Calculateur!X125*VLOOKUP('Données projet'!$B$9,Paramètres!$A$1:$I$89,3,0)*0.475*44/12</f>
        <v>2.5393973588652932</v>
      </c>
      <c r="AB125" s="21">
        <f>EXP(-LN(2)/2)*AB124+(1-EXP(-LN(2)/2))/(LN(2)/2)*V125*Y125*VLOOKUP('Données projet'!$B$9,Paramètres!$A$1:$I$89,3,0)*0.475*44/12</f>
        <v>1.3773886336184432E-10</v>
      </c>
      <c r="AC125" s="22">
        <f t="shared" si="57"/>
        <v>11.816845288231971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2.8421709430404007E-14</v>
      </c>
      <c r="AJ125" s="13">
        <f>AI125*VLOOKUP('Données projet'!$B$10,Paramètres!$A$1:$I$89,3,0)*VLOOKUP('Données projet'!$B$10,Paramètres!$A$1:$I$89,5,0)</f>
        <v>2.4829205358400945E-14</v>
      </c>
      <c r="AK125" s="13">
        <f t="shared" si="89"/>
        <v>4.3867331143352915E-13</v>
      </c>
      <c r="AL125" s="20">
        <f t="shared" si="58"/>
        <v>8.0726688341261168E-13</v>
      </c>
      <c r="AM125" s="59">
        <f t="shared" si="59"/>
        <v>293.33333333333411</v>
      </c>
      <c r="AN125" s="59">
        <f ca="1">AVERAGE(OFFSET($AM$3,0,0,'Données projet'!$E$10+1,1))-AVERAGE(OFFSET($H$3,0,0,'Données projet'!$E$10+1,1))</f>
        <v>201.61452816909701</v>
      </c>
      <c r="AO125" s="59">
        <f t="shared" si="90"/>
        <v>287.77679930887746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15.581802649586699</v>
      </c>
      <c r="AV125" s="21">
        <f>EXP(-LN(2)/25)*AV124+(1-EXP(-LN(2)/25))/(LN(2)/25)*Calculateur!AQ125*Calculateur!AS125*VLOOKUP('Données projet'!$B$10,Paramètres!$A$1:$I$89,3,0)*0.475*44/12</f>
        <v>7.6573119224689998</v>
      </c>
      <c r="AW125" s="21">
        <f>EXP(-LN(2)/2)*AW124+(1-EXP(-LN(2)/2))/(LN(2)/2)*AQ125*AT125*VLOOKUP('Données projet'!$B$10,Paramètres!$A$1:$I$89,3,0)*0.475*44/12</f>
        <v>1.7344967676049672E-8</v>
      </c>
      <c r="AX125" s="21">
        <f t="shared" si="60"/>
        <v>23.239114589400664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-3.3992364478763198E-14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225.63994281336028</v>
      </c>
      <c r="BJ125" s="59">
        <f t="shared" si="92"/>
        <v>231.19476400361157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30.828937791458529</v>
      </c>
      <c r="BQ125" s="21">
        <f>EXP(-LN(2)/25)*BQ124+(1-EXP(-LN(2)/25))/(LN(2)/25)*Calculateur!BL125*Calculateur!BN125*VLOOKUP('Données projet'!$B$11,Paramètres!$A$1:$I$89,3,0)*0.475*44/12</f>
        <v>15.380127451649289</v>
      </c>
      <c r="BR125" s="21">
        <f>EXP(-LN(2)/2)*BR124+(1-EXP(-LN(2)/2))/(LN(2)/2)*BL125*BO125*VLOOKUP('Données projet'!$B$11,Paramètres!$A$1:$I$89,3,0)*0.475*44/12</f>
        <v>2.5229320864002491E-7</v>
      </c>
      <c r="BS125" s="22">
        <f t="shared" si="63"/>
        <v>46.209065495401028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2.6602720026858149E-14</v>
      </c>
      <c r="CA125" s="13">
        <f t="shared" si="93"/>
        <v>4.6624771586320878E-13</v>
      </c>
      <c r="CB125" s="20">
        <f t="shared" si="64"/>
        <v>8.583811758418665E-13</v>
      </c>
      <c r="CC125" s="59">
        <f t="shared" si="65"/>
        <v>293.33333333333417</v>
      </c>
      <c r="CD125" s="59">
        <f ca="1">AVERAGE(OFFSET($CC$3,0,0,'Données projet'!$E$12+1,1))-AVERAGE(OFFSET($H$3,0,0,'Données projet'!$E$12+1,1))</f>
        <v>111.69585394603672</v>
      </c>
      <c r="CE125" s="59">
        <f t="shared" si="94"/>
        <v>162.6701214629764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17.018510597712531</v>
      </c>
      <c r="CL125" s="21">
        <f>EXP(-LN(2)/25)*CL124+(1-EXP(-LN(2)/25))/(LN(2)/25)*Calculateur!CG125*Calculateur!CI125*VLOOKUP('Données projet'!$B$12,Paramètres!$A$1:$I$89,3,0)*0.475*44/12</f>
        <v>8.5938323753367047</v>
      </c>
      <c r="CM125" s="21">
        <f>EXP(-LN(2)/2)*CM124+(1-EXP(-LN(2)/2))/(LN(2)/2)*CG125*CJ125*VLOOKUP('Données projet'!$B$12,Paramètres!$A$1:$I$89,3,0)*0.475*44/12</f>
        <v>1.4970448268821551E-8</v>
      </c>
      <c r="CN125" s="22">
        <f t="shared" si="66"/>
        <v>25.612342988019687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-5.1431925385259088E-14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320.93171542656671</v>
      </c>
      <c r="T126" s="59">
        <f t="shared" si="88"/>
        <v>452.7298965816143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9.0955228340212475</v>
      </c>
      <c r="AA126" s="21">
        <f>EXP(-LN(2)/25)*AA125+(1-EXP(-LN(2)/25))/(LN(2)/25)*Calculateur!V126*Calculateur!X126*VLOOKUP('Données projet'!$B$9,Paramètres!$A$1:$I$89,3,0)*0.475*44/12</f>
        <v>2.4699574045460184</v>
      </c>
      <c r="AB126" s="21">
        <f>EXP(-LN(2)/2)*AB125+(1-EXP(-LN(2)/2))/(LN(2)/2)*V126*Y126*VLOOKUP('Données projet'!$B$9,Paramètres!$A$1:$I$89,3,0)*0.475*44/12</f>
        <v>9.7396084316087421E-11</v>
      </c>
      <c r="AC126" s="22">
        <f t="shared" si="57"/>
        <v>11.565480238664662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2.8421709430404007E-14</v>
      </c>
      <c r="AJ126" s="13">
        <f>AI126*VLOOKUP('Données projet'!$B$10,Paramètres!$A$1:$I$89,3,0)*VLOOKUP('Données projet'!$B$10,Paramètres!$A$1:$I$89,5,0)</f>
        <v>2.4829205358400945E-14</v>
      </c>
      <c r="AK126" s="13">
        <f t="shared" si="89"/>
        <v>4.3867331143352915E-13</v>
      </c>
      <c r="AL126" s="20">
        <f t="shared" si="58"/>
        <v>8.0726688341261168E-13</v>
      </c>
      <c r="AM126" s="59">
        <f t="shared" si="59"/>
        <v>293.33333333333411</v>
      </c>
      <c r="AN126" s="59">
        <f ca="1">AVERAGE(OFFSET($AM$3,0,0,'Données projet'!$E$10+1,1))-AVERAGE(OFFSET($H$3,0,0,'Données projet'!$E$10+1,1))</f>
        <v>201.61452816909701</v>
      </c>
      <c r="AO126" s="59">
        <f t="shared" si="90"/>
        <v>287.77679930887746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15.276253003589481</v>
      </c>
      <c r="AV126" s="21">
        <f>EXP(-LN(2)/25)*AV125+(1-EXP(-LN(2)/25))/(LN(2)/25)*Calculateur!AQ126*Calculateur!AS126*VLOOKUP('Données projet'!$B$10,Paramètres!$A$1:$I$89,3,0)*0.475*44/12</f>
        <v>7.4479223252685518</v>
      </c>
      <c r="AW126" s="21">
        <f>EXP(-LN(2)/2)*AW125+(1-EXP(-LN(2)/2))/(LN(2)/2)*AQ126*AT126*VLOOKUP('Données projet'!$B$10,Paramètres!$A$1:$I$89,3,0)*0.475*44/12</f>
        <v>1.2264744263196196E-8</v>
      </c>
      <c r="AX126" s="21">
        <f t="shared" si="60"/>
        <v>22.724175341122777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-3.3992364478763198E-14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225.63994281336028</v>
      </c>
      <c r="BJ126" s="59">
        <f t="shared" si="92"/>
        <v>231.19476400361157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30.224401125163361</v>
      </c>
      <c r="BQ126" s="21">
        <f>EXP(-LN(2)/25)*BQ125+(1-EXP(-LN(2)/25))/(LN(2)/25)*Calculateur!BL126*Calculateur!BN126*VLOOKUP('Données projet'!$B$11,Paramètres!$A$1:$I$89,3,0)*0.475*44/12</f>
        <v>14.959557057678188</v>
      </c>
      <c r="BR126" s="21">
        <f>EXP(-LN(2)/2)*BR125+(1-EXP(-LN(2)/2))/(LN(2)/2)*BL126*BO126*VLOOKUP('Données projet'!$B$11,Paramètres!$A$1:$I$89,3,0)*0.475*44/12</f>
        <v>1.7839823867667408E-7</v>
      </c>
      <c r="BS126" s="22">
        <f t="shared" si="63"/>
        <v>45.183958361239789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2.6602720026858149E-14</v>
      </c>
      <c r="CA126" s="13">
        <f t="shared" si="93"/>
        <v>4.6624771586320878E-13</v>
      </c>
      <c r="CB126" s="20">
        <f t="shared" si="64"/>
        <v>8.583811758418665E-13</v>
      </c>
      <c r="CC126" s="59">
        <f t="shared" si="65"/>
        <v>293.33333333333417</v>
      </c>
      <c r="CD126" s="59">
        <f ca="1">AVERAGE(OFFSET($CC$3,0,0,'Données projet'!$E$12+1,1))-AVERAGE(OFFSET($H$3,0,0,'Données projet'!$E$12+1,1))</f>
        <v>111.69585394603672</v>
      </c>
      <c r="CE126" s="59">
        <f t="shared" si="94"/>
        <v>162.6701214629764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16.684787985157886</v>
      </c>
      <c r="CL126" s="21">
        <f>EXP(-LN(2)/25)*CL125+(1-EXP(-LN(2)/25))/(LN(2)/25)*Calculateur!CG126*Calculateur!CI126*VLOOKUP('Données projet'!$B$12,Paramètres!$A$1:$I$89,3,0)*0.475*44/12</f>
        <v>8.3588335771031197</v>
      </c>
      <c r="CM126" s="21">
        <f>EXP(-LN(2)/2)*CM125+(1-EXP(-LN(2)/2))/(LN(2)/2)*CG126*CJ126*VLOOKUP('Données projet'!$B$12,Paramètres!$A$1:$I$89,3,0)*0.475*44/12</f>
        <v>1.058570548828613E-8</v>
      </c>
      <c r="CN126" s="22">
        <f t="shared" si="66"/>
        <v>25.04362157284671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-5.1431925385259088E-14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320.93171542656671</v>
      </c>
      <c r="T127" s="59">
        <f t="shared" si="88"/>
        <v>452.7298965816143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8.9171651789672275</v>
      </c>
      <c r="AA127" s="21">
        <f>EXP(-LN(2)/25)*AA126+(1-EXP(-LN(2)/25))/(LN(2)/25)*Calculateur!V127*Calculateur!X127*VLOOKUP('Données projet'!$B$9,Paramètres!$A$1:$I$89,3,0)*0.475*44/12</f>
        <v>2.4024162894292926</v>
      </c>
      <c r="AB127" s="21">
        <f>EXP(-LN(2)/2)*AB126+(1-EXP(-LN(2)/2))/(LN(2)/2)*V127*Y127*VLOOKUP('Données projet'!$B$9,Paramètres!$A$1:$I$89,3,0)*0.475*44/12</f>
        <v>6.886943168092216E-11</v>
      </c>
      <c r="AC127" s="22">
        <f t="shared" si="57"/>
        <v>11.31958146846539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2.8421709430404007E-14</v>
      </c>
      <c r="AJ127" s="13">
        <f>AI127*VLOOKUP('Données projet'!$B$10,Paramètres!$A$1:$I$89,3,0)*VLOOKUP('Données projet'!$B$10,Paramètres!$A$1:$I$89,5,0)</f>
        <v>2.4829205358400945E-14</v>
      </c>
      <c r="AK127" s="13">
        <f t="shared" si="89"/>
        <v>4.3867331143352915E-13</v>
      </c>
      <c r="AL127" s="20">
        <f t="shared" si="58"/>
        <v>8.0726688341261168E-13</v>
      </c>
      <c r="AM127" s="59">
        <f t="shared" si="59"/>
        <v>293.33333333333411</v>
      </c>
      <c r="AN127" s="59">
        <f ca="1">AVERAGE(OFFSET($AM$3,0,0,'Données projet'!$E$10+1,1))-AVERAGE(OFFSET($H$3,0,0,'Données projet'!$E$10+1,1))</f>
        <v>201.61452816909701</v>
      </c>
      <c r="AO127" s="59">
        <f t="shared" si="90"/>
        <v>287.77679930887746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14.976694999783387</v>
      </c>
      <c r="AV127" s="21">
        <f>EXP(-LN(2)/25)*AV126+(1-EXP(-LN(2)/25))/(LN(2)/25)*Calculateur!AQ127*Calculateur!AS127*VLOOKUP('Données projet'!$B$10,Paramètres!$A$1:$I$89,3,0)*0.475*44/12</f>
        <v>7.2442584976148705</v>
      </c>
      <c r="AW127" s="21">
        <f>EXP(-LN(2)/2)*AW126+(1-EXP(-LN(2)/2))/(LN(2)/2)*AQ127*AT127*VLOOKUP('Données projet'!$B$10,Paramètres!$A$1:$I$89,3,0)*0.475*44/12</f>
        <v>8.6724838380248362E-9</v>
      </c>
      <c r="AX127" s="21">
        <f t="shared" si="60"/>
        <v>22.220953506070739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-3.3992364478763198E-14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225.63994281336028</v>
      </c>
      <c r="BJ127" s="59">
        <f t="shared" si="92"/>
        <v>231.19476400361157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29.631719054163284</v>
      </c>
      <c r="BQ127" s="21">
        <f>EXP(-LN(2)/25)*BQ126+(1-EXP(-LN(2)/25))/(LN(2)/25)*Calculateur!BL127*Calculateur!BN127*VLOOKUP('Données projet'!$B$11,Paramètres!$A$1:$I$89,3,0)*0.475*44/12</f>
        <v>14.550487183247062</v>
      </c>
      <c r="BR127" s="21">
        <f>EXP(-LN(2)/2)*BR126+(1-EXP(-LN(2)/2))/(LN(2)/2)*BL127*BO127*VLOOKUP('Données projet'!$B$11,Paramètres!$A$1:$I$89,3,0)*0.475*44/12</f>
        <v>1.2614660432001245E-7</v>
      </c>
      <c r="BS127" s="22">
        <f t="shared" si="63"/>
        <v>44.182206363556951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2.6602720026858149E-14</v>
      </c>
      <c r="CA127" s="13">
        <f t="shared" si="93"/>
        <v>4.6624771586320878E-13</v>
      </c>
      <c r="CB127" s="20">
        <f t="shared" si="64"/>
        <v>8.583811758418665E-13</v>
      </c>
      <c r="CC127" s="59">
        <f t="shared" si="65"/>
        <v>293.33333333333417</v>
      </c>
      <c r="CD127" s="59">
        <f ca="1">AVERAGE(OFFSET($CC$3,0,0,'Données projet'!$E$12+1,1))-AVERAGE(OFFSET($H$3,0,0,'Données projet'!$E$12+1,1))</f>
        <v>111.69585394603672</v>
      </c>
      <c r="CE127" s="59">
        <f t="shared" si="94"/>
        <v>162.6701214629764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16.357609469484743</v>
      </c>
      <c r="CL127" s="21">
        <f>EXP(-LN(2)/25)*CL126+(1-EXP(-LN(2)/25))/(LN(2)/25)*Calculateur!CG127*Calculateur!CI127*VLOOKUP('Données projet'!$B$12,Paramètres!$A$1:$I$89,3,0)*0.475*44/12</f>
        <v>8.1302608333652806</v>
      </c>
      <c r="CM127" s="21">
        <f>EXP(-LN(2)/2)*CM126+(1-EXP(-LN(2)/2))/(LN(2)/2)*CG127*CJ127*VLOOKUP('Données projet'!$B$12,Paramètres!$A$1:$I$89,3,0)*0.475*44/12</f>
        <v>7.4852241344107755E-9</v>
      </c>
      <c r="CN127" s="22">
        <f t="shared" si="66"/>
        <v>24.487870310335246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-5.1431925385259088E-14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320.93171542656671</v>
      </c>
      <c r="T128" s="59">
        <f t="shared" si="88"/>
        <v>452.7298965816143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8.7423050087413898</v>
      </c>
      <c r="AA128" s="21">
        <f>EXP(-LN(2)/25)*AA127+(1-EXP(-LN(2)/25))/(LN(2)/25)*Calculateur!V128*Calculateur!X128*VLOOKUP('Données projet'!$B$9,Paramètres!$A$1:$I$89,3,0)*0.475*44/12</f>
        <v>2.3367220896572669</v>
      </c>
      <c r="AB128" s="21">
        <f>EXP(-LN(2)/2)*AB127+(1-EXP(-LN(2)/2))/(LN(2)/2)*V128*Y128*VLOOKUP('Données projet'!$B$9,Paramètres!$A$1:$I$89,3,0)*0.475*44/12</f>
        <v>4.8698042158043711E-11</v>
      </c>
      <c r="AC128" s="22">
        <f t="shared" si="57"/>
        <v>11.079027098447355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2.8421709430404007E-14</v>
      </c>
      <c r="AJ128" s="13">
        <f>AI128*VLOOKUP('Données projet'!$B$10,Paramètres!$A$1:$I$89,3,0)*VLOOKUP('Données projet'!$B$10,Paramètres!$A$1:$I$89,5,0)</f>
        <v>2.4829205358400945E-14</v>
      </c>
      <c r="AK128" s="13">
        <f t="shared" si="89"/>
        <v>4.3867331143352915E-13</v>
      </c>
      <c r="AL128" s="20">
        <f t="shared" si="58"/>
        <v>8.0726688341261168E-13</v>
      </c>
      <c r="AM128" s="59">
        <f t="shared" si="59"/>
        <v>293.33333333333411</v>
      </c>
      <c r="AN128" s="59">
        <f ca="1">AVERAGE(OFFSET($AM$3,0,0,'Données projet'!$E$10+1,1))-AVERAGE(OFFSET($H$3,0,0,'Données projet'!$E$10+1,1))</f>
        <v>201.61452816909701</v>
      </c>
      <c r="AO128" s="59">
        <f t="shared" si="90"/>
        <v>287.77679930887746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14.68301114571959</v>
      </c>
      <c r="AV128" s="21">
        <f>EXP(-LN(2)/25)*AV127+(1-EXP(-LN(2)/25))/(LN(2)/25)*Calculateur!AQ128*Calculateur!AS128*VLOOKUP('Données projet'!$B$10,Paramètres!$A$1:$I$89,3,0)*0.475*44/12</f>
        <v>7.0461638680385947</v>
      </c>
      <c r="AW128" s="21">
        <f>EXP(-LN(2)/2)*AW127+(1-EXP(-LN(2)/2))/(LN(2)/2)*AQ128*AT128*VLOOKUP('Données projet'!$B$10,Paramètres!$A$1:$I$89,3,0)*0.475*44/12</f>
        <v>6.1323721315980978E-9</v>
      </c>
      <c r="AX128" s="21">
        <f t="shared" si="60"/>
        <v>21.729175019890555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-3.3992364478763198E-14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225.63994281336028</v>
      </c>
      <c r="BJ128" s="59">
        <f t="shared" si="92"/>
        <v>231.19476400361157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29.050659117075149</v>
      </c>
      <c r="BQ128" s="21">
        <f>EXP(-LN(2)/25)*BQ127+(1-EXP(-LN(2)/25))/(LN(2)/25)*Calculateur!BL128*Calculateur!BN128*VLOOKUP('Données projet'!$B$11,Paramètres!$A$1:$I$89,3,0)*0.475*44/12</f>
        <v>14.152603346044305</v>
      </c>
      <c r="BR128" s="21">
        <f>EXP(-LN(2)/2)*BR127+(1-EXP(-LN(2)/2))/(LN(2)/2)*BL128*BO128*VLOOKUP('Données projet'!$B$11,Paramètres!$A$1:$I$89,3,0)*0.475*44/12</f>
        <v>8.9199119338337039E-8</v>
      </c>
      <c r="BS128" s="22">
        <f t="shared" si="63"/>
        <v>43.203262552318577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2.6602720026858149E-14</v>
      </c>
      <c r="CA128" s="13">
        <f t="shared" si="93"/>
        <v>4.6624771586320878E-13</v>
      </c>
      <c r="CB128" s="20">
        <f t="shared" si="64"/>
        <v>8.583811758418665E-13</v>
      </c>
      <c r="CC128" s="59">
        <f t="shared" si="65"/>
        <v>293.33333333333417</v>
      </c>
      <c r="CD128" s="59">
        <f ca="1">AVERAGE(OFFSET($CC$3,0,0,'Données projet'!$E$12+1,1))-AVERAGE(OFFSET($H$3,0,0,'Données projet'!$E$12+1,1))</f>
        <v>111.69585394603672</v>
      </c>
      <c r="CE128" s="59">
        <f t="shared" si="94"/>
        <v>162.6701214629764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16.036846724944763</v>
      </c>
      <c r="CL128" s="21">
        <f>EXP(-LN(2)/25)*CL127+(1-EXP(-LN(2)/25))/(LN(2)/25)*Calculateur!CG128*Calculateur!CI128*VLOOKUP('Données projet'!$B$12,Paramètres!$A$1:$I$89,3,0)*0.475*44/12</f>
        <v>7.9079384233250716</v>
      </c>
      <c r="CM128" s="21">
        <f>EXP(-LN(2)/2)*CM127+(1-EXP(-LN(2)/2))/(LN(2)/2)*CG128*CJ128*VLOOKUP('Données projet'!$B$12,Paramètres!$A$1:$I$89,3,0)*0.475*44/12</f>
        <v>5.292852744143065E-9</v>
      </c>
      <c r="CN128" s="22">
        <f t="shared" si="66"/>
        <v>23.944785153562687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-5.1431925385259088E-14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320.93171542656671</v>
      </c>
      <c r="T129" s="59">
        <f t="shared" si="88"/>
        <v>452.7298965816143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8.5708737397995076</v>
      </c>
      <c r="AA129" s="21">
        <f>EXP(-LN(2)/25)*AA128+(1-EXP(-LN(2)/25))/(LN(2)/25)*Calculateur!V129*Calculateur!X129*VLOOKUP('Données projet'!$B$9,Paramètres!$A$1:$I$89,3,0)*0.475*44/12</f>
        <v>2.2728243012327147</v>
      </c>
      <c r="AB129" s="21">
        <f>EXP(-LN(2)/2)*AB128+(1-EXP(-LN(2)/2))/(LN(2)/2)*V129*Y129*VLOOKUP('Données projet'!$B$9,Paramètres!$A$1:$I$89,3,0)*0.475*44/12</f>
        <v>3.443471584046108E-11</v>
      </c>
      <c r="AC129" s="22">
        <f t="shared" si="57"/>
        <v>10.843698041066657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2.8421709430404007E-14</v>
      </c>
      <c r="AJ129" s="13">
        <f>AI129*VLOOKUP('Données projet'!$B$10,Paramètres!$A$1:$I$89,3,0)*VLOOKUP('Données projet'!$B$10,Paramètres!$A$1:$I$89,5,0)</f>
        <v>2.4829205358400945E-14</v>
      </c>
      <c r="AK129" s="13">
        <f t="shared" si="89"/>
        <v>4.3867331143352915E-13</v>
      </c>
      <c r="AL129" s="20">
        <f t="shared" si="58"/>
        <v>8.0726688341261168E-13</v>
      </c>
      <c r="AM129" s="59">
        <f t="shared" si="59"/>
        <v>293.33333333333411</v>
      </c>
      <c r="AN129" s="59">
        <f ca="1">AVERAGE(OFFSET($AM$3,0,0,'Données projet'!$E$10+1,1))-AVERAGE(OFFSET($H$3,0,0,'Données projet'!$E$10+1,1))</f>
        <v>201.61452816909701</v>
      </c>
      <c r="AO129" s="59">
        <f t="shared" si="90"/>
        <v>287.77679930887746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14.39508625290452</v>
      </c>
      <c r="AV129" s="21">
        <f>EXP(-LN(2)/25)*AV128+(1-EXP(-LN(2)/25))/(LN(2)/25)*Calculateur!AQ129*Calculateur!AS129*VLOOKUP('Données projet'!$B$10,Paramètres!$A$1:$I$89,3,0)*0.475*44/12</f>
        <v>6.8534861465254258</v>
      </c>
      <c r="AW129" s="21">
        <f>EXP(-LN(2)/2)*AW128+(1-EXP(-LN(2)/2))/(LN(2)/2)*AQ129*AT129*VLOOKUP('Données projet'!$B$10,Paramètres!$A$1:$I$89,3,0)*0.475*44/12</f>
        <v>4.3362419190124181E-9</v>
      </c>
      <c r="AX129" s="21">
        <f t="shared" si="60"/>
        <v>21.24857240376619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-3.3992364478763198E-14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225.63994281336028</v>
      </c>
      <c r="BJ129" s="59">
        <f t="shared" si="92"/>
        <v>231.19476400361157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28.480993410941746</v>
      </c>
      <c r="BQ129" s="21">
        <f>EXP(-LN(2)/25)*BQ128+(1-EXP(-LN(2)/25))/(LN(2)/25)*Calculateur!BL129*Calculateur!BN129*VLOOKUP('Données projet'!$B$11,Paramètres!$A$1:$I$89,3,0)*0.475*44/12</f>
        <v>13.76559966329366</v>
      </c>
      <c r="BR129" s="21">
        <f>EXP(-LN(2)/2)*BR128+(1-EXP(-LN(2)/2))/(LN(2)/2)*BL129*BO129*VLOOKUP('Données projet'!$B$11,Paramètres!$A$1:$I$89,3,0)*0.475*44/12</f>
        <v>6.3073302160006226E-8</v>
      </c>
      <c r="BS129" s="22">
        <f t="shared" si="63"/>
        <v>42.246593137308707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2.6602720026858149E-14</v>
      </c>
      <c r="CA129" s="13">
        <f t="shared" si="93"/>
        <v>4.6624771586320878E-13</v>
      </c>
      <c r="CB129" s="20">
        <f t="shared" si="64"/>
        <v>8.583811758418665E-13</v>
      </c>
      <c r="CC129" s="59">
        <f t="shared" si="65"/>
        <v>293.33333333333417</v>
      </c>
      <c r="CD129" s="59">
        <f ca="1">AVERAGE(OFFSET($CC$3,0,0,'Données projet'!$E$12+1,1))-AVERAGE(OFFSET($H$3,0,0,'Données projet'!$E$12+1,1))</f>
        <v>111.69585394603672</v>
      </c>
      <c r="CE129" s="59">
        <f t="shared" si="94"/>
        <v>162.6701214629764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15.722373942179255</v>
      </c>
      <c r="CL129" s="21">
        <f>EXP(-LN(2)/25)*CL128+(1-EXP(-LN(2)/25))/(LN(2)/25)*Calculateur!CG129*Calculateur!CI129*VLOOKUP('Données projet'!$B$12,Paramètres!$A$1:$I$89,3,0)*0.475*44/12</f>
        <v>7.6916954312788395</v>
      </c>
      <c r="CM129" s="21">
        <f>EXP(-LN(2)/2)*CM128+(1-EXP(-LN(2)/2))/(LN(2)/2)*CG129*CJ129*VLOOKUP('Données projet'!$B$12,Paramètres!$A$1:$I$89,3,0)*0.475*44/12</f>
        <v>3.7426120672053878E-9</v>
      </c>
      <c r="CN129" s="22">
        <f t="shared" si="66"/>
        <v>23.414069377200708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-5.1431925385259088E-14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320.93171542656671</v>
      </c>
      <c r="T130" s="59">
        <f t="shared" si="88"/>
        <v>452.7298965816143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8.4028041334788259</v>
      </c>
      <c r="AA130" s="21">
        <f>EXP(-LN(2)/25)*AA129+(1-EXP(-LN(2)/25))/(LN(2)/25)*Calculateur!V130*Calculateur!X130*VLOOKUP('Données projet'!$B$9,Paramètres!$A$1:$I$89,3,0)*0.475*44/12</f>
        <v>2.2106738011928706</v>
      </c>
      <c r="AB130" s="21">
        <f>EXP(-LN(2)/2)*AB129+(1-EXP(-LN(2)/2))/(LN(2)/2)*V130*Y130*VLOOKUP('Données projet'!$B$9,Paramètres!$A$1:$I$89,3,0)*0.475*44/12</f>
        <v>2.4349021079021855E-11</v>
      </c>
      <c r="AC130" s="22">
        <f t="shared" si="57"/>
        <v>10.613477934696045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2.8421709430404007E-14</v>
      </c>
      <c r="AJ130" s="13">
        <f>AI130*VLOOKUP('Données projet'!$B$10,Paramètres!$A$1:$I$89,3,0)*VLOOKUP('Données projet'!$B$10,Paramètres!$A$1:$I$89,5,0)</f>
        <v>2.4829205358400945E-14</v>
      </c>
      <c r="AK130" s="13">
        <f t="shared" si="89"/>
        <v>4.3867331143352915E-13</v>
      </c>
      <c r="AL130" s="20">
        <f t="shared" si="58"/>
        <v>8.0726688341261168E-13</v>
      </c>
      <c r="AM130" s="59">
        <f t="shared" si="59"/>
        <v>293.33333333333411</v>
      </c>
      <c r="AN130" s="59">
        <f ca="1">AVERAGE(OFFSET($AM$3,0,0,'Données projet'!$E$10+1,1))-AVERAGE(OFFSET($H$3,0,0,'Données projet'!$E$10+1,1))</f>
        <v>201.61452816909701</v>
      </c>
      <c r="AO130" s="59">
        <f t="shared" si="90"/>
        <v>287.77679930887746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14.112807391620709</v>
      </c>
      <c r="AV130" s="21">
        <f>EXP(-LN(2)/25)*AV129+(1-EXP(-LN(2)/25))/(LN(2)/25)*Calculateur!AQ130*Calculateur!AS130*VLOOKUP('Données projet'!$B$10,Paramètres!$A$1:$I$89,3,0)*0.475*44/12</f>
        <v>6.6660772074395158</v>
      </c>
      <c r="AW130" s="21">
        <f>EXP(-LN(2)/2)*AW129+(1-EXP(-LN(2)/2))/(LN(2)/2)*AQ130*AT130*VLOOKUP('Données projet'!$B$10,Paramètres!$A$1:$I$89,3,0)*0.475*44/12</f>
        <v>3.0661860657990489E-9</v>
      </c>
      <c r="AX130" s="21">
        <f t="shared" si="60"/>
        <v>20.778884602126414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-3.3992364478763198E-14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225.63994281336028</v>
      </c>
      <c r="BJ130" s="59">
        <f t="shared" si="92"/>
        <v>231.19476400361157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27.922498501843847</v>
      </c>
      <c r="BQ130" s="21">
        <f>EXP(-LN(2)/25)*BQ129+(1-EXP(-LN(2)/25))/(LN(2)/25)*Calculateur!BL130*Calculateur!BN130*VLOOKUP('Données projet'!$B$11,Paramètres!$A$1:$I$89,3,0)*0.475*44/12</f>
        <v>13.38917861659947</v>
      </c>
      <c r="BR130" s="21">
        <f>EXP(-LN(2)/2)*BR129+(1-EXP(-LN(2)/2))/(LN(2)/2)*BL130*BO130*VLOOKUP('Données projet'!$B$11,Paramètres!$A$1:$I$89,3,0)*0.475*44/12</f>
        <v>4.4599559669168519E-8</v>
      </c>
      <c r="BS130" s="22">
        <f t="shared" si="63"/>
        <v>41.311677163042873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2.6602720026858149E-14</v>
      </c>
      <c r="CA130" s="13">
        <f t="shared" si="93"/>
        <v>4.6624771586320878E-13</v>
      </c>
      <c r="CB130" s="20">
        <f t="shared" si="64"/>
        <v>8.583811758418665E-13</v>
      </c>
      <c r="CC130" s="59">
        <f t="shared" si="65"/>
        <v>293.33333333333417</v>
      </c>
      <c r="CD130" s="59">
        <f ca="1">AVERAGE(OFFSET($CC$3,0,0,'Données projet'!$E$12+1,1))-AVERAGE(OFFSET($H$3,0,0,'Données projet'!$E$12+1,1))</f>
        <v>111.69585394603672</v>
      </c>
      <c r="CE130" s="59">
        <f t="shared" si="94"/>
        <v>162.6701214629764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15.414067778874321</v>
      </c>
      <c r="CL130" s="21">
        <f>EXP(-LN(2)/25)*CL129+(1-EXP(-LN(2)/25))/(LN(2)/25)*Calculateur!CG130*Calculateur!CI130*VLOOKUP('Données projet'!$B$12,Paramètres!$A$1:$I$89,3,0)*0.475*44/12</f>
        <v>7.4813656152218364</v>
      </c>
      <c r="CM130" s="21">
        <f>EXP(-LN(2)/2)*CM129+(1-EXP(-LN(2)/2))/(LN(2)/2)*CG130*CJ130*VLOOKUP('Données projet'!$B$12,Paramètres!$A$1:$I$89,3,0)*0.475*44/12</f>
        <v>2.6464263720715325E-9</v>
      </c>
      <c r="CN130" s="22">
        <f t="shared" si="66"/>
        <v>22.895433396742586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-5.1431925385259088E-14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320.93171542656671</v>
      </c>
      <c r="T131" s="59">
        <f t="shared" si="88"/>
        <v>452.7298965816143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8.2380302696257548</v>
      </c>
      <c r="AA131" s="21">
        <f>EXP(-LN(2)/25)*AA130+(1-EXP(-LN(2)/25))/(LN(2)/25)*Calculateur!V131*Calculateur!X131*VLOOKUP('Données projet'!$B$9,Paramètres!$A$1:$I$89,3,0)*0.475*44/12</f>
        <v>2.1502228098449687</v>
      </c>
      <c r="AB131" s="21">
        <f>EXP(-LN(2)/2)*AB130+(1-EXP(-LN(2)/2))/(LN(2)/2)*V131*Y131*VLOOKUP('Données projet'!$B$9,Paramètres!$A$1:$I$89,3,0)*0.475*44/12</f>
        <v>1.721735792023054E-11</v>
      </c>
      <c r="AC131" s="22">
        <f t="shared" si="57"/>
        <v>10.388253079487942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2.8421709430404007E-14</v>
      </c>
      <c r="AJ131" s="13">
        <f>AI131*VLOOKUP('Données projet'!$B$10,Paramètres!$A$1:$I$89,3,0)*VLOOKUP('Données projet'!$B$10,Paramètres!$A$1:$I$89,5,0)</f>
        <v>2.4829205358400945E-14</v>
      </c>
      <c r="AK131" s="13">
        <f t="shared" si="89"/>
        <v>4.3867331143352915E-13</v>
      </c>
      <c r="AL131" s="20">
        <f t="shared" si="58"/>
        <v>8.0726688341261168E-13</v>
      </c>
      <c r="AM131" s="59">
        <f t="shared" si="59"/>
        <v>293.33333333333411</v>
      </c>
      <c r="AN131" s="59">
        <f ca="1">AVERAGE(OFFSET($AM$3,0,0,'Données projet'!$E$10+1,1))-AVERAGE(OFFSET($H$3,0,0,'Données projet'!$E$10+1,1))</f>
        <v>201.61452816909701</v>
      </c>
      <c r="AO131" s="59">
        <f t="shared" si="90"/>
        <v>287.77679930887746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13.83606384663357</v>
      </c>
      <c r="AV131" s="21">
        <f>EXP(-LN(2)/25)*AV130+(1-EXP(-LN(2)/25))/(LN(2)/25)*Calculateur!AQ131*Calculateur!AS131*VLOOKUP('Données projet'!$B$10,Paramètres!$A$1:$I$89,3,0)*0.475*44/12</f>
        <v>6.483792975648317</v>
      </c>
      <c r="AW131" s="21">
        <f>EXP(-LN(2)/2)*AW130+(1-EXP(-LN(2)/2))/(LN(2)/2)*AQ131*AT131*VLOOKUP('Données projet'!$B$10,Paramètres!$A$1:$I$89,3,0)*0.475*44/12</f>
        <v>2.168120959506209E-9</v>
      </c>
      <c r="AX131" s="21">
        <f t="shared" si="60"/>
        <v>20.319856824450007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-3.3992364478763198E-14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225.63994281336028</v>
      </c>
      <c r="BJ131" s="59">
        <f t="shared" si="92"/>
        <v>231.19476400361157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27.374955337265099</v>
      </c>
      <c r="BQ131" s="21">
        <f>EXP(-LN(2)/25)*BQ130+(1-EXP(-LN(2)/25))/(LN(2)/25)*Calculateur!BL131*Calculateur!BN131*VLOOKUP('Données projet'!$B$11,Paramètres!$A$1:$I$89,3,0)*0.475*44/12</f>
        <v>13.023050823222254</v>
      </c>
      <c r="BR131" s="21">
        <f>EXP(-LN(2)/2)*BR130+(1-EXP(-LN(2)/2))/(LN(2)/2)*BL131*BO131*VLOOKUP('Données projet'!$B$11,Paramètres!$A$1:$I$89,3,0)*0.475*44/12</f>
        <v>3.1536651080003113E-8</v>
      </c>
      <c r="BS131" s="22">
        <f t="shared" si="63"/>
        <v>40.398006192024006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2.6602720026858149E-14</v>
      </c>
      <c r="CA131" s="13">
        <f t="shared" si="93"/>
        <v>4.6624771586320878E-13</v>
      </c>
      <c r="CB131" s="20">
        <f t="shared" si="64"/>
        <v>8.583811758418665E-13</v>
      </c>
      <c r="CC131" s="59">
        <f t="shared" si="65"/>
        <v>293.33333333333417</v>
      </c>
      <c r="CD131" s="59">
        <f ca="1">AVERAGE(OFFSET($CC$3,0,0,'Données projet'!$E$12+1,1))-AVERAGE(OFFSET($H$3,0,0,'Données projet'!$E$12+1,1))</f>
        <v>111.69585394603672</v>
      </c>
      <c r="CE131" s="59">
        <f t="shared" si="94"/>
        <v>162.6701214629764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15.111807311383604</v>
      </c>
      <c r="CL131" s="21">
        <f>EXP(-LN(2)/25)*CL130+(1-EXP(-LN(2)/25))/(LN(2)/25)*Calculateur!CG131*Calculateur!CI131*VLOOKUP('Données projet'!$B$12,Paramètres!$A$1:$I$89,3,0)*0.475*44/12</f>
        <v>7.2767872790456769</v>
      </c>
      <c r="CM131" s="21">
        <f>EXP(-LN(2)/2)*CM130+(1-EXP(-LN(2)/2))/(LN(2)/2)*CG131*CJ131*VLOOKUP('Données projet'!$B$12,Paramètres!$A$1:$I$89,3,0)*0.475*44/12</f>
        <v>1.8713060336026939E-9</v>
      </c>
      <c r="CN131" s="22">
        <f t="shared" si="66"/>
        <v>22.388594592300588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-5.1431925385259088E-14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320.93171542656671</v>
      </c>
      <c r="T132" s="59">
        <f t="shared" si="88"/>
        <v>452.7298965816143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8.0764875207407094</v>
      </c>
      <c r="AA132" s="21">
        <f>EXP(-LN(2)/25)*AA131+(1-EXP(-LN(2)/25))/(LN(2)/25)*Calculateur!V132*Calculateur!X132*VLOOKUP('Données projet'!$B$9,Paramètres!$A$1:$I$89,3,0)*0.475*44/12</f>
        <v>2.0914248540344547</v>
      </c>
      <c r="AB132" s="21">
        <f>EXP(-LN(2)/2)*AB131+(1-EXP(-LN(2)/2))/(LN(2)/2)*V132*Y132*VLOOKUP('Données projet'!$B$9,Paramètres!$A$1:$I$89,3,0)*0.475*44/12</f>
        <v>1.2174510539510928E-11</v>
      </c>
      <c r="AC132" s="22">
        <f t="shared" ref="AC132:AC153" si="111">SUM(Z132:AB132)</f>
        <v>10.167912374787338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2.8421709430404007E-14</v>
      </c>
      <c r="AJ132" s="13">
        <f>AI132*VLOOKUP('Données projet'!$B$10,Paramètres!$A$1:$I$89,3,0)*VLOOKUP('Données projet'!$B$10,Paramètres!$A$1:$I$89,5,0)</f>
        <v>2.4829205358400945E-14</v>
      </c>
      <c r="AK132" s="13">
        <f t="shared" si="89"/>
        <v>4.3867331143352915E-13</v>
      </c>
      <c r="AL132" s="20">
        <f t="shared" ref="AL132:AL153" si="112">(AJ132+AK132)*0.475*44/12</f>
        <v>8.0726688341261168E-13</v>
      </c>
      <c r="AM132" s="59">
        <f t="shared" ref="AM132:AM195" si="113">AL132+(AD132+AE132)*44/12</f>
        <v>293.33333333333411</v>
      </c>
      <c r="AN132" s="59">
        <f ca="1">AVERAGE(OFFSET($AM$3,0,0,'Données projet'!$E$10+1,1))-AVERAGE(OFFSET($H$3,0,0,'Données projet'!$E$10+1,1))</f>
        <v>201.61452816909701</v>
      </c>
      <c r="AO132" s="59">
        <f t="shared" si="90"/>
        <v>287.77679930887746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13.564747073766734</v>
      </c>
      <c r="AV132" s="21">
        <f>EXP(-LN(2)/25)*AV131+(1-EXP(-LN(2)/25))/(LN(2)/25)*Calculateur!AQ132*Calculateur!AS132*VLOOKUP('Données projet'!$B$10,Paramètres!$A$1:$I$89,3,0)*0.475*44/12</f>
        <v>6.3064933157613599</v>
      </c>
      <c r="AW132" s="21">
        <f>EXP(-LN(2)/2)*AW131+(1-EXP(-LN(2)/2))/(LN(2)/2)*AQ132*AT132*VLOOKUP('Données projet'!$B$10,Paramètres!$A$1:$I$89,3,0)*0.475*44/12</f>
        <v>1.5330930328995245E-9</v>
      </c>
      <c r="AX132" s="21">
        <f t="shared" ref="AX132:AX153" si="114">SUM(AU132:AW132)</f>
        <v>19.871240391061185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-3.3992364478763198E-14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225.63994281336028</v>
      </c>
      <c r="BJ132" s="59">
        <f t="shared" si="92"/>
        <v>231.19476400361157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26.838149160175387</v>
      </c>
      <c r="BQ132" s="21">
        <f>EXP(-LN(2)/25)*BQ131+(1-EXP(-LN(2)/25))/(LN(2)/25)*Calculateur!BL132*Calculateur!BN132*VLOOKUP('Données projet'!$B$11,Paramètres!$A$1:$I$89,3,0)*0.475*44/12</f>
        <v>12.666934813608764</v>
      </c>
      <c r="BR132" s="21">
        <f>EXP(-LN(2)/2)*BR131+(1-EXP(-LN(2)/2))/(LN(2)/2)*BL132*BO132*VLOOKUP('Données projet'!$B$11,Paramètres!$A$1:$I$89,3,0)*0.475*44/12</f>
        <v>2.229977983458426E-8</v>
      </c>
      <c r="BS132" s="22">
        <f t="shared" ref="BS132:BS153" si="117">SUM(BP132:BR132)</f>
        <v>39.505083996083933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2.6602720026858149E-14</v>
      </c>
      <c r="CA132" s="13">
        <f t="shared" si="93"/>
        <v>4.6624771586320878E-13</v>
      </c>
      <c r="CB132" s="20">
        <f t="shared" ref="CB132:CB153" si="118">(BZ132+CA132)*0.475*44/12</f>
        <v>8.583811758418665E-13</v>
      </c>
      <c r="CC132" s="59">
        <f t="shared" ref="CC132:CC195" si="119">CB132+(BT132+BU132)*44/12</f>
        <v>293.33333333333417</v>
      </c>
      <c r="CD132" s="59">
        <f ca="1">AVERAGE(OFFSET($CC$3,0,0,'Données projet'!$E$12+1,1))-AVERAGE(OFFSET($H$3,0,0,'Données projet'!$E$12+1,1))</f>
        <v>111.69585394603672</v>
      </c>
      <c r="CE132" s="59">
        <f t="shared" si="94"/>
        <v>162.6701214629764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14.815473987299699</v>
      </c>
      <c r="CL132" s="21">
        <f>EXP(-LN(2)/25)*CL131+(1-EXP(-LN(2)/25))/(LN(2)/25)*Calculateur!CG132*Calculateur!CI132*VLOOKUP('Données projet'!$B$12,Paramètres!$A$1:$I$89,3,0)*0.475*44/12</f>
        <v>7.0778031482305614</v>
      </c>
      <c r="CM132" s="21">
        <f>EXP(-LN(2)/2)*CM131+(1-EXP(-LN(2)/2))/(LN(2)/2)*CG132*CJ132*VLOOKUP('Données projet'!$B$12,Paramètres!$A$1:$I$89,3,0)*0.475*44/12</f>
        <v>1.3232131860357662E-9</v>
      </c>
      <c r="CN132" s="22">
        <f t="shared" ref="CN132:CN153" si="120">SUM(CK132:CM132)</f>
        <v>21.893277136853474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-5.1431925385259088E-14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320.93171542656671</v>
      </c>
      <c r="T133" s="59">
        <f t="shared" ref="T133:T196" si="142">$T$3</f>
        <v>452.7298965816143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7.9181125266299528</v>
      </c>
      <c r="AA133" s="21">
        <f>EXP(-LN(2)/25)*AA132+(1-EXP(-LN(2)/25))/(LN(2)/25)*Calculateur!V133*Calculateur!X133*VLOOKUP('Données projet'!$B$9,Paramètres!$A$1:$I$89,3,0)*0.475*44/12</f>
        <v>2.0342347314176292</v>
      </c>
      <c r="AB133" s="21">
        <f>EXP(-LN(2)/2)*AB132+(1-EXP(-LN(2)/2))/(LN(2)/2)*V133*Y133*VLOOKUP('Données projet'!$B$9,Paramètres!$A$1:$I$89,3,0)*0.475*44/12</f>
        <v>8.60867896011527E-12</v>
      </c>
      <c r="AC133" s="22">
        <f t="shared" si="111"/>
        <v>9.9523472580561894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2.8421709430404007E-14</v>
      </c>
      <c r="AJ133" s="13">
        <f>AI133*VLOOKUP('Données projet'!$B$10,Paramètres!$A$1:$I$89,3,0)*VLOOKUP('Données projet'!$B$10,Paramètres!$A$1:$I$89,5,0)</f>
        <v>2.4829205358400945E-14</v>
      </c>
      <c r="AK133" s="13">
        <f t="shared" ref="AK133:AK153" si="143">EXP(-1.0587+0.8836*LN(AJ133)+0.284)</f>
        <v>4.3867331143352915E-13</v>
      </c>
      <c r="AL133" s="20">
        <f t="shared" si="112"/>
        <v>8.0726688341261168E-13</v>
      </c>
      <c r="AM133" s="59">
        <f t="shared" si="113"/>
        <v>293.33333333333411</v>
      </c>
      <c r="AN133" s="59">
        <f ca="1">AVERAGE(OFFSET($AM$3,0,0,'Données projet'!$E$10+1,1))-AVERAGE(OFFSET($H$3,0,0,'Données projet'!$E$10+1,1))</f>
        <v>201.61452816909701</v>
      </c>
      <c r="AO133" s="59">
        <f t="shared" ref="AO133:AO196" si="144">$AO$3</f>
        <v>287.77679930887746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13.298750657328926</v>
      </c>
      <c r="AV133" s="21">
        <f>EXP(-LN(2)/25)*AV132+(1-EXP(-LN(2)/25))/(LN(2)/25)*Calculateur!AQ133*Calculateur!AS133*VLOOKUP('Données projet'!$B$10,Paramètres!$A$1:$I$89,3,0)*0.475*44/12</f>
        <v>6.1340419243977955</v>
      </c>
      <c r="AW133" s="21">
        <f>EXP(-LN(2)/2)*AW132+(1-EXP(-LN(2)/2))/(LN(2)/2)*AQ133*AT133*VLOOKUP('Données projet'!$B$10,Paramètres!$A$1:$I$89,3,0)*0.475*44/12</f>
        <v>1.0840604797531045E-9</v>
      </c>
      <c r="AX133" s="21">
        <f t="shared" si="114"/>
        <v>19.432792582810784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-3.3992364478763198E-14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225.63994281336028</v>
      </c>
      <c r="BJ133" s="59">
        <f t="shared" ref="BJ133:BJ196" si="146">$BJ$3</f>
        <v>231.19476400361157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26.311869424798967</v>
      </c>
      <c r="BQ133" s="21">
        <f>EXP(-LN(2)/25)*BQ132+(1-EXP(-LN(2)/25))/(LN(2)/25)*Calculateur!BL133*Calculateur!BN133*VLOOKUP('Données projet'!$B$11,Paramètres!$A$1:$I$89,3,0)*0.475*44/12</f>
        <v>12.320556815005482</v>
      </c>
      <c r="BR133" s="21">
        <f>EXP(-LN(2)/2)*BR132+(1-EXP(-LN(2)/2))/(LN(2)/2)*BL133*BO133*VLOOKUP('Données projet'!$B$11,Paramètres!$A$1:$I$89,3,0)*0.475*44/12</f>
        <v>1.5768325540001557E-8</v>
      </c>
      <c r="BS133" s="22">
        <f t="shared" si="117"/>
        <v>38.632426255572774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2.6602720026858149E-14</v>
      </c>
      <c r="CA133" s="13">
        <f t="shared" ref="CA133:CA153" si="147">EXP(-1.0587+0.8836*LN(BZ133)+0.284)</f>
        <v>4.6624771586320878E-13</v>
      </c>
      <c r="CB133" s="20">
        <f t="shared" si="118"/>
        <v>8.583811758418665E-13</v>
      </c>
      <c r="CC133" s="59">
        <f t="shared" si="119"/>
        <v>293.33333333333417</v>
      </c>
      <c r="CD133" s="59">
        <f ca="1">AVERAGE(OFFSET($CC$3,0,0,'Données projet'!$E$12+1,1))-AVERAGE(OFFSET($H$3,0,0,'Données projet'!$E$12+1,1))</f>
        <v>111.69585394603672</v>
      </c>
      <c r="CE133" s="59">
        <f t="shared" ref="CE133:CE196" si="148">$CE$3</f>
        <v>162.6701214629764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14.5249515789556</v>
      </c>
      <c r="CL133" s="21">
        <f>EXP(-LN(2)/25)*CL132+(1-EXP(-LN(2)/25))/(LN(2)/25)*Calculateur!CG133*Calculateur!CI133*VLOOKUP('Données projet'!$B$12,Paramètres!$A$1:$I$89,3,0)*0.475*44/12</f>
        <v>6.8842602489367053</v>
      </c>
      <c r="CM133" s="21">
        <f>EXP(-LN(2)/2)*CM132+(1-EXP(-LN(2)/2))/(LN(2)/2)*CG133*CJ133*VLOOKUP('Données projet'!$B$12,Paramètres!$A$1:$I$89,3,0)*0.475*44/12</f>
        <v>9.3565301680134694E-10</v>
      </c>
      <c r="CN133" s="22">
        <f t="shared" si="120"/>
        <v>21.40921182882796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-5.1431925385259088E-14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320.93171542656671</v>
      </c>
      <c r="T134" s="59">
        <f t="shared" si="142"/>
        <v>452.7298965816143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7.7628431695545004</v>
      </c>
      <c r="AA134" s="21">
        <f>EXP(-LN(2)/25)*AA133+(1-EXP(-LN(2)/25))/(LN(2)/25)*Calculateur!V134*Calculateur!X134*VLOOKUP('Données projet'!$B$9,Paramètres!$A$1:$I$89,3,0)*0.475*44/12</f>
        <v>1.978608475711259</v>
      </c>
      <c r="AB134" s="21">
        <f>EXP(-LN(2)/2)*AB133+(1-EXP(-LN(2)/2))/(LN(2)/2)*V134*Y134*VLOOKUP('Données projet'!$B$9,Paramètres!$A$1:$I$89,3,0)*0.475*44/12</f>
        <v>6.0872552697554638E-12</v>
      </c>
      <c r="AC134" s="22">
        <f t="shared" si="111"/>
        <v>9.7414516452718463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2.8421709430404007E-14</v>
      </c>
      <c r="AJ134" s="13">
        <f>AI134*VLOOKUP('Données projet'!$B$10,Paramètres!$A$1:$I$89,3,0)*VLOOKUP('Données projet'!$B$10,Paramètres!$A$1:$I$89,5,0)</f>
        <v>2.4829205358400945E-14</v>
      </c>
      <c r="AK134" s="13">
        <f t="shared" si="143"/>
        <v>4.3867331143352915E-13</v>
      </c>
      <c r="AL134" s="20">
        <f t="shared" si="112"/>
        <v>8.0726688341261168E-13</v>
      </c>
      <c r="AM134" s="59">
        <f t="shared" si="113"/>
        <v>293.33333333333411</v>
      </c>
      <c r="AN134" s="59">
        <f ca="1">AVERAGE(OFFSET($AM$3,0,0,'Données projet'!$E$10+1,1))-AVERAGE(OFFSET($H$3,0,0,'Données projet'!$E$10+1,1))</f>
        <v>201.61452816909701</v>
      </c>
      <c r="AO134" s="59">
        <f t="shared" si="144"/>
        <v>287.77679930887746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13.037970268375668</v>
      </c>
      <c r="AV134" s="21">
        <f>EXP(-LN(2)/25)*AV133+(1-EXP(-LN(2)/25))/(LN(2)/25)*Calculateur!AQ134*Calculateur!AS134*VLOOKUP('Données projet'!$B$10,Paramètres!$A$1:$I$89,3,0)*0.475*44/12</f>
        <v>5.9663062253998929</v>
      </c>
      <c r="AW134" s="21">
        <f>EXP(-LN(2)/2)*AW133+(1-EXP(-LN(2)/2))/(LN(2)/2)*AQ134*AT134*VLOOKUP('Données projet'!$B$10,Paramètres!$A$1:$I$89,3,0)*0.475*44/12</f>
        <v>7.6654651644976223E-10</v>
      </c>
      <c r="AX134" s="21">
        <f t="shared" si="114"/>
        <v>19.004276494542108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-3.3992364478763198E-14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225.63994281336028</v>
      </c>
      <c r="BJ134" s="59">
        <f t="shared" si="146"/>
        <v>231.19476400361157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25.795909714034334</v>
      </c>
      <c r="BQ134" s="21">
        <f>EXP(-LN(2)/25)*BQ133+(1-EXP(-LN(2)/25))/(LN(2)/25)*Calculateur!BL134*Calculateur!BN134*VLOOKUP('Données projet'!$B$11,Paramètres!$A$1:$I$89,3,0)*0.475*44/12</f>
        <v>11.983650540989233</v>
      </c>
      <c r="BR134" s="21">
        <f>EXP(-LN(2)/2)*BR133+(1-EXP(-LN(2)/2))/(LN(2)/2)*BL134*BO134*VLOOKUP('Données projet'!$B$11,Paramètres!$A$1:$I$89,3,0)*0.475*44/12</f>
        <v>1.114988991729213E-8</v>
      </c>
      <c r="BS134" s="22">
        <f t="shared" si="117"/>
        <v>37.779560266173462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2.6602720026858149E-14</v>
      </c>
      <c r="CA134" s="13">
        <f t="shared" si="147"/>
        <v>4.6624771586320878E-13</v>
      </c>
      <c r="CB134" s="20">
        <f t="shared" si="118"/>
        <v>8.583811758418665E-13</v>
      </c>
      <c r="CC134" s="59">
        <f t="shared" si="119"/>
        <v>293.33333333333417</v>
      </c>
      <c r="CD134" s="59">
        <f ca="1">AVERAGE(OFFSET($CC$3,0,0,'Données projet'!$E$12+1,1))-AVERAGE(OFFSET($H$3,0,0,'Données projet'!$E$12+1,1))</f>
        <v>111.69585394603672</v>
      </c>
      <c r="CE134" s="59">
        <f t="shared" si="148"/>
        <v>162.6701214629764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14.240126137837956</v>
      </c>
      <c r="CL134" s="21">
        <f>EXP(-LN(2)/25)*CL133+(1-EXP(-LN(2)/25))/(LN(2)/25)*Calculateur!CG134*Calculateur!CI134*VLOOKUP('Données projet'!$B$12,Paramètres!$A$1:$I$89,3,0)*0.475*44/12</f>
        <v>6.6960097904020186</v>
      </c>
      <c r="CM134" s="21">
        <f>EXP(-LN(2)/2)*CM133+(1-EXP(-LN(2)/2))/(LN(2)/2)*CG134*CJ134*VLOOKUP('Données projet'!$B$12,Paramètres!$A$1:$I$89,3,0)*0.475*44/12</f>
        <v>6.6160659301788312E-10</v>
      </c>
      <c r="CN134" s="22">
        <f t="shared" si="120"/>
        <v>20.936135928901582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-5.1431925385259088E-14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320.93171542656671</v>
      </c>
      <c r="T135" s="59">
        <f t="shared" si="142"/>
        <v>452.7298965816143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7.6106185498663406</v>
      </c>
      <c r="AA135" s="21">
        <f>EXP(-LN(2)/25)*AA134+(1-EXP(-LN(2)/25))/(LN(2)/25)*Calculateur!V135*Calculateur!X135*VLOOKUP('Données projet'!$B$9,Paramètres!$A$1:$I$89,3,0)*0.475*44/12</f>
        <v>1.9245033228924371</v>
      </c>
      <c r="AB135" s="21">
        <f>EXP(-LN(2)/2)*AB134+(1-EXP(-LN(2)/2))/(LN(2)/2)*V135*Y135*VLOOKUP('Données projet'!$B$9,Paramètres!$A$1:$I$89,3,0)*0.475*44/12</f>
        <v>4.304339480057635E-12</v>
      </c>
      <c r="AC135" s="22">
        <f t="shared" si="111"/>
        <v>9.5351218727630815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2.8421709430404007E-14</v>
      </c>
      <c r="AJ135" s="13">
        <f>AI135*VLOOKUP('Données projet'!$B$10,Paramètres!$A$1:$I$89,3,0)*VLOOKUP('Données projet'!$B$10,Paramètres!$A$1:$I$89,5,0)</f>
        <v>2.4829205358400945E-14</v>
      </c>
      <c r="AK135" s="13">
        <f t="shared" si="143"/>
        <v>4.3867331143352915E-13</v>
      </c>
      <c r="AL135" s="20">
        <f t="shared" si="112"/>
        <v>8.0726688341261168E-13</v>
      </c>
      <c r="AM135" s="59">
        <f t="shared" si="113"/>
        <v>293.33333333333411</v>
      </c>
      <c r="AN135" s="59">
        <f ca="1">AVERAGE(OFFSET($AM$3,0,0,'Données projet'!$E$10+1,1))-AVERAGE(OFFSET($H$3,0,0,'Données projet'!$E$10+1,1))</f>
        <v>201.61452816909701</v>
      </c>
      <c r="AO135" s="59">
        <f t="shared" si="144"/>
        <v>287.77679930887746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12.782303623789453</v>
      </c>
      <c r="AV135" s="21">
        <f>EXP(-LN(2)/25)*AV134+(1-EXP(-LN(2)/25))/(LN(2)/25)*Calculateur!AQ135*Calculateur!AS135*VLOOKUP('Données projet'!$B$10,Paramètres!$A$1:$I$89,3,0)*0.475*44/12</f>
        <v>5.8031572679119243</v>
      </c>
      <c r="AW135" s="21">
        <f>EXP(-LN(2)/2)*AW134+(1-EXP(-LN(2)/2))/(LN(2)/2)*AQ135*AT135*VLOOKUP('Données projet'!$B$10,Paramètres!$A$1:$I$89,3,0)*0.475*44/12</f>
        <v>5.4203023987655226E-10</v>
      </c>
      <c r="AX135" s="21">
        <f t="shared" si="114"/>
        <v>18.585460892243407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-3.3992364478763198E-14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225.63994281336028</v>
      </c>
      <c r="BJ135" s="59">
        <f t="shared" si="146"/>
        <v>231.19476400361157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25.290067658493449</v>
      </c>
      <c r="BQ135" s="21">
        <f>EXP(-LN(2)/25)*BQ134+(1-EXP(-LN(2)/25))/(LN(2)/25)*Calculateur!BL135*Calculateur!BN135*VLOOKUP('Données projet'!$B$11,Paramètres!$A$1:$I$89,3,0)*0.475*44/12</f>
        <v>11.65595698675309</v>
      </c>
      <c r="BR135" s="21">
        <f>EXP(-LN(2)/2)*BR134+(1-EXP(-LN(2)/2))/(LN(2)/2)*BL135*BO135*VLOOKUP('Données projet'!$B$11,Paramètres!$A$1:$I$89,3,0)*0.475*44/12</f>
        <v>7.8841627700007783E-9</v>
      </c>
      <c r="BS135" s="22">
        <f t="shared" si="117"/>
        <v>36.946024653130699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2.6602720026858149E-14</v>
      </c>
      <c r="CA135" s="13">
        <f t="shared" si="147"/>
        <v>4.6624771586320878E-13</v>
      </c>
      <c r="CB135" s="20">
        <f t="shared" si="118"/>
        <v>8.583811758418665E-13</v>
      </c>
      <c r="CC135" s="59">
        <f t="shared" si="119"/>
        <v>293.33333333333417</v>
      </c>
      <c r="CD135" s="59">
        <f ca="1">AVERAGE(OFFSET($CC$3,0,0,'Données projet'!$E$12+1,1))-AVERAGE(OFFSET($H$3,0,0,'Données projet'!$E$12+1,1))</f>
        <v>111.69585394603672</v>
      </c>
      <c r="CE135" s="59">
        <f t="shared" si="148"/>
        <v>162.6701214629764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13.960885949894264</v>
      </c>
      <c r="CL135" s="21">
        <f>EXP(-LN(2)/25)*CL134+(1-EXP(-LN(2)/25))/(LN(2)/25)*Calculateur!CG135*Calculateur!CI135*VLOOKUP('Données projet'!$B$12,Paramètres!$A$1:$I$89,3,0)*0.475*44/12</f>
        <v>6.5129070505556248</v>
      </c>
      <c r="CM135" s="21">
        <f>EXP(-LN(2)/2)*CM134+(1-EXP(-LN(2)/2))/(LN(2)/2)*CG135*CJ135*VLOOKUP('Données projet'!$B$12,Paramètres!$A$1:$I$89,3,0)*0.475*44/12</f>
        <v>4.6782650840067347E-10</v>
      </c>
      <c r="CN135" s="22">
        <f t="shared" si="120"/>
        <v>20.473793000917713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-5.1431925385259088E-14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320.93171542656671</v>
      </c>
      <c r="T136" s="59">
        <f t="shared" si="142"/>
        <v>452.7298965816143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7.4613789621224154</v>
      </c>
      <c r="AA136" s="21">
        <f>EXP(-LN(2)/25)*AA135+(1-EXP(-LN(2)/25))/(LN(2)/25)*Calculateur!V136*Calculateur!X136*VLOOKUP('Données projet'!$B$9,Paramètres!$A$1:$I$89,3,0)*0.475*44/12</f>
        <v>1.8718776783227122</v>
      </c>
      <c r="AB136" s="21">
        <f>EXP(-LN(2)/2)*AB135+(1-EXP(-LN(2)/2))/(LN(2)/2)*V136*Y136*VLOOKUP('Données projet'!$B$9,Paramètres!$A$1:$I$89,3,0)*0.475*44/12</f>
        <v>3.0436276348777319E-12</v>
      </c>
      <c r="AC136" s="22">
        <f t="shared" si="111"/>
        <v>9.3332566404481714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2.8421709430404007E-14</v>
      </c>
      <c r="AJ136" s="13">
        <f>AI136*VLOOKUP('Données projet'!$B$10,Paramètres!$A$1:$I$89,3,0)*VLOOKUP('Données projet'!$B$10,Paramètres!$A$1:$I$89,5,0)</f>
        <v>2.4829205358400945E-14</v>
      </c>
      <c r="AK136" s="13">
        <f t="shared" si="143"/>
        <v>4.3867331143352915E-13</v>
      </c>
      <c r="AL136" s="20">
        <f t="shared" si="112"/>
        <v>8.0726688341261168E-13</v>
      </c>
      <c r="AM136" s="59">
        <f t="shared" si="113"/>
        <v>293.33333333333411</v>
      </c>
      <c r="AN136" s="59">
        <f ca="1">AVERAGE(OFFSET($AM$3,0,0,'Données projet'!$E$10+1,1))-AVERAGE(OFFSET($H$3,0,0,'Données projet'!$E$10+1,1))</f>
        <v>201.61452816909701</v>
      </c>
      <c r="AO136" s="59">
        <f t="shared" si="144"/>
        <v>287.77679930887746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12.531650446162319</v>
      </c>
      <c r="AV136" s="21">
        <f>EXP(-LN(2)/25)*AV135+(1-EXP(-LN(2)/25))/(LN(2)/25)*Calculateur!AQ136*Calculateur!AS136*VLOOKUP('Données projet'!$B$10,Paramètres!$A$1:$I$89,3,0)*0.475*44/12</f>
        <v>5.644469627246095</v>
      </c>
      <c r="AW136" s="21">
        <f>EXP(-LN(2)/2)*AW135+(1-EXP(-LN(2)/2))/(LN(2)/2)*AQ136*AT136*VLOOKUP('Données projet'!$B$10,Paramètres!$A$1:$I$89,3,0)*0.475*44/12</f>
        <v>3.8327325822488111E-10</v>
      </c>
      <c r="AX136" s="21">
        <f t="shared" si="114"/>
        <v>18.176120073791687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-3.3992364478763198E-14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225.63994281336028</v>
      </c>
      <c r="BJ136" s="59">
        <f t="shared" si="146"/>
        <v>231.19476400361157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24.794144857128529</v>
      </c>
      <c r="BQ136" s="21">
        <f>EXP(-LN(2)/25)*BQ135+(1-EXP(-LN(2)/25))/(LN(2)/25)*Calculateur!BL136*Calculateur!BN136*VLOOKUP('Données projet'!$B$11,Paramètres!$A$1:$I$89,3,0)*0.475*44/12</f>
        <v>11.337224229990188</v>
      </c>
      <c r="BR136" s="21">
        <f>EXP(-LN(2)/2)*BR135+(1-EXP(-LN(2)/2))/(LN(2)/2)*BL136*BO136*VLOOKUP('Données projet'!$B$11,Paramètres!$A$1:$I$89,3,0)*0.475*44/12</f>
        <v>5.5749449586460649E-9</v>
      </c>
      <c r="BS136" s="22">
        <f t="shared" si="117"/>
        <v>36.13136909269366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2.6602720026858149E-14</v>
      </c>
      <c r="CA136" s="13">
        <f t="shared" si="147"/>
        <v>4.6624771586320878E-13</v>
      </c>
      <c r="CB136" s="20">
        <f t="shared" si="118"/>
        <v>8.583811758418665E-13</v>
      </c>
      <c r="CC136" s="59">
        <f t="shared" si="119"/>
        <v>293.33333333333417</v>
      </c>
      <c r="CD136" s="59">
        <f ca="1">AVERAGE(OFFSET($CC$3,0,0,'Données projet'!$E$12+1,1))-AVERAGE(OFFSET($H$3,0,0,'Données projet'!$E$12+1,1))</f>
        <v>111.69585394603672</v>
      </c>
      <c r="CE136" s="59">
        <f t="shared" si="148"/>
        <v>162.6701214629764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13.68712149171645</v>
      </c>
      <c r="CL136" s="21">
        <f>EXP(-LN(2)/25)*CL135+(1-EXP(-LN(2)/25))/(LN(2)/25)*Calculateur!CG136*Calculateur!CI136*VLOOKUP('Données projet'!$B$12,Paramètres!$A$1:$I$89,3,0)*0.475*44/12</f>
        <v>6.3348112647592849</v>
      </c>
      <c r="CM136" s="21">
        <f>EXP(-LN(2)/2)*CM135+(1-EXP(-LN(2)/2))/(LN(2)/2)*CG136*CJ136*VLOOKUP('Données projet'!$B$12,Paramètres!$A$1:$I$89,3,0)*0.475*44/12</f>
        <v>3.3080329650894156E-10</v>
      </c>
      <c r="CN136" s="22">
        <f t="shared" si="120"/>
        <v>20.021932756806539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-5.1431925385259088E-14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320.93171542656671</v>
      </c>
      <c r="T137" s="59">
        <f t="shared" si="142"/>
        <v>452.7298965816143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7.315065871666989</v>
      </c>
      <c r="AA137" s="21">
        <f>EXP(-LN(2)/25)*AA136+(1-EXP(-LN(2)/25))/(LN(2)/25)*Calculateur!V137*Calculateur!X137*VLOOKUP('Données projet'!$B$9,Paramètres!$A$1:$I$89,3,0)*0.475*44/12</f>
        <v>1.8206910847712088</v>
      </c>
      <c r="AB137" s="21">
        <f>EXP(-LN(2)/2)*AB136+(1-EXP(-LN(2)/2))/(LN(2)/2)*V137*Y137*VLOOKUP('Données projet'!$B$9,Paramètres!$A$1:$I$89,3,0)*0.475*44/12</f>
        <v>2.1521697400288175E-12</v>
      </c>
      <c r="AC137" s="22">
        <f t="shared" si="111"/>
        <v>9.1357569564403498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2.8421709430404007E-14</v>
      </c>
      <c r="AJ137" s="13">
        <f>AI137*VLOOKUP('Données projet'!$B$10,Paramètres!$A$1:$I$89,3,0)*VLOOKUP('Données projet'!$B$10,Paramètres!$A$1:$I$89,5,0)</f>
        <v>2.4829205358400945E-14</v>
      </c>
      <c r="AK137" s="13">
        <f t="shared" si="143"/>
        <v>4.3867331143352915E-13</v>
      </c>
      <c r="AL137" s="20">
        <f t="shared" si="112"/>
        <v>8.0726688341261168E-13</v>
      </c>
      <c r="AM137" s="59">
        <f t="shared" si="113"/>
        <v>293.33333333333411</v>
      </c>
      <c r="AN137" s="59">
        <f ca="1">AVERAGE(OFFSET($AM$3,0,0,'Données projet'!$E$10+1,1))-AVERAGE(OFFSET($H$3,0,0,'Données projet'!$E$10+1,1))</f>
        <v>201.61452816909701</v>
      </c>
      <c r="AO137" s="59">
        <f t="shared" si="144"/>
        <v>287.77679930887746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12.28591242446511</v>
      </c>
      <c r="AV137" s="21">
        <f>EXP(-LN(2)/25)*AV136+(1-EXP(-LN(2)/25))/(LN(2)/25)*Calculateur!AQ137*Calculateur!AS137*VLOOKUP('Données projet'!$B$10,Paramètres!$A$1:$I$89,3,0)*0.475*44/12</f>
        <v>5.490121308459293</v>
      </c>
      <c r="AW137" s="21">
        <f>EXP(-LN(2)/2)*AW136+(1-EXP(-LN(2)/2))/(LN(2)/2)*AQ137*AT137*VLOOKUP('Données projet'!$B$10,Paramètres!$A$1:$I$89,3,0)*0.475*44/12</f>
        <v>2.7101511993827613E-10</v>
      </c>
      <c r="AX137" s="21">
        <f t="shared" si="114"/>
        <v>17.776033733195419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-3.3992364478763198E-14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225.63994281336028</v>
      </c>
      <c r="BJ137" s="59">
        <f t="shared" si="146"/>
        <v>231.19476400361157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24.307946799415337</v>
      </c>
      <c r="BQ137" s="21">
        <f>EXP(-LN(2)/25)*BQ136+(1-EXP(-LN(2)/25))/(LN(2)/25)*Calculateur!BL137*Calculateur!BN137*VLOOKUP('Données projet'!$B$11,Paramètres!$A$1:$I$89,3,0)*0.475*44/12</f>
        <v>11.027207237222395</v>
      </c>
      <c r="BR137" s="21">
        <f>EXP(-LN(2)/2)*BR136+(1-EXP(-LN(2)/2))/(LN(2)/2)*BL137*BO137*VLOOKUP('Données projet'!$B$11,Paramètres!$A$1:$I$89,3,0)*0.475*44/12</f>
        <v>3.9420813850003892E-9</v>
      </c>
      <c r="BS137" s="22">
        <f t="shared" si="117"/>
        <v>35.335154040579816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2.6602720026858149E-14</v>
      </c>
      <c r="CA137" s="13">
        <f t="shared" si="147"/>
        <v>4.6624771586320878E-13</v>
      </c>
      <c r="CB137" s="20">
        <f t="shared" si="118"/>
        <v>8.583811758418665E-13</v>
      </c>
      <c r="CC137" s="59">
        <f t="shared" si="119"/>
        <v>293.33333333333417</v>
      </c>
      <c r="CD137" s="59">
        <f ca="1">AVERAGE(OFFSET($CC$3,0,0,'Données projet'!$E$12+1,1))-AVERAGE(OFFSET($H$3,0,0,'Données projet'!$E$12+1,1))</f>
        <v>111.69585394603672</v>
      </c>
      <c r="CE137" s="59">
        <f t="shared" si="148"/>
        <v>162.6701214629764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13.418725387583672</v>
      </c>
      <c r="CL137" s="21">
        <f>EXP(-LN(2)/25)*CL136+(1-EXP(-LN(2)/25))/(LN(2)/25)*Calculateur!CG137*Calculateur!CI137*VLOOKUP('Données projet'!$B$12,Paramètres!$A$1:$I$89,3,0)*0.475*44/12</f>
        <v>6.1615855175911962</v>
      </c>
      <c r="CM137" s="21">
        <f>EXP(-LN(2)/2)*CM136+(1-EXP(-LN(2)/2))/(LN(2)/2)*CG137*CJ137*VLOOKUP('Données projet'!$B$12,Paramètres!$A$1:$I$89,3,0)*0.475*44/12</f>
        <v>2.3391325420033673E-10</v>
      </c>
      <c r="CN137" s="22">
        <f t="shared" si="120"/>
        <v>19.580310905408783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-5.1431925385259088E-14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320.93171542656671</v>
      </c>
      <c r="T138" s="59">
        <f t="shared" si="142"/>
        <v>452.7298965816143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7.1716218916732197</v>
      </c>
      <c r="AA138" s="21">
        <f>EXP(-LN(2)/25)*AA137+(1-EXP(-LN(2)/25))/(LN(2)/25)*Calculateur!V138*Calculateur!X138*VLOOKUP('Données projet'!$B$9,Paramètres!$A$1:$I$89,3,0)*0.475*44/12</f>
        <v>1.7709041913121573</v>
      </c>
      <c r="AB138" s="21">
        <f>EXP(-LN(2)/2)*AB137+(1-EXP(-LN(2)/2))/(LN(2)/2)*V138*Y138*VLOOKUP('Données projet'!$B$9,Paramètres!$A$1:$I$89,3,0)*0.475*44/12</f>
        <v>1.521813817438866E-12</v>
      </c>
      <c r="AC138" s="22">
        <f t="shared" si="111"/>
        <v>8.9425260829869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2.8421709430404007E-14</v>
      </c>
      <c r="AJ138" s="13">
        <f>AI138*VLOOKUP('Données projet'!$B$10,Paramètres!$A$1:$I$89,3,0)*VLOOKUP('Données projet'!$B$10,Paramètres!$A$1:$I$89,5,0)</f>
        <v>2.4829205358400945E-14</v>
      </c>
      <c r="AK138" s="13">
        <f t="shared" si="143"/>
        <v>4.3867331143352915E-13</v>
      </c>
      <c r="AL138" s="20">
        <f t="shared" si="112"/>
        <v>8.0726688341261168E-13</v>
      </c>
      <c r="AM138" s="59">
        <f t="shared" si="113"/>
        <v>293.33333333333411</v>
      </c>
      <c r="AN138" s="59">
        <f ca="1">AVERAGE(OFFSET($AM$3,0,0,'Données projet'!$E$10+1,1))-AVERAGE(OFFSET($H$3,0,0,'Données projet'!$E$10+1,1))</f>
        <v>201.61452816909701</v>
      </c>
      <c r="AO138" s="59">
        <f t="shared" si="144"/>
        <v>287.77679930887746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12.04499317548799</v>
      </c>
      <c r="AV138" s="21">
        <f>EXP(-LN(2)/25)*AV137+(1-EXP(-LN(2)/25))/(LN(2)/25)*Calculateur!AQ138*Calculateur!AS138*VLOOKUP('Données projet'!$B$10,Paramètres!$A$1:$I$89,3,0)*0.475*44/12</f>
        <v>5.3399936525665419</v>
      </c>
      <c r="AW138" s="21">
        <f>EXP(-LN(2)/2)*AW137+(1-EXP(-LN(2)/2))/(LN(2)/2)*AQ138*AT138*VLOOKUP('Données projet'!$B$10,Paramètres!$A$1:$I$89,3,0)*0.475*44/12</f>
        <v>1.9163662911244056E-10</v>
      </c>
      <c r="AX138" s="21">
        <f t="shared" si="114"/>
        <v>17.38498682824617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-3.3992364478763198E-14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225.63994281336028</v>
      </c>
      <c r="BJ138" s="59">
        <f t="shared" si="146"/>
        <v>231.19476400361157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23.831282789062367</v>
      </c>
      <c r="BQ138" s="21">
        <f>EXP(-LN(2)/25)*BQ137+(1-EXP(-LN(2)/25))/(LN(2)/25)*Calculateur!BL138*Calculateur!BN138*VLOOKUP('Données projet'!$B$11,Paramètres!$A$1:$I$89,3,0)*0.475*44/12</f>
        <v>10.725667675424923</v>
      </c>
      <c r="BR138" s="21">
        <f>EXP(-LN(2)/2)*BR137+(1-EXP(-LN(2)/2))/(LN(2)/2)*BL138*BO138*VLOOKUP('Données projet'!$B$11,Paramètres!$A$1:$I$89,3,0)*0.475*44/12</f>
        <v>2.7874724793230325E-9</v>
      </c>
      <c r="BS138" s="22">
        <f t="shared" si="117"/>
        <v>34.55695046727476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2.6602720026858149E-14</v>
      </c>
      <c r="CA138" s="13">
        <f t="shared" si="147"/>
        <v>4.6624771586320878E-13</v>
      </c>
      <c r="CB138" s="20">
        <f t="shared" si="118"/>
        <v>8.583811758418665E-13</v>
      </c>
      <c r="CC138" s="59">
        <f t="shared" si="119"/>
        <v>293.33333333333417</v>
      </c>
      <c r="CD138" s="59">
        <f ca="1">AVERAGE(OFFSET($CC$3,0,0,'Données projet'!$E$12+1,1))-AVERAGE(OFFSET($H$3,0,0,'Données projet'!$E$12+1,1))</f>
        <v>111.69585394603672</v>
      </c>
      <c r="CE138" s="59">
        <f t="shared" si="148"/>
        <v>162.6701214629764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13.155592367347479</v>
      </c>
      <c r="CL138" s="21">
        <f>EXP(-LN(2)/25)*CL137+(1-EXP(-LN(2)/25))/(LN(2)/25)*Calculateur!CG138*Calculateur!CI138*VLOOKUP('Données projet'!$B$12,Paramètres!$A$1:$I$89,3,0)*0.475*44/12</f>
        <v>5.9930966375889652</v>
      </c>
      <c r="CM138" s="21">
        <f>EXP(-LN(2)/2)*CM137+(1-EXP(-LN(2)/2))/(LN(2)/2)*CG138*CJ138*VLOOKUP('Données projet'!$B$12,Paramètres!$A$1:$I$89,3,0)*0.475*44/12</f>
        <v>1.6540164825447078E-10</v>
      </c>
      <c r="CN138" s="22">
        <f t="shared" si="120"/>
        <v>19.148689005101843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-5.1431925385259088E-14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320.93171542656671</v>
      </c>
      <c r="T139" s="59">
        <f t="shared" si="142"/>
        <v>452.7298965816143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7.03099076063494</v>
      </c>
      <c r="AA139" s="21">
        <f>EXP(-LN(2)/25)*AA138+(1-EXP(-LN(2)/25))/(LN(2)/25)*Calculateur!V139*Calculateur!X139*VLOOKUP('Données projet'!$B$9,Paramètres!$A$1:$I$89,3,0)*0.475*44/12</f>
        <v>1.7224787230729224</v>
      </c>
      <c r="AB139" s="21">
        <f>EXP(-LN(2)/2)*AB138+(1-EXP(-LN(2)/2))/(LN(2)/2)*V139*Y139*VLOOKUP('Données projet'!$B$9,Paramètres!$A$1:$I$89,3,0)*0.475*44/12</f>
        <v>1.0760848700144088E-12</v>
      </c>
      <c r="AC139" s="22">
        <f t="shared" si="111"/>
        <v>8.7534694837089386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2.8421709430404007E-14</v>
      </c>
      <c r="AJ139" s="13">
        <f>AI139*VLOOKUP('Données projet'!$B$10,Paramètres!$A$1:$I$89,3,0)*VLOOKUP('Données projet'!$B$10,Paramètres!$A$1:$I$89,5,0)</f>
        <v>2.4829205358400945E-14</v>
      </c>
      <c r="AK139" s="13">
        <f t="shared" si="143"/>
        <v>4.3867331143352915E-13</v>
      </c>
      <c r="AL139" s="20">
        <f t="shared" si="112"/>
        <v>8.0726688341261168E-13</v>
      </c>
      <c r="AM139" s="59">
        <f t="shared" si="113"/>
        <v>293.33333333333411</v>
      </c>
      <c r="AN139" s="59">
        <f ca="1">AVERAGE(OFFSET($AM$3,0,0,'Données projet'!$E$10+1,1))-AVERAGE(OFFSET($H$3,0,0,'Données projet'!$E$10+1,1))</f>
        <v>201.61452816909701</v>
      </c>
      <c r="AO139" s="59">
        <f t="shared" si="144"/>
        <v>287.77679930887746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11.80879820603708</v>
      </c>
      <c r="AV139" s="21">
        <f>EXP(-LN(2)/25)*AV138+(1-EXP(-LN(2)/25))/(LN(2)/25)*Calculateur!AQ139*Calculateur!AS139*VLOOKUP('Données projet'!$B$10,Paramètres!$A$1:$I$89,3,0)*0.475*44/12</f>
        <v>5.1939712453190481</v>
      </c>
      <c r="AW139" s="21">
        <f>EXP(-LN(2)/2)*AW138+(1-EXP(-LN(2)/2))/(LN(2)/2)*AQ139*AT139*VLOOKUP('Données projet'!$B$10,Paramètres!$A$1:$I$89,3,0)*0.475*44/12</f>
        <v>1.3550755996913807E-10</v>
      </c>
      <c r="AX139" s="21">
        <f t="shared" si="114"/>
        <v>17.002769451491638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-3.3992364478763198E-14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225.63994281336028</v>
      </c>
      <c r="BJ139" s="59">
        <f t="shared" si="146"/>
        <v>231.19476400361157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23.363965869216081</v>
      </c>
      <c r="BQ139" s="21">
        <f>EXP(-LN(2)/25)*BQ138+(1-EXP(-LN(2)/25))/(LN(2)/25)*Calculateur!BL139*Calculateur!BN139*VLOOKUP('Données projet'!$B$11,Paramètres!$A$1:$I$89,3,0)*0.475*44/12</f>
        <v>10.432373728802078</v>
      </c>
      <c r="BR139" s="21">
        <f>EXP(-LN(2)/2)*BR138+(1-EXP(-LN(2)/2))/(LN(2)/2)*BL139*BO139*VLOOKUP('Données projet'!$B$11,Paramètres!$A$1:$I$89,3,0)*0.475*44/12</f>
        <v>1.9710406925001946E-9</v>
      </c>
      <c r="BS139" s="22">
        <f t="shared" si="117"/>
        <v>33.796339599989196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2.6602720026858149E-14</v>
      </c>
      <c r="CA139" s="13">
        <f t="shared" si="147"/>
        <v>4.6624771586320878E-13</v>
      </c>
      <c r="CB139" s="20">
        <f t="shared" si="118"/>
        <v>8.583811758418665E-13</v>
      </c>
      <c r="CC139" s="59">
        <f t="shared" si="119"/>
        <v>293.33333333333417</v>
      </c>
      <c r="CD139" s="59">
        <f ca="1">AVERAGE(OFFSET($CC$3,0,0,'Données projet'!$E$12+1,1))-AVERAGE(OFFSET($H$3,0,0,'Données projet'!$E$12+1,1))</f>
        <v>111.69585394603672</v>
      </c>
      <c r="CE139" s="59">
        <f t="shared" si="148"/>
        <v>162.6701214629764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12.897619225142822</v>
      </c>
      <c r="CL139" s="21">
        <f>EXP(-LN(2)/25)*CL138+(1-EXP(-LN(2)/25))/(LN(2)/25)*Calculateur!CG139*Calculateur!CI139*VLOOKUP('Données projet'!$B$12,Paramètres!$A$1:$I$89,3,0)*0.475*44/12</f>
        <v>5.8292150948708406</v>
      </c>
      <c r="CM139" s="21">
        <f>EXP(-LN(2)/2)*CM138+(1-EXP(-LN(2)/2))/(LN(2)/2)*CG139*CJ139*VLOOKUP('Données projet'!$B$12,Paramètres!$A$1:$I$89,3,0)*0.475*44/12</f>
        <v>1.1695662710016837E-10</v>
      </c>
      <c r="CN139" s="22">
        <f t="shared" si="120"/>
        <v>18.726834320130617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-5.1431925385259088E-14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320.93171542656671</v>
      </c>
      <c r="T140" s="59">
        <f t="shared" si="142"/>
        <v>452.7298965816143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6.8931173202998002</v>
      </c>
      <c r="AA140" s="21">
        <f>EXP(-LN(2)/25)*AA139+(1-EXP(-LN(2)/25))/(LN(2)/25)*Calculateur!V140*Calculateur!X140*VLOOKUP('Données projet'!$B$9,Paramètres!$A$1:$I$89,3,0)*0.475*44/12</f>
        <v>1.6753774518092741</v>
      </c>
      <c r="AB140" s="21">
        <f>EXP(-LN(2)/2)*AB139+(1-EXP(-LN(2)/2))/(LN(2)/2)*V140*Y140*VLOOKUP('Données projet'!$B$9,Paramètres!$A$1:$I$89,3,0)*0.475*44/12</f>
        <v>7.6090690871943298E-13</v>
      </c>
      <c r="AC140" s="22">
        <f t="shared" si="111"/>
        <v>8.568494772109835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2.8421709430404007E-14</v>
      </c>
      <c r="AJ140" s="13">
        <f>AI140*VLOOKUP('Données projet'!$B$10,Paramètres!$A$1:$I$89,3,0)*VLOOKUP('Données projet'!$B$10,Paramètres!$A$1:$I$89,5,0)</f>
        <v>2.4829205358400945E-14</v>
      </c>
      <c r="AK140" s="13">
        <f t="shared" si="143"/>
        <v>4.3867331143352915E-13</v>
      </c>
      <c r="AL140" s="20">
        <f t="shared" si="112"/>
        <v>8.0726688341261168E-13</v>
      </c>
      <c r="AM140" s="59">
        <f t="shared" si="113"/>
        <v>293.33333333333411</v>
      </c>
      <c r="AN140" s="59">
        <f ca="1">AVERAGE(OFFSET($AM$3,0,0,'Données projet'!$E$10+1,1))-AVERAGE(OFFSET($H$3,0,0,'Données projet'!$E$10+1,1))</f>
        <v>201.61452816909701</v>
      </c>
      <c r="AO140" s="59">
        <f t="shared" si="144"/>
        <v>287.77679930887746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11.577234875872396</v>
      </c>
      <c r="AV140" s="21">
        <f>EXP(-LN(2)/25)*AV139+(1-EXP(-LN(2)/25))/(LN(2)/25)*Calculateur!AQ140*Calculateur!AS140*VLOOKUP('Données projet'!$B$10,Paramètres!$A$1:$I$89,3,0)*0.475*44/12</f>
        <v>5.0519418284767221</v>
      </c>
      <c r="AW140" s="21">
        <f>EXP(-LN(2)/2)*AW139+(1-EXP(-LN(2)/2))/(LN(2)/2)*AQ140*AT140*VLOOKUP('Données projet'!$B$10,Paramètres!$A$1:$I$89,3,0)*0.475*44/12</f>
        <v>9.5818314556220278E-11</v>
      </c>
      <c r="AX140" s="21">
        <f t="shared" si="114"/>
        <v>16.629176704444934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-3.3992364478763198E-14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225.63994281336028</v>
      </c>
      <c r="BJ140" s="59">
        <f t="shared" si="146"/>
        <v>231.19476400361157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22.905812749132803</v>
      </c>
      <c r="BQ140" s="21">
        <f>EXP(-LN(2)/25)*BQ139+(1-EXP(-LN(2)/25))/(LN(2)/25)*Calculateur!BL140*Calculateur!BN140*VLOOKUP('Données projet'!$B$11,Paramètres!$A$1:$I$89,3,0)*0.475*44/12</f>
        <v>10.147099920573295</v>
      </c>
      <c r="BR140" s="21">
        <f>EXP(-LN(2)/2)*BR139+(1-EXP(-LN(2)/2))/(LN(2)/2)*BL140*BO140*VLOOKUP('Données projet'!$B$11,Paramètres!$A$1:$I$89,3,0)*0.475*44/12</f>
        <v>1.3937362396615162E-9</v>
      </c>
      <c r="BS140" s="22">
        <f t="shared" si="117"/>
        <v>33.052912671099833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2.6602720026858149E-14</v>
      </c>
      <c r="CA140" s="13">
        <f t="shared" si="147"/>
        <v>4.6624771586320878E-13</v>
      </c>
      <c r="CB140" s="20">
        <f t="shared" si="118"/>
        <v>8.583811758418665E-13</v>
      </c>
      <c r="CC140" s="59">
        <f t="shared" si="119"/>
        <v>293.33333333333417</v>
      </c>
      <c r="CD140" s="59">
        <f ca="1">AVERAGE(OFFSET($CC$3,0,0,'Données projet'!$E$12+1,1))-AVERAGE(OFFSET($H$3,0,0,'Données projet'!$E$12+1,1))</f>
        <v>111.69585394603672</v>
      </c>
      <c r="CE140" s="59">
        <f t="shared" si="148"/>
        <v>162.6701214629764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12.64470477890872</v>
      </c>
      <c r="CL140" s="21">
        <f>EXP(-LN(2)/25)*CL139+(1-EXP(-LN(2)/25))/(LN(2)/25)*Calculateur!CG140*Calculateur!CI140*VLOOKUP('Données projet'!$B$12,Paramètres!$A$1:$I$89,3,0)*0.475*44/12</f>
        <v>5.6698149015564985</v>
      </c>
      <c r="CM140" s="21">
        <f>EXP(-LN(2)/2)*CM139+(1-EXP(-LN(2)/2))/(LN(2)/2)*CG140*CJ140*VLOOKUP('Données projet'!$B$12,Paramètres!$A$1:$I$89,3,0)*0.475*44/12</f>
        <v>8.270082412723539E-11</v>
      </c>
      <c r="CN140" s="22">
        <f t="shared" si="120"/>
        <v>18.314519680547917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-5.1431925385259088E-14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320.93171542656671</v>
      </c>
      <c r="T141" s="59">
        <f t="shared" si="142"/>
        <v>452.7298965816143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6.7579474940351378</v>
      </c>
      <c r="AA141" s="21">
        <f>EXP(-LN(2)/25)*AA140+(1-EXP(-LN(2)/25))/(LN(2)/25)*Calculateur!V141*Calculateur!X141*VLOOKUP('Données projet'!$B$9,Paramètres!$A$1:$I$89,3,0)*0.475*44/12</f>
        <v>1.6295641672852785</v>
      </c>
      <c r="AB141" s="21">
        <f>EXP(-LN(2)/2)*AB140+(1-EXP(-LN(2)/2))/(LN(2)/2)*V141*Y141*VLOOKUP('Données projet'!$B$9,Paramètres!$A$1:$I$89,3,0)*0.475*44/12</f>
        <v>5.3804243500720438E-13</v>
      </c>
      <c r="AC141" s="22">
        <f t="shared" si="111"/>
        <v>8.3875116613209553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2.8421709430404007E-14</v>
      </c>
      <c r="AJ141" s="13">
        <f>AI141*VLOOKUP('Données projet'!$B$10,Paramètres!$A$1:$I$89,3,0)*VLOOKUP('Données projet'!$B$10,Paramètres!$A$1:$I$89,5,0)</f>
        <v>2.4829205358400945E-14</v>
      </c>
      <c r="AK141" s="13">
        <f t="shared" si="143"/>
        <v>4.3867331143352915E-13</v>
      </c>
      <c r="AL141" s="20">
        <f t="shared" si="112"/>
        <v>8.0726688341261168E-13</v>
      </c>
      <c r="AM141" s="59">
        <f t="shared" si="113"/>
        <v>293.33333333333411</v>
      </c>
      <c r="AN141" s="59">
        <f ca="1">AVERAGE(OFFSET($AM$3,0,0,'Données projet'!$E$10+1,1))-AVERAGE(OFFSET($H$3,0,0,'Données projet'!$E$10+1,1))</f>
        <v>201.61452816909701</v>
      </c>
      <c r="AO141" s="59">
        <f t="shared" si="144"/>
        <v>287.77679930887746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11.350212361372556</v>
      </c>
      <c r="AV141" s="21">
        <f>EXP(-LN(2)/25)*AV140+(1-EXP(-LN(2)/25))/(LN(2)/25)*Calculateur!AQ141*Calculateur!AS141*VLOOKUP('Données projet'!$B$10,Paramètres!$A$1:$I$89,3,0)*0.475*44/12</f>
        <v>4.9137962135069522</v>
      </c>
      <c r="AW141" s="21">
        <f>EXP(-LN(2)/2)*AW140+(1-EXP(-LN(2)/2))/(LN(2)/2)*AQ141*AT141*VLOOKUP('Données projet'!$B$10,Paramètres!$A$1:$I$89,3,0)*0.475*44/12</f>
        <v>6.7753779984569033E-11</v>
      </c>
      <c r="AX141" s="21">
        <f t="shared" si="114"/>
        <v>16.264008574947262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-3.3992364478763198E-14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225.63994281336028</v>
      </c>
      <c r="BJ141" s="59">
        <f t="shared" si="146"/>
        <v>231.19476400361157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22.456643732288548</v>
      </c>
      <c r="BQ141" s="21">
        <f>EXP(-LN(2)/25)*BQ140+(1-EXP(-LN(2)/25))/(LN(2)/25)*Calculateur!BL141*Calculateur!BN141*VLOOKUP('Données projet'!$B$11,Paramètres!$A$1:$I$89,3,0)*0.475*44/12</f>
        <v>9.8696269396324254</v>
      </c>
      <c r="BR141" s="21">
        <f>EXP(-LN(2)/2)*BR140+(1-EXP(-LN(2)/2))/(LN(2)/2)*BL141*BO141*VLOOKUP('Données projet'!$B$11,Paramètres!$A$1:$I$89,3,0)*0.475*44/12</f>
        <v>9.8552034625009729E-10</v>
      </c>
      <c r="BS141" s="22">
        <f t="shared" si="117"/>
        <v>32.326270672906496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2.6602720026858149E-14</v>
      </c>
      <c r="CA141" s="13">
        <f t="shared" si="147"/>
        <v>4.6624771586320878E-13</v>
      </c>
      <c r="CB141" s="20">
        <f t="shared" si="118"/>
        <v>8.583811758418665E-13</v>
      </c>
      <c r="CC141" s="59">
        <f t="shared" si="119"/>
        <v>293.33333333333417</v>
      </c>
      <c r="CD141" s="59">
        <f ca="1">AVERAGE(OFFSET($CC$3,0,0,'Données projet'!$E$12+1,1))-AVERAGE(OFFSET($H$3,0,0,'Données projet'!$E$12+1,1))</f>
        <v>111.69585394603672</v>
      </c>
      <c r="CE141" s="59">
        <f t="shared" si="148"/>
        <v>162.6701214629764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12.396749830702689</v>
      </c>
      <c r="CL141" s="21">
        <f>EXP(-LN(2)/25)*CL140+(1-EXP(-LN(2)/25))/(LN(2)/25)*Calculateur!CG141*Calculateur!CI141*VLOOKUP('Données projet'!$B$12,Paramètres!$A$1:$I$89,3,0)*0.475*44/12</f>
        <v>5.5147735149108286</v>
      </c>
      <c r="CM141" s="21">
        <f>EXP(-LN(2)/2)*CM140+(1-EXP(-LN(2)/2))/(LN(2)/2)*CG141*CJ141*VLOOKUP('Données projet'!$B$12,Paramètres!$A$1:$I$89,3,0)*0.475*44/12</f>
        <v>5.8478313550084184E-11</v>
      </c>
      <c r="CN141" s="22">
        <f t="shared" si="120"/>
        <v>17.911523345671995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-5.1431925385259088E-14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320.93171542656671</v>
      </c>
      <c r="T142" s="59">
        <f t="shared" si="142"/>
        <v>452.7298965816143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6.6254282656180719</v>
      </c>
      <c r="AA142" s="21">
        <f>EXP(-LN(2)/25)*AA141+(1-EXP(-LN(2)/25))/(LN(2)/25)*Calculateur!V142*Calculateur!X142*VLOOKUP('Données projet'!$B$9,Paramètres!$A$1:$I$89,3,0)*0.475*44/12</f>
        <v>1.5850036494358075</v>
      </c>
      <c r="AB142" s="21">
        <f>EXP(-LN(2)/2)*AB141+(1-EXP(-LN(2)/2))/(LN(2)/2)*V142*Y142*VLOOKUP('Données projet'!$B$9,Paramètres!$A$1:$I$89,3,0)*0.475*44/12</f>
        <v>3.8045345435971649E-13</v>
      </c>
      <c r="AC142" s="22">
        <f t="shared" si="111"/>
        <v>8.2104319150542597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2.8421709430404007E-14</v>
      </c>
      <c r="AJ142" s="13">
        <f>AI142*VLOOKUP('Données projet'!$B$10,Paramètres!$A$1:$I$89,3,0)*VLOOKUP('Données projet'!$B$10,Paramètres!$A$1:$I$89,5,0)</f>
        <v>2.4829205358400945E-14</v>
      </c>
      <c r="AK142" s="13">
        <f t="shared" si="143"/>
        <v>4.3867331143352915E-13</v>
      </c>
      <c r="AL142" s="20">
        <f t="shared" si="112"/>
        <v>8.0726688341261168E-13</v>
      </c>
      <c r="AM142" s="59">
        <f t="shared" si="113"/>
        <v>293.33333333333411</v>
      </c>
      <c r="AN142" s="59">
        <f ca="1">AVERAGE(OFFSET($AM$3,0,0,'Données projet'!$E$10+1,1))-AVERAGE(OFFSET($H$3,0,0,'Données projet'!$E$10+1,1))</f>
        <v>201.61452816909701</v>
      </c>
      <c r="AO142" s="59">
        <f t="shared" si="144"/>
        <v>287.77679930887746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11.127641619911996</v>
      </c>
      <c r="AV142" s="21">
        <f>EXP(-LN(2)/25)*AV141+(1-EXP(-LN(2)/25))/(LN(2)/25)*Calculateur!AQ142*Calculateur!AS142*VLOOKUP('Données projet'!$B$10,Paramètres!$A$1:$I$89,3,0)*0.475*44/12</f>
        <v>4.7794281976432922</v>
      </c>
      <c r="AW142" s="21">
        <f>EXP(-LN(2)/2)*AW141+(1-EXP(-LN(2)/2))/(LN(2)/2)*AQ142*AT142*VLOOKUP('Données projet'!$B$10,Paramètres!$A$1:$I$89,3,0)*0.475*44/12</f>
        <v>4.7909157278110139E-11</v>
      </c>
      <c r="AX142" s="21">
        <f t="shared" si="114"/>
        <v>15.907069817603197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-3.3992364478763198E-14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225.63994281336028</v>
      </c>
      <c r="BJ142" s="59">
        <f t="shared" si="146"/>
        <v>231.19476400361157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22.01628264589856</v>
      </c>
      <c r="BQ142" s="21">
        <f>EXP(-LN(2)/25)*BQ141+(1-EXP(-LN(2)/25))/(LN(2)/25)*Calculateur!BL142*Calculateur!BN142*VLOOKUP('Données projet'!$B$11,Paramètres!$A$1:$I$89,3,0)*0.475*44/12</f>
        <v>9.5997414719470537</v>
      </c>
      <c r="BR142" s="21">
        <f>EXP(-LN(2)/2)*BR141+(1-EXP(-LN(2)/2))/(LN(2)/2)*BL142*BO142*VLOOKUP('Données projet'!$B$11,Paramètres!$A$1:$I$89,3,0)*0.475*44/12</f>
        <v>6.9686811983075812E-10</v>
      </c>
      <c r="BS142" s="22">
        <f t="shared" si="117"/>
        <v>31.61602411854248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2.6602720026858149E-14</v>
      </c>
      <c r="CA142" s="13">
        <f t="shared" si="147"/>
        <v>4.6624771586320878E-13</v>
      </c>
      <c r="CB142" s="20">
        <f t="shared" si="118"/>
        <v>8.583811758418665E-13</v>
      </c>
      <c r="CC142" s="59">
        <f t="shared" si="119"/>
        <v>293.33333333333417</v>
      </c>
      <c r="CD142" s="59">
        <f ca="1">AVERAGE(OFFSET($CC$3,0,0,'Données projet'!$E$12+1,1))-AVERAGE(OFFSET($H$3,0,0,'Données projet'!$E$12+1,1))</f>
        <v>111.69585394603672</v>
      </c>
      <c r="CE142" s="59">
        <f t="shared" si="148"/>
        <v>162.6701214629764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12.153657127793393</v>
      </c>
      <c r="CL142" s="21">
        <f>EXP(-LN(2)/25)*CL141+(1-EXP(-LN(2)/25))/(LN(2)/25)*Calculateur!CG142*Calculateur!CI142*VLOOKUP('Données projet'!$B$12,Paramètres!$A$1:$I$89,3,0)*0.475*44/12</f>
        <v>5.3639717431362568</v>
      </c>
      <c r="CM142" s="21">
        <f>EXP(-LN(2)/2)*CM141+(1-EXP(-LN(2)/2))/(LN(2)/2)*CG142*CJ142*VLOOKUP('Données projet'!$B$12,Paramètres!$A$1:$I$89,3,0)*0.475*44/12</f>
        <v>4.1350412063617695E-11</v>
      </c>
      <c r="CN142" s="22">
        <f t="shared" si="120"/>
        <v>17.517628870970999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-5.1431925385259088E-14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320.93171542656671</v>
      </c>
      <c r="T143" s="59">
        <f t="shared" si="142"/>
        <v>452.7298965816143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6.4955076584415172</v>
      </c>
      <c r="AA143" s="21">
        <f>EXP(-LN(2)/25)*AA142+(1-EXP(-LN(2)/25))/(LN(2)/25)*Calculateur!V143*Calculateur!X143*VLOOKUP('Données projet'!$B$9,Paramètres!$A$1:$I$89,3,0)*0.475*44/12</f>
        <v>1.5416616412902659</v>
      </c>
      <c r="AB143" s="21">
        <f>EXP(-LN(2)/2)*AB142+(1-EXP(-LN(2)/2))/(LN(2)/2)*V143*Y143*VLOOKUP('Données projet'!$B$9,Paramètres!$A$1:$I$89,3,0)*0.475*44/12</f>
        <v>2.6902121750360219E-13</v>
      </c>
      <c r="AC143" s="22">
        <f t="shared" si="111"/>
        <v>8.0371692997320512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2.8421709430404007E-14</v>
      </c>
      <c r="AJ143" s="13">
        <f>AI143*VLOOKUP('Données projet'!$B$10,Paramètres!$A$1:$I$89,3,0)*VLOOKUP('Données projet'!$B$10,Paramètres!$A$1:$I$89,5,0)</f>
        <v>2.4829205358400945E-14</v>
      </c>
      <c r="AK143" s="13">
        <f t="shared" si="143"/>
        <v>4.3867331143352915E-13</v>
      </c>
      <c r="AL143" s="20">
        <f t="shared" si="112"/>
        <v>8.0726688341261168E-13</v>
      </c>
      <c r="AM143" s="59">
        <f t="shared" si="113"/>
        <v>293.33333333333411</v>
      </c>
      <c r="AN143" s="59">
        <f ca="1">AVERAGE(OFFSET($AM$3,0,0,'Données projet'!$E$10+1,1))-AVERAGE(OFFSET($H$3,0,0,'Données projet'!$E$10+1,1))</f>
        <v>201.61452816909701</v>
      </c>
      <c r="AO143" s="59">
        <f t="shared" si="144"/>
        <v>287.77679930887746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10.909435354936731</v>
      </c>
      <c r="AV143" s="21">
        <f>EXP(-LN(2)/25)*AV142+(1-EXP(-LN(2)/25))/(LN(2)/25)*Calculateur!AQ143*Calculateur!AS143*VLOOKUP('Données projet'!$B$10,Paramètres!$A$1:$I$89,3,0)*0.475*44/12</f>
        <v>4.6487344822395311</v>
      </c>
      <c r="AW143" s="21">
        <f>EXP(-LN(2)/2)*AW142+(1-EXP(-LN(2)/2))/(LN(2)/2)*AQ143*AT143*VLOOKUP('Données projet'!$B$10,Paramètres!$A$1:$I$89,3,0)*0.475*44/12</f>
        <v>3.3876889992284516E-11</v>
      </c>
      <c r="AX143" s="21">
        <f t="shared" si="114"/>
        <v>15.558169837210139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-3.3992364478763198E-14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225.63994281336028</v>
      </c>
      <c r="BJ143" s="59">
        <f t="shared" si="146"/>
        <v>231.19476400361157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21.584556771818939</v>
      </c>
      <c r="BQ143" s="21">
        <f>EXP(-LN(2)/25)*BQ142+(1-EXP(-LN(2)/25))/(LN(2)/25)*Calculateur!BL143*Calculateur!BN143*VLOOKUP('Données projet'!$B$11,Paramètres!$A$1:$I$89,3,0)*0.475*44/12</f>
        <v>9.3372360365681981</v>
      </c>
      <c r="BR143" s="21">
        <f>EXP(-LN(2)/2)*BR142+(1-EXP(-LN(2)/2))/(LN(2)/2)*BL143*BO143*VLOOKUP('Données projet'!$B$11,Paramètres!$A$1:$I$89,3,0)*0.475*44/12</f>
        <v>4.9276017312504864E-10</v>
      </c>
      <c r="BS143" s="22">
        <f t="shared" si="117"/>
        <v>30.9217928088799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2.6602720026858149E-14</v>
      </c>
      <c r="CA143" s="13">
        <f t="shared" si="147"/>
        <v>4.6624771586320878E-13</v>
      </c>
      <c r="CB143" s="20">
        <f t="shared" si="118"/>
        <v>8.583811758418665E-13</v>
      </c>
      <c r="CC143" s="59">
        <f t="shared" si="119"/>
        <v>293.33333333333417</v>
      </c>
      <c r="CD143" s="59">
        <f ca="1">AVERAGE(OFFSET($CC$3,0,0,'Données projet'!$E$12+1,1))-AVERAGE(OFFSET($H$3,0,0,'Données projet'!$E$12+1,1))</f>
        <v>111.69585394603672</v>
      </c>
      <c r="CE143" s="59">
        <f t="shared" si="148"/>
        <v>162.6701214629764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11.91533132451624</v>
      </c>
      <c r="CL143" s="21">
        <f>EXP(-LN(2)/25)*CL142+(1-EXP(-LN(2)/25))/(LN(2)/25)*Calculateur!CG143*Calculateur!CI143*VLOOKUP('Données projet'!$B$12,Paramètres!$A$1:$I$89,3,0)*0.475*44/12</f>
        <v>5.2172936537411818</v>
      </c>
      <c r="CM143" s="21">
        <f>EXP(-LN(2)/2)*CM142+(1-EXP(-LN(2)/2))/(LN(2)/2)*CG143*CJ143*VLOOKUP('Données projet'!$B$12,Paramètres!$A$1:$I$89,3,0)*0.475*44/12</f>
        <v>2.9239156775042092E-11</v>
      </c>
      <c r="CN143" s="22">
        <f t="shared" si="120"/>
        <v>17.13262497828666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-5.1431925385259088E-14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320.93171542656671</v>
      </c>
      <c r="T144" s="59">
        <f t="shared" si="142"/>
        <v>452.7298965816143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6.3681347151279484</v>
      </c>
      <c r="AA144" s="21">
        <f>EXP(-LN(2)/25)*AA143+(1-EXP(-LN(2)/25))/(LN(2)/25)*Calculateur!V144*Calculateur!X144*VLOOKUP('Données projet'!$B$9,Paramètres!$A$1:$I$89,3,0)*0.475*44/12</f>
        <v>1.4995048226367214</v>
      </c>
      <c r="AB144" s="21">
        <f>EXP(-LN(2)/2)*AB143+(1-EXP(-LN(2)/2))/(LN(2)/2)*V144*Y144*VLOOKUP('Données projet'!$B$9,Paramètres!$A$1:$I$89,3,0)*0.475*44/12</f>
        <v>1.9022672717985824E-13</v>
      </c>
      <c r="AC144" s="22">
        <f t="shared" si="111"/>
        <v>7.8676395377648598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2.8421709430404007E-14</v>
      </c>
      <c r="AJ144" s="13">
        <f>AI144*VLOOKUP('Données projet'!$B$10,Paramètres!$A$1:$I$89,3,0)*VLOOKUP('Données projet'!$B$10,Paramètres!$A$1:$I$89,5,0)</f>
        <v>2.4829205358400945E-14</v>
      </c>
      <c r="AK144" s="13">
        <f t="shared" si="143"/>
        <v>4.3867331143352915E-13</v>
      </c>
      <c r="AL144" s="20">
        <f t="shared" si="112"/>
        <v>8.0726688341261168E-13</v>
      </c>
      <c r="AM144" s="59">
        <f t="shared" si="113"/>
        <v>293.33333333333411</v>
      </c>
      <c r="AN144" s="59">
        <f ca="1">AVERAGE(OFFSET($AM$3,0,0,'Données projet'!$E$10+1,1))-AVERAGE(OFFSET($H$3,0,0,'Données projet'!$E$10+1,1))</f>
        <v>201.61452816909701</v>
      </c>
      <c r="AO144" s="59">
        <f t="shared" si="144"/>
        <v>287.77679930887746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10.695507981724951</v>
      </c>
      <c r="AV144" s="21">
        <f>EXP(-LN(2)/25)*AV143+(1-EXP(-LN(2)/25))/(LN(2)/25)*Calculateur!AQ144*Calculateur!AS144*VLOOKUP('Données projet'!$B$10,Paramètres!$A$1:$I$89,3,0)*0.475*44/12</f>
        <v>4.5216145933563698</v>
      </c>
      <c r="AW144" s="21">
        <f>EXP(-LN(2)/2)*AW143+(1-EXP(-LN(2)/2))/(LN(2)/2)*AQ144*AT144*VLOOKUP('Données projet'!$B$10,Paramètres!$A$1:$I$89,3,0)*0.475*44/12</f>
        <v>2.395457863905507E-11</v>
      </c>
      <c r="AX144" s="21">
        <f t="shared" si="114"/>
        <v>15.217122575105275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-3.3992364478763198E-14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225.63994281336028</v>
      </c>
      <c r="BJ144" s="59">
        <f t="shared" si="146"/>
        <v>231.19476400361157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21.161296778803237</v>
      </c>
      <c r="BQ144" s="21">
        <f>EXP(-LN(2)/25)*BQ143+(1-EXP(-LN(2)/25))/(LN(2)/25)*Calculateur!BL144*Calculateur!BN144*VLOOKUP('Données projet'!$B$11,Paramètres!$A$1:$I$89,3,0)*0.475*44/12</f>
        <v>9.0819088261243373</v>
      </c>
      <c r="BR144" s="21">
        <f>EXP(-LN(2)/2)*BR143+(1-EXP(-LN(2)/2))/(LN(2)/2)*BL144*BO144*VLOOKUP('Données projet'!$B$11,Paramètres!$A$1:$I$89,3,0)*0.475*44/12</f>
        <v>3.4843405991537906E-10</v>
      </c>
      <c r="BS144" s="22">
        <f t="shared" si="117"/>
        <v>30.243205605276007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2.6602720026858149E-14</v>
      </c>
      <c r="CA144" s="13">
        <f t="shared" si="147"/>
        <v>4.6624771586320878E-13</v>
      </c>
      <c r="CB144" s="20">
        <f t="shared" si="118"/>
        <v>8.583811758418665E-13</v>
      </c>
      <c r="CC144" s="59">
        <f t="shared" si="119"/>
        <v>293.33333333333417</v>
      </c>
      <c r="CD144" s="59">
        <f ca="1">AVERAGE(OFFSET($CC$3,0,0,'Données projet'!$E$12+1,1))-AVERAGE(OFFSET($H$3,0,0,'Données projet'!$E$12+1,1))</f>
        <v>111.69585394603672</v>
      </c>
      <c r="CE144" s="59">
        <f t="shared" si="148"/>
        <v>162.6701214629764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11.681678944876966</v>
      </c>
      <c r="CL144" s="21">
        <f>EXP(-LN(2)/25)*CL143+(1-EXP(-LN(2)/25))/(LN(2)/25)*Calculateur!CG144*Calculateur!CI144*VLOOKUP('Données projet'!$B$12,Paramètres!$A$1:$I$89,3,0)*0.475*44/12</f>
        <v>5.0746264844140798</v>
      </c>
      <c r="CM144" s="21">
        <f>EXP(-LN(2)/2)*CM143+(1-EXP(-LN(2)/2))/(LN(2)/2)*CG144*CJ144*VLOOKUP('Données projet'!$B$12,Paramètres!$A$1:$I$89,3,0)*0.475*44/12</f>
        <v>2.0675206031808848E-11</v>
      </c>
      <c r="CN144" s="22">
        <f t="shared" si="120"/>
        <v>16.756305429311723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-5.1431925385259088E-14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320.93171542656671</v>
      </c>
      <c r="T145" s="59">
        <f t="shared" si="142"/>
        <v>452.7298965816143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6.2432594775429351</v>
      </c>
      <c r="AA145" s="21">
        <f>EXP(-LN(2)/25)*AA144+(1-EXP(-LN(2)/25))/(LN(2)/25)*Calculateur!V145*Calculateur!X145*VLOOKUP('Données projet'!$B$9,Paramètres!$A$1:$I$89,3,0)*0.475*44/12</f>
        <v>1.4585007844061888</v>
      </c>
      <c r="AB145" s="21">
        <f>EXP(-LN(2)/2)*AB144+(1-EXP(-LN(2)/2))/(LN(2)/2)*V145*Y145*VLOOKUP('Données projet'!$B$9,Paramètres!$A$1:$I$89,3,0)*0.475*44/12</f>
        <v>1.3451060875180109E-13</v>
      </c>
      <c r="AC145" s="22">
        <f t="shared" si="111"/>
        <v>7.701760261949258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2.8421709430404007E-14</v>
      </c>
      <c r="AJ145" s="13">
        <f>AI145*VLOOKUP('Données projet'!$B$10,Paramètres!$A$1:$I$89,3,0)*VLOOKUP('Données projet'!$B$10,Paramètres!$A$1:$I$89,5,0)</f>
        <v>2.4829205358400945E-14</v>
      </c>
      <c r="AK145" s="13">
        <f t="shared" si="143"/>
        <v>4.3867331143352915E-13</v>
      </c>
      <c r="AL145" s="20">
        <f t="shared" si="112"/>
        <v>8.0726688341261168E-13</v>
      </c>
      <c r="AM145" s="59">
        <f t="shared" si="113"/>
        <v>293.33333333333411</v>
      </c>
      <c r="AN145" s="59">
        <f ca="1">AVERAGE(OFFSET($AM$3,0,0,'Données projet'!$E$10+1,1))-AVERAGE(OFFSET($H$3,0,0,'Données projet'!$E$10+1,1))</f>
        <v>201.61452816909701</v>
      </c>
      <c r="AO145" s="59">
        <f t="shared" si="144"/>
        <v>287.77679930887746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10.48577559381904</v>
      </c>
      <c r="AV145" s="21">
        <f>EXP(-LN(2)/25)*AV144+(1-EXP(-LN(2)/25))/(LN(2)/25)*Calculateur!AQ145*Calculateur!AS145*VLOOKUP('Données projet'!$B$10,Paramètres!$A$1:$I$89,3,0)*0.475*44/12</f>
        <v>4.3979708045196624</v>
      </c>
      <c r="AW145" s="21">
        <f>EXP(-LN(2)/2)*AW144+(1-EXP(-LN(2)/2))/(LN(2)/2)*AQ145*AT145*VLOOKUP('Données projet'!$B$10,Paramètres!$A$1:$I$89,3,0)*0.475*44/12</f>
        <v>1.6938444996142258E-11</v>
      </c>
      <c r="AX145" s="21">
        <f t="shared" si="114"/>
        <v>14.88374639835564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-3.3992364478763198E-14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225.63994281336028</v>
      </c>
      <c r="BJ145" s="59">
        <f t="shared" si="146"/>
        <v>231.19476400361157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20.746336656087468</v>
      </c>
      <c r="BQ145" s="21">
        <f>EXP(-LN(2)/25)*BQ144+(1-EXP(-LN(2)/25))/(LN(2)/25)*Calculateur!BL145*Calculateur!BN145*VLOOKUP('Données projet'!$B$11,Paramètres!$A$1:$I$89,3,0)*0.475*44/12</f>
        <v>8.8335635516771394</v>
      </c>
      <c r="BR145" s="21">
        <f>EXP(-LN(2)/2)*BR144+(1-EXP(-LN(2)/2))/(LN(2)/2)*BL145*BO145*VLOOKUP('Données projet'!$B$11,Paramètres!$A$1:$I$89,3,0)*0.475*44/12</f>
        <v>2.4638008656252432E-10</v>
      </c>
      <c r="BS145" s="22">
        <f t="shared" si="117"/>
        <v>29.57990020801099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2.6602720026858149E-14</v>
      </c>
      <c r="CA145" s="13">
        <f t="shared" si="147"/>
        <v>4.6624771586320878E-13</v>
      </c>
      <c r="CB145" s="20">
        <f t="shared" si="118"/>
        <v>8.583811758418665E-13</v>
      </c>
      <c r="CC145" s="59">
        <f t="shared" si="119"/>
        <v>293.33333333333417</v>
      </c>
      <c r="CD145" s="59">
        <f ca="1">AVERAGE(OFFSET($CC$3,0,0,'Données projet'!$E$12+1,1))-AVERAGE(OFFSET($H$3,0,0,'Données projet'!$E$12+1,1))</f>
        <v>111.69585394603672</v>
      </c>
      <c r="CE145" s="59">
        <f t="shared" si="148"/>
        <v>162.6701214629764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11.452608345888537</v>
      </c>
      <c r="CL145" s="21">
        <f>EXP(-LN(2)/25)*CL144+(1-EXP(-LN(2)/25))/(LN(2)/25)*Calculateur!CG145*Calculateur!CI145*VLOOKUP('Données projet'!$B$12,Paramètres!$A$1:$I$89,3,0)*0.475*44/12</f>
        <v>4.9358605563347684</v>
      </c>
      <c r="CM145" s="21">
        <f>EXP(-LN(2)/2)*CM144+(1-EXP(-LN(2)/2))/(LN(2)/2)*CG145*CJ145*VLOOKUP('Données projet'!$B$12,Paramètres!$A$1:$I$89,3,0)*0.475*44/12</f>
        <v>1.4619578387521046E-11</v>
      </c>
      <c r="CN145" s="22">
        <f t="shared" si="120"/>
        <v>16.388468902237925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-5.1431925385259088E-14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320.93171542656671</v>
      </c>
      <c r="T146" s="59">
        <f t="shared" si="142"/>
        <v>452.7298965816143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6.1208329672005899</v>
      </c>
      <c r="AA146" s="21">
        <f>EXP(-LN(2)/25)*AA145+(1-EXP(-LN(2)/25))/(LN(2)/25)*Calculateur!V146*Calculateur!X146*VLOOKUP('Données projet'!$B$9,Paramètres!$A$1:$I$89,3,0)*0.475*44/12</f>
        <v>1.4186180037573788</v>
      </c>
      <c r="AB146" s="21">
        <f>EXP(-LN(2)/2)*AB145+(1-EXP(-LN(2)/2))/(LN(2)/2)*V146*Y146*VLOOKUP('Données projet'!$B$9,Paramètres!$A$1:$I$89,3,0)*0.475*44/12</f>
        <v>9.5113363589929122E-14</v>
      </c>
      <c r="AC146" s="22">
        <f t="shared" si="111"/>
        <v>7.5394509709580637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2.8421709430404007E-14</v>
      </c>
      <c r="AJ146" s="13">
        <f>AI146*VLOOKUP('Données projet'!$B$10,Paramètres!$A$1:$I$89,3,0)*VLOOKUP('Données projet'!$B$10,Paramètres!$A$1:$I$89,5,0)</f>
        <v>2.4829205358400945E-14</v>
      </c>
      <c r="AK146" s="13">
        <f t="shared" si="143"/>
        <v>4.3867331143352915E-13</v>
      </c>
      <c r="AL146" s="20">
        <f t="shared" si="112"/>
        <v>8.0726688341261168E-13</v>
      </c>
      <c r="AM146" s="59">
        <f t="shared" si="113"/>
        <v>293.33333333333411</v>
      </c>
      <c r="AN146" s="59">
        <f ca="1">AVERAGE(OFFSET($AM$3,0,0,'Données projet'!$E$10+1,1))-AVERAGE(OFFSET($H$3,0,0,'Données projet'!$E$10+1,1))</f>
        <v>201.61452816909701</v>
      </c>
      <c r="AO146" s="59">
        <f t="shared" si="144"/>
        <v>287.77679930887746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10.280155930115839</v>
      </c>
      <c r="AV146" s="21">
        <f>EXP(-LN(2)/25)*AV145+(1-EXP(-LN(2)/25))/(LN(2)/25)*Calculateur!AQ146*Calculateur!AS146*VLOOKUP('Données projet'!$B$10,Paramètres!$A$1:$I$89,3,0)*0.475*44/12</f>
        <v>4.2777080615908396</v>
      </c>
      <c r="AW146" s="21">
        <f>EXP(-LN(2)/2)*AW145+(1-EXP(-LN(2)/2))/(LN(2)/2)*AQ146*AT146*VLOOKUP('Données projet'!$B$10,Paramètres!$A$1:$I$89,3,0)*0.475*44/12</f>
        <v>1.1977289319527535E-11</v>
      </c>
      <c r="AX146" s="21">
        <f t="shared" si="114"/>
        <v>14.557863991718657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-3.3992364478763198E-14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225.63994281336028</v>
      </c>
      <c r="BJ146" s="59">
        <f t="shared" si="146"/>
        <v>231.19476400361157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20.339513648277475</v>
      </c>
      <c r="BQ146" s="21">
        <f>EXP(-LN(2)/25)*BQ145+(1-EXP(-LN(2)/25))/(LN(2)/25)*Calculateur!BL146*Calculateur!BN146*VLOOKUP('Données projet'!$B$11,Paramètres!$A$1:$I$89,3,0)*0.475*44/12</f>
        <v>8.5920092918196094</v>
      </c>
      <c r="BR146" s="21">
        <f>EXP(-LN(2)/2)*BR145+(1-EXP(-LN(2)/2))/(LN(2)/2)*BL146*BO146*VLOOKUP('Données projet'!$B$11,Paramètres!$A$1:$I$89,3,0)*0.475*44/12</f>
        <v>1.7421702995768953E-10</v>
      </c>
      <c r="BS146" s="22">
        <f t="shared" si="117"/>
        <v>28.9315229402713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2.6602720026858149E-14</v>
      </c>
      <c r="CA146" s="13">
        <f t="shared" si="147"/>
        <v>4.6624771586320878E-13</v>
      </c>
      <c r="CB146" s="20">
        <f t="shared" si="118"/>
        <v>8.583811758418665E-13</v>
      </c>
      <c r="CC146" s="59">
        <f t="shared" si="119"/>
        <v>293.33333333333417</v>
      </c>
      <c r="CD146" s="59">
        <f ca="1">AVERAGE(OFFSET($CC$3,0,0,'Données projet'!$E$12+1,1))-AVERAGE(OFFSET($H$3,0,0,'Données projet'!$E$12+1,1))</f>
        <v>111.69585394603672</v>
      </c>
      <c r="CE146" s="59">
        <f t="shared" si="148"/>
        <v>162.6701214629764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11.228029681627003</v>
      </c>
      <c r="CL146" s="21">
        <f>EXP(-LN(2)/25)*CL145+(1-EXP(-LN(2)/25))/(LN(2)/25)*Calculateur!CG146*Calculateur!CI146*VLOOKUP('Données projet'!$B$12,Paramètres!$A$1:$I$89,3,0)*0.475*44/12</f>
        <v>4.8008891898561687</v>
      </c>
      <c r="CM146" s="21">
        <f>EXP(-LN(2)/2)*CM145+(1-EXP(-LN(2)/2))/(LN(2)/2)*CG146*CJ146*VLOOKUP('Données projet'!$B$12,Paramètres!$A$1:$I$89,3,0)*0.475*44/12</f>
        <v>1.0337603015904424E-11</v>
      </c>
      <c r="CN146" s="22">
        <f t="shared" si="120"/>
        <v>16.028918871493509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-5.1431925385259088E-14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320.93171542656671</v>
      </c>
      <c r="T147" s="59">
        <f t="shared" si="142"/>
        <v>452.7298965816143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6.00080716605326</v>
      </c>
      <c r="AA147" s="21">
        <f>EXP(-LN(2)/25)*AA146+(1-EXP(-LN(2)/25))/(LN(2)/25)*Calculateur!V147*Calculateur!X147*VLOOKUP('Données projet'!$B$9,Paramètres!$A$1:$I$89,3,0)*0.475*44/12</f>
        <v>1.3798258198427547</v>
      </c>
      <c r="AB147" s="21">
        <f>EXP(-LN(2)/2)*AB146+(1-EXP(-LN(2)/2))/(LN(2)/2)*V147*Y147*VLOOKUP('Données projet'!$B$9,Paramètres!$A$1:$I$89,3,0)*0.475*44/12</f>
        <v>6.7255304375900547E-14</v>
      </c>
      <c r="AC147" s="22">
        <f t="shared" si="111"/>
        <v>7.3806329858960824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2.8421709430404007E-14</v>
      </c>
      <c r="AJ147" s="13">
        <f>AI147*VLOOKUP('Données projet'!$B$10,Paramètres!$A$1:$I$89,3,0)*VLOOKUP('Données projet'!$B$10,Paramètres!$A$1:$I$89,5,0)</f>
        <v>2.4829205358400945E-14</v>
      </c>
      <c r="AK147" s="13">
        <f t="shared" si="143"/>
        <v>4.3867331143352915E-13</v>
      </c>
      <c r="AL147" s="20">
        <f t="shared" si="112"/>
        <v>8.0726688341261168E-13</v>
      </c>
      <c r="AM147" s="59">
        <f t="shared" si="113"/>
        <v>293.33333333333411</v>
      </c>
      <c r="AN147" s="59">
        <f ca="1">AVERAGE(OFFSET($AM$3,0,0,'Données projet'!$E$10+1,1))-AVERAGE(OFFSET($H$3,0,0,'Données projet'!$E$10+1,1))</f>
        <v>201.61452816909701</v>
      </c>
      <c r="AO147" s="59">
        <f t="shared" si="144"/>
        <v>287.77679930887746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10.078568342602246</v>
      </c>
      <c r="AV147" s="21">
        <f>EXP(-LN(2)/25)*AV146+(1-EXP(-LN(2)/25))/(LN(2)/25)*Calculateur!AQ147*Calculateur!AS147*VLOOKUP('Données projet'!$B$10,Paramètres!$A$1:$I$89,3,0)*0.475*44/12</f>
        <v>4.1607339096917482</v>
      </c>
      <c r="AW147" s="21">
        <f>EXP(-LN(2)/2)*AW146+(1-EXP(-LN(2)/2))/(LN(2)/2)*AQ147*AT147*VLOOKUP('Données projet'!$B$10,Paramètres!$A$1:$I$89,3,0)*0.475*44/12</f>
        <v>8.4692224980711291E-12</v>
      </c>
      <c r="AX147" s="21">
        <f t="shared" si="114"/>
        <v>14.239302252302464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-3.3992364478763198E-14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225.63994281336028</v>
      </c>
      <c r="BJ147" s="59">
        <f t="shared" si="146"/>
        <v>231.19476400361157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19.940668191513101</v>
      </c>
      <c r="BQ147" s="21">
        <f>EXP(-LN(2)/25)*BQ146+(1-EXP(-LN(2)/25))/(LN(2)/25)*Calculateur!BL147*Calculateur!BN147*VLOOKUP('Données projet'!$B$11,Paramètres!$A$1:$I$89,3,0)*0.475*44/12</f>
        <v>8.3570603459006705</v>
      </c>
      <c r="BR147" s="21">
        <f>EXP(-LN(2)/2)*BR146+(1-EXP(-LN(2)/2))/(LN(2)/2)*BL147*BO147*VLOOKUP('Données projet'!$B$11,Paramètres!$A$1:$I$89,3,0)*0.475*44/12</f>
        <v>1.2319004328126216E-10</v>
      </c>
      <c r="BS147" s="22">
        <f t="shared" si="117"/>
        <v>28.297728537536962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2.6602720026858149E-14</v>
      </c>
      <c r="CA147" s="13">
        <f t="shared" si="147"/>
        <v>4.6624771586320878E-13</v>
      </c>
      <c r="CB147" s="20">
        <f t="shared" si="118"/>
        <v>8.583811758418665E-13</v>
      </c>
      <c r="CC147" s="59">
        <f t="shared" si="119"/>
        <v>293.33333333333417</v>
      </c>
      <c r="CD147" s="59">
        <f ca="1">AVERAGE(OFFSET($CC$3,0,0,'Données projet'!$E$12+1,1))-AVERAGE(OFFSET($H$3,0,0,'Données projet'!$E$12+1,1))</f>
        <v>111.69585394603672</v>
      </c>
      <c r="CE147" s="59">
        <f t="shared" si="148"/>
        <v>162.6701214629764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11.007854867992178</v>
      </c>
      <c r="CL147" s="21">
        <f>EXP(-LN(2)/25)*CL146+(1-EXP(-LN(2)/25))/(LN(2)/25)*Calculateur!CG147*Calculateur!CI147*VLOOKUP('Données projet'!$B$12,Paramètres!$A$1:$I$89,3,0)*0.475*44/12</f>
        <v>4.6696086224917623</v>
      </c>
      <c r="CM147" s="21">
        <f>EXP(-LN(2)/2)*CM146+(1-EXP(-LN(2)/2))/(LN(2)/2)*CG147*CJ147*VLOOKUP('Données projet'!$B$12,Paramètres!$A$1:$I$89,3,0)*0.475*44/12</f>
        <v>7.309789193760523E-12</v>
      </c>
      <c r="CN147" s="22">
        <f t="shared" si="120"/>
        <v>15.677463490491251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-5.1431925385259088E-14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320.93171542656671</v>
      </c>
      <c r="T148" s="59">
        <f t="shared" si="142"/>
        <v>452.7298965816143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5.883134997657919</v>
      </c>
      <c r="AA148" s="21">
        <f>EXP(-LN(2)/25)*AA147+(1-EXP(-LN(2)/25))/(LN(2)/25)*Calculateur!V148*Calculateur!X148*VLOOKUP('Données projet'!$B$9,Paramètres!$A$1:$I$89,3,0)*0.475*44/12</f>
        <v>1.3420944102372683</v>
      </c>
      <c r="AB148" s="21">
        <f>EXP(-LN(2)/2)*AB147+(1-EXP(-LN(2)/2))/(LN(2)/2)*V148*Y148*VLOOKUP('Données projet'!$B$9,Paramètres!$A$1:$I$89,3,0)*0.475*44/12</f>
        <v>4.7556681794964561E-14</v>
      </c>
      <c r="AC148" s="22">
        <f t="shared" si="111"/>
        <v>7.2252294078952355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2.8421709430404007E-14</v>
      </c>
      <c r="AJ148" s="13">
        <f>AI148*VLOOKUP('Données projet'!$B$10,Paramètres!$A$1:$I$89,3,0)*VLOOKUP('Données projet'!$B$10,Paramètres!$A$1:$I$89,5,0)</f>
        <v>2.4829205358400945E-14</v>
      </c>
      <c r="AK148" s="13">
        <f t="shared" si="143"/>
        <v>4.3867331143352915E-13</v>
      </c>
      <c r="AL148" s="20">
        <f t="shared" si="112"/>
        <v>8.0726688341261168E-13</v>
      </c>
      <c r="AM148" s="59">
        <f t="shared" si="113"/>
        <v>293.33333333333411</v>
      </c>
      <c r="AN148" s="59">
        <f ca="1">AVERAGE(OFFSET($AM$3,0,0,'Données projet'!$E$10+1,1))-AVERAGE(OFFSET($H$3,0,0,'Données projet'!$E$10+1,1))</f>
        <v>201.61452816909701</v>
      </c>
      <c r="AO148" s="59">
        <f t="shared" si="144"/>
        <v>287.77679930887746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9.8809337647235083</v>
      </c>
      <c r="AV148" s="21">
        <f>EXP(-LN(2)/25)*AV147+(1-EXP(-LN(2)/25))/(LN(2)/25)*Calculateur!AQ148*Calculateur!AS148*VLOOKUP('Données projet'!$B$10,Paramètres!$A$1:$I$89,3,0)*0.475*44/12</f>
        <v>4.0469584221277408</v>
      </c>
      <c r="AW148" s="21">
        <f>EXP(-LN(2)/2)*AW147+(1-EXP(-LN(2)/2))/(LN(2)/2)*AQ148*AT148*VLOOKUP('Données projet'!$B$10,Paramètres!$A$1:$I$89,3,0)*0.475*44/12</f>
        <v>5.9886446597637674E-12</v>
      </c>
      <c r="AX148" s="21">
        <f t="shared" si="114"/>
        <v>13.927892186857237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-3.3992364478763198E-14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225.63994281336028</v>
      </c>
      <c r="BJ148" s="59">
        <f t="shared" si="146"/>
        <v>231.19476400361157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19.54964385088417</v>
      </c>
      <c r="BQ148" s="21">
        <f>EXP(-LN(2)/25)*BQ147+(1-EXP(-LN(2)/25))/(LN(2)/25)*Calculateur!BL148*Calculateur!BN148*VLOOKUP('Données projet'!$B$11,Paramètres!$A$1:$I$89,3,0)*0.475*44/12</f>
        <v>8.1285360912633138</v>
      </c>
      <c r="BR148" s="21">
        <f>EXP(-LN(2)/2)*BR147+(1-EXP(-LN(2)/2))/(LN(2)/2)*BL148*BO148*VLOOKUP('Données projet'!$B$11,Paramètres!$A$1:$I$89,3,0)*0.475*44/12</f>
        <v>8.7108514978844765E-11</v>
      </c>
      <c r="BS148" s="22">
        <f t="shared" si="117"/>
        <v>27.678179942234593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2.6602720026858149E-14</v>
      </c>
      <c r="CA148" s="13">
        <f t="shared" si="147"/>
        <v>4.6624771586320878E-13</v>
      </c>
      <c r="CB148" s="20">
        <f t="shared" si="118"/>
        <v>8.583811758418665E-13</v>
      </c>
      <c r="CC148" s="59">
        <f t="shared" si="119"/>
        <v>293.33333333333417</v>
      </c>
      <c r="CD148" s="59">
        <f ca="1">AVERAGE(OFFSET($CC$3,0,0,'Données projet'!$E$12+1,1))-AVERAGE(OFFSET($H$3,0,0,'Données projet'!$E$12+1,1))</f>
        <v>111.69585394603672</v>
      </c>
      <c r="CE148" s="59">
        <f t="shared" si="148"/>
        <v>162.6701214629764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10.791997548159355</v>
      </c>
      <c r="CL148" s="21">
        <f>EXP(-LN(2)/25)*CL147+(1-EXP(-LN(2)/25))/(LN(2)/25)*Calculateur!CG148*Calculateur!CI148*VLOOKUP('Données projet'!$B$12,Paramètres!$A$1:$I$89,3,0)*0.475*44/12</f>
        <v>4.5419179291456802</v>
      </c>
      <c r="CM148" s="21">
        <f>EXP(-LN(2)/2)*CM147+(1-EXP(-LN(2)/2))/(LN(2)/2)*CG148*CJ148*VLOOKUP('Données projet'!$B$12,Paramètres!$A$1:$I$89,3,0)*0.475*44/12</f>
        <v>5.1688015079522119E-12</v>
      </c>
      <c r="CN148" s="22">
        <f t="shared" si="120"/>
        <v>15.333915477310203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-5.1431925385259088E-14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320.93171542656671</v>
      </c>
      <c r="T149" s="59">
        <f t="shared" si="142"/>
        <v>452.7298965816143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5.7677703087118752</v>
      </c>
      <c r="AA149" s="21">
        <f>EXP(-LN(2)/25)*AA148+(1-EXP(-LN(2)/25))/(LN(2)/25)*Calculateur!V149*Calculateur!X149*VLOOKUP('Données projet'!$B$9,Paramètres!$A$1:$I$89,3,0)*0.475*44/12</f>
        <v>1.3053947680116524</v>
      </c>
      <c r="AB149" s="21">
        <f>EXP(-LN(2)/2)*AB148+(1-EXP(-LN(2)/2))/(LN(2)/2)*V149*Y149*VLOOKUP('Données projet'!$B$9,Paramètres!$A$1:$I$89,3,0)*0.475*44/12</f>
        <v>3.3627652187950274E-14</v>
      </c>
      <c r="AC149" s="22">
        <f t="shared" si="111"/>
        <v>7.0731650767235612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2.8421709430404007E-14</v>
      </c>
      <c r="AJ149" s="13">
        <f>AI149*VLOOKUP('Données projet'!$B$10,Paramètres!$A$1:$I$89,3,0)*VLOOKUP('Données projet'!$B$10,Paramètres!$A$1:$I$89,5,0)</f>
        <v>2.4829205358400945E-14</v>
      </c>
      <c r="AK149" s="13">
        <f t="shared" si="143"/>
        <v>4.3867331143352915E-13</v>
      </c>
      <c r="AL149" s="20">
        <f t="shared" si="112"/>
        <v>8.0726688341261168E-13</v>
      </c>
      <c r="AM149" s="59">
        <f t="shared" si="113"/>
        <v>293.33333333333411</v>
      </c>
      <c r="AN149" s="59">
        <f ca="1">AVERAGE(OFFSET($AM$3,0,0,'Données projet'!$E$10+1,1))-AVERAGE(OFFSET($H$3,0,0,'Données projet'!$E$10+1,1))</f>
        <v>201.61452816909701</v>
      </c>
      <c r="AO149" s="59">
        <f t="shared" si="144"/>
        <v>287.77679930887746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9.6871746803717826</v>
      </c>
      <c r="AV149" s="21">
        <f>EXP(-LN(2)/25)*AV148+(1-EXP(-LN(2)/25))/(LN(2)/25)*Calculateur!AQ149*Calculateur!AS149*VLOOKUP('Données projet'!$B$10,Paramètres!$A$1:$I$89,3,0)*0.475*44/12</f>
        <v>3.9362941312543636</v>
      </c>
      <c r="AW149" s="21">
        <f>EXP(-LN(2)/2)*AW148+(1-EXP(-LN(2)/2))/(LN(2)/2)*AQ149*AT149*VLOOKUP('Données projet'!$B$10,Paramètres!$A$1:$I$89,3,0)*0.475*44/12</f>
        <v>4.2346112490355645E-12</v>
      </c>
      <c r="AX149" s="21">
        <f t="shared" si="114"/>
        <v>13.623468811630381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-3.3992364478763198E-14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225.63994281336028</v>
      </c>
      <c r="BJ149" s="59">
        <f t="shared" si="146"/>
        <v>231.19476400361157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19.166287259073673</v>
      </c>
      <c r="BQ149" s="21">
        <f>EXP(-LN(2)/25)*BQ148+(1-EXP(-LN(2)/25))/(LN(2)/25)*Calculateur!BL149*Calculateur!BN149*VLOOKUP('Données projet'!$B$11,Paramètres!$A$1:$I$89,3,0)*0.475*44/12</f>
        <v>7.9062608443865834</v>
      </c>
      <c r="BR149" s="21">
        <f>EXP(-LN(2)/2)*BR148+(1-EXP(-LN(2)/2))/(LN(2)/2)*BL149*BO149*VLOOKUP('Données projet'!$B$11,Paramètres!$A$1:$I$89,3,0)*0.475*44/12</f>
        <v>6.1595021640631081E-11</v>
      </c>
      <c r="BS149" s="22">
        <f t="shared" si="117"/>
        <v>27.07254810352185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2.6602720026858149E-14</v>
      </c>
      <c r="CA149" s="13">
        <f t="shared" si="147"/>
        <v>4.6624771586320878E-13</v>
      </c>
      <c r="CB149" s="20">
        <f t="shared" si="118"/>
        <v>8.583811758418665E-13</v>
      </c>
      <c r="CC149" s="59">
        <f t="shared" si="119"/>
        <v>293.33333333333417</v>
      </c>
      <c r="CD149" s="59">
        <f ca="1">AVERAGE(OFFSET($CC$3,0,0,'Données projet'!$E$12+1,1))-AVERAGE(OFFSET($H$3,0,0,'Données projet'!$E$12+1,1))</f>
        <v>111.69585394603672</v>
      </c>
      <c r="CE149" s="59">
        <f t="shared" si="148"/>
        <v>162.6701214629764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10.580373058708489</v>
      </c>
      <c r="CL149" s="21">
        <f>EXP(-LN(2)/25)*CL148+(1-EXP(-LN(2)/25))/(LN(2)/25)*Calculateur!CG149*Calculateur!CI149*VLOOKUP('Données projet'!$B$12,Paramètres!$A$1:$I$89,3,0)*0.475*44/12</f>
        <v>4.4177189445241085</v>
      </c>
      <c r="CM149" s="21">
        <f>EXP(-LN(2)/2)*CM148+(1-EXP(-LN(2)/2))/(LN(2)/2)*CG149*CJ149*VLOOKUP('Données projet'!$B$12,Paramètres!$A$1:$I$89,3,0)*0.475*44/12</f>
        <v>3.6548945968802615E-12</v>
      </c>
      <c r="CN149" s="22">
        <f t="shared" si="120"/>
        <v>14.998092003236252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-5.1431925385259088E-14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320.93171542656671</v>
      </c>
      <c r="T150" s="59">
        <f t="shared" si="142"/>
        <v>452.7298965816143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5.6546678509505508</v>
      </c>
      <c r="AA150" s="21">
        <f>EXP(-LN(2)/25)*AA149+(1-EXP(-LN(2)/25))/(LN(2)/25)*Calculateur!V150*Calculateur!X150*VLOOKUP('Données projet'!$B$9,Paramètres!$A$1:$I$89,3,0)*0.475*44/12</f>
        <v>1.2696986794326466</v>
      </c>
      <c r="AB150" s="21">
        <f>EXP(-LN(2)/2)*AB149+(1-EXP(-LN(2)/2))/(LN(2)/2)*V150*Y150*VLOOKUP('Données projet'!$B$9,Paramètres!$A$1:$I$89,3,0)*0.475*44/12</f>
        <v>2.3778340897482281E-14</v>
      </c>
      <c r="AC150" s="22">
        <f t="shared" si="111"/>
        <v>6.9243665303832218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2.8421709430404007E-14</v>
      </c>
      <c r="AJ150" s="13">
        <f>AI150*VLOOKUP('Données projet'!$B$10,Paramètres!$A$1:$I$89,3,0)*VLOOKUP('Données projet'!$B$10,Paramètres!$A$1:$I$89,5,0)</f>
        <v>2.4829205358400945E-14</v>
      </c>
      <c r="AK150" s="13">
        <f t="shared" si="143"/>
        <v>4.3867331143352915E-13</v>
      </c>
      <c r="AL150" s="20">
        <f t="shared" si="112"/>
        <v>8.0726688341261168E-13</v>
      </c>
      <c r="AM150" s="59">
        <f t="shared" si="113"/>
        <v>293.33333333333411</v>
      </c>
      <c r="AN150" s="59">
        <f ca="1">AVERAGE(OFFSET($AM$3,0,0,'Données projet'!$E$10+1,1))-AVERAGE(OFFSET($H$3,0,0,'Données projet'!$E$10+1,1))</f>
        <v>201.61452816909701</v>
      </c>
      <c r="AO150" s="59">
        <f t="shared" si="144"/>
        <v>287.77679930887746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9.4972150934828221</v>
      </c>
      <c r="AV150" s="21">
        <f>EXP(-LN(2)/25)*AV149+(1-EXP(-LN(2)/25))/(LN(2)/25)*Calculateur!AQ150*Calculateur!AS150*VLOOKUP('Données projet'!$B$10,Paramètres!$A$1:$I$89,3,0)*0.475*44/12</f>
        <v>3.8286559612345012</v>
      </c>
      <c r="AW150" s="21">
        <f>EXP(-LN(2)/2)*AW149+(1-EXP(-LN(2)/2))/(LN(2)/2)*AQ150*AT150*VLOOKUP('Données projet'!$B$10,Paramètres!$A$1:$I$89,3,0)*0.475*44/12</f>
        <v>2.9943223298818837E-12</v>
      </c>
      <c r="AX150" s="21">
        <f t="shared" si="114"/>
        <v>13.325871054720318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-3.3992364478763198E-14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225.63994281336028</v>
      </c>
      <c r="BJ150" s="59">
        <f t="shared" si="146"/>
        <v>231.19476400361157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18.790448056204148</v>
      </c>
      <c r="BQ150" s="21">
        <f>EXP(-LN(2)/25)*BQ149+(1-EXP(-LN(2)/25))/(LN(2)/25)*Calculateur!BL150*Calculateur!BN150*VLOOKUP('Données projet'!$B$11,Paramètres!$A$1:$I$89,3,0)*0.475*44/12</f>
        <v>7.6900637258246443</v>
      </c>
      <c r="BR150" s="21">
        <f>EXP(-LN(2)/2)*BR149+(1-EXP(-LN(2)/2))/(LN(2)/2)*BL150*BO150*VLOOKUP('Données projet'!$B$11,Paramètres!$A$1:$I$89,3,0)*0.475*44/12</f>
        <v>4.3554257489422382E-11</v>
      </c>
      <c r="BS150" s="22">
        <f t="shared" si="117"/>
        <v>26.480511782072345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2.6602720026858149E-14</v>
      </c>
      <c r="CA150" s="13">
        <f t="shared" si="147"/>
        <v>4.6624771586320878E-13</v>
      </c>
      <c r="CB150" s="20">
        <f t="shared" si="118"/>
        <v>8.583811758418665E-13</v>
      </c>
      <c r="CC150" s="59">
        <f t="shared" si="119"/>
        <v>293.33333333333417</v>
      </c>
      <c r="CD150" s="59">
        <f ca="1">AVERAGE(OFFSET($CC$3,0,0,'Données projet'!$E$12+1,1))-AVERAGE(OFFSET($H$3,0,0,'Données projet'!$E$12+1,1))</f>
        <v>111.69585394603672</v>
      </c>
      <c r="CE150" s="59">
        <f t="shared" si="148"/>
        <v>162.6701214629764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10.372898396417561</v>
      </c>
      <c r="CL150" s="21">
        <f>EXP(-LN(2)/25)*CL149+(1-EXP(-LN(2)/25))/(LN(2)/25)*Calculateur!CG150*Calculateur!CI150*VLOOKUP('Données projet'!$B$12,Paramètres!$A$1:$I$89,3,0)*0.475*44/12</f>
        <v>4.2969161876683541</v>
      </c>
      <c r="CM150" s="21">
        <f>EXP(-LN(2)/2)*CM149+(1-EXP(-LN(2)/2))/(LN(2)/2)*CG150*CJ150*VLOOKUP('Données projet'!$B$12,Paramètres!$A$1:$I$89,3,0)*0.475*44/12</f>
        <v>2.5844007539761059E-12</v>
      </c>
      <c r="CN150" s="22">
        <f t="shared" si="120"/>
        <v>14.669814584088501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-5.1431925385259088E-14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320.93171542656671</v>
      </c>
      <c r="T151" s="59">
        <f t="shared" si="142"/>
        <v>452.7298965816143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5.5437832634002389</v>
      </c>
      <c r="AA151" s="21">
        <f>EXP(-LN(2)/25)*AA150+(1-EXP(-LN(2)/25))/(LN(2)/25)*Calculateur!V151*Calculateur!X151*VLOOKUP('Données projet'!$B$9,Paramètres!$A$1:$I$89,3,0)*0.475*44/12</f>
        <v>1.2349787022730092</v>
      </c>
      <c r="AB151" s="21">
        <f>EXP(-LN(2)/2)*AB150+(1-EXP(-LN(2)/2))/(LN(2)/2)*V151*Y151*VLOOKUP('Données projet'!$B$9,Paramètres!$A$1:$I$89,3,0)*0.475*44/12</f>
        <v>1.6813826093975137E-14</v>
      </c>
      <c r="AC151" s="22">
        <f t="shared" si="111"/>
        <v>6.7787619656732652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2.8421709430404007E-14</v>
      </c>
      <c r="AJ151" s="13">
        <f>AI151*VLOOKUP('Données projet'!$B$10,Paramètres!$A$1:$I$89,3,0)*VLOOKUP('Données projet'!$B$10,Paramètres!$A$1:$I$89,5,0)</f>
        <v>2.4829205358400945E-14</v>
      </c>
      <c r="AK151" s="13">
        <f t="shared" si="143"/>
        <v>4.3867331143352915E-13</v>
      </c>
      <c r="AL151" s="20">
        <f t="shared" si="112"/>
        <v>8.0726688341261168E-13</v>
      </c>
      <c r="AM151" s="59">
        <f t="shared" si="113"/>
        <v>293.33333333333411</v>
      </c>
      <c r="AN151" s="59">
        <f ca="1">AVERAGE(OFFSET($AM$3,0,0,'Données projet'!$E$10+1,1))-AVERAGE(OFFSET($H$3,0,0,'Données projet'!$E$10+1,1))</f>
        <v>201.61452816909701</v>
      </c>
      <c r="AO151" s="59">
        <f t="shared" si="144"/>
        <v>287.77679930887746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9.3109804982288473</v>
      </c>
      <c r="AV151" s="21">
        <f>EXP(-LN(2)/25)*AV150+(1-EXP(-LN(2)/25))/(LN(2)/25)*Calculateur!AQ151*Calculateur!AS151*VLOOKUP('Données projet'!$B$10,Paramètres!$A$1:$I$89,3,0)*0.475*44/12</f>
        <v>3.7239611626342772</v>
      </c>
      <c r="AW151" s="21">
        <f>EXP(-LN(2)/2)*AW150+(1-EXP(-LN(2)/2))/(LN(2)/2)*AQ151*AT151*VLOOKUP('Données projet'!$B$10,Paramètres!$A$1:$I$89,3,0)*0.475*44/12</f>
        <v>2.1173056245177823E-12</v>
      </c>
      <c r="AX151" s="21">
        <f t="shared" si="114"/>
        <v>13.034941660865242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-3.3992364478763198E-14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225.63994281336028</v>
      </c>
      <c r="BJ151" s="59">
        <f t="shared" si="146"/>
        <v>231.19476400361157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18.421978830863615</v>
      </c>
      <c r="BQ151" s="21">
        <f>EXP(-LN(2)/25)*BQ150+(1-EXP(-LN(2)/25))/(LN(2)/25)*Calculateur!BL151*Calculateur!BN151*VLOOKUP('Données projet'!$B$11,Paramètres!$A$1:$I$89,3,0)*0.475*44/12</f>
        <v>7.4797785288390939</v>
      </c>
      <c r="BR151" s="21">
        <f>EXP(-LN(2)/2)*BR150+(1-EXP(-LN(2)/2))/(LN(2)/2)*BL151*BO151*VLOOKUP('Données projet'!$B$11,Paramètres!$A$1:$I$89,3,0)*0.475*44/12</f>
        <v>3.079751082031554E-11</v>
      </c>
      <c r="BS151" s="22">
        <f t="shared" si="117"/>
        <v>25.901757359733509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2.6602720026858149E-14</v>
      </c>
      <c r="CA151" s="13">
        <f t="shared" si="147"/>
        <v>4.6624771586320878E-13</v>
      </c>
      <c r="CB151" s="20">
        <f t="shared" si="118"/>
        <v>8.583811758418665E-13</v>
      </c>
      <c r="CC151" s="59">
        <f t="shared" si="119"/>
        <v>293.33333333333417</v>
      </c>
      <c r="CD151" s="59">
        <f ca="1">AVERAGE(OFFSET($CC$3,0,0,'Données projet'!$E$12+1,1))-AVERAGE(OFFSET($H$3,0,0,'Données projet'!$E$12+1,1))</f>
        <v>111.69585394603672</v>
      </c>
      <c r="CE151" s="59">
        <f t="shared" si="148"/>
        <v>162.6701214629764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10.16949218570711</v>
      </c>
      <c r="CL151" s="21">
        <f>EXP(-LN(2)/25)*CL150+(1-EXP(-LN(2)/25))/(LN(2)/25)*Calculateur!CG151*Calculateur!CI151*VLOOKUP('Données projet'!$B$12,Paramètres!$A$1:$I$89,3,0)*0.475*44/12</f>
        <v>4.1794167885515616</v>
      </c>
      <c r="CM151" s="21">
        <f>EXP(-LN(2)/2)*CM150+(1-EXP(-LN(2)/2))/(LN(2)/2)*CG151*CJ151*VLOOKUP('Données projet'!$B$12,Paramètres!$A$1:$I$89,3,0)*0.475*44/12</f>
        <v>1.8274472984401307E-12</v>
      </c>
      <c r="CN151" s="22">
        <f t="shared" si="120"/>
        <v>14.3489089742605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-5.1431925385259088E-14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320.93171542656671</v>
      </c>
      <c r="T152" s="59">
        <f t="shared" si="142"/>
        <v>452.7298965816143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5.4350730549788677</v>
      </c>
      <c r="AA152" s="21">
        <f>EXP(-LN(2)/25)*AA151+(1-EXP(-LN(2)/25))/(LN(2)/25)*Calculateur!V152*Calculateur!X152*VLOOKUP('Données projet'!$B$9,Paramètres!$A$1:$I$89,3,0)*0.475*44/12</f>
        <v>1.2012081447146463</v>
      </c>
      <c r="AB152" s="21">
        <f>EXP(-LN(2)/2)*AB151+(1-EXP(-LN(2)/2))/(LN(2)/2)*V152*Y152*VLOOKUP('Données projet'!$B$9,Paramètres!$A$1:$I$89,3,0)*0.475*44/12</f>
        <v>1.188917044874114E-14</v>
      </c>
      <c r="AC152" s="22">
        <f t="shared" si="111"/>
        <v>6.6362811996935251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2.8421709430404007E-14</v>
      </c>
      <c r="AJ152" s="13">
        <f>AI152*VLOOKUP('Données projet'!$B$10,Paramètres!$A$1:$I$89,3,0)*VLOOKUP('Données projet'!$B$10,Paramètres!$A$1:$I$89,5,0)</f>
        <v>2.4829205358400945E-14</v>
      </c>
      <c r="AK152" s="13">
        <f t="shared" si="143"/>
        <v>4.3867331143352915E-13</v>
      </c>
      <c r="AL152" s="20">
        <f t="shared" si="112"/>
        <v>8.0726688341261168E-13</v>
      </c>
      <c r="AM152" s="59">
        <f t="shared" si="113"/>
        <v>293.33333333333411</v>
      </c>
      <c r="AN152" s="59">
        <f ca="1">AVERAGE(OFFSET($AM$3,0,0,'Données projet'!$E$10+1,1))-AVERAGE(OFFSET($H$3,0,0,'Données projet'!$E$10+1,1))</f>
        <v>201.61452816909701</v>
      </c>
      <c r="AO152" s="59">
        <f t="shared" si="144"/>
        <v>287.77679930887746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9.1283978497959151</v>
      </c>
      <c r="AV152" s="21">
        <f>EXP(-LN(2)/25)*AV151+(1-EXP(-LN(2)/25))/(LN(2)/25)*Calculateur!AQ152*Calculateur!AS152*VLOOKUP('Données projet'!$B$10,Paramètres!$A$1:$I$89,3,0)*0.475*44/12</f>
        <v>3.6221292488074366</v>
      </c>
      <c r="AW152" s="21">
        <f>EXP(-LN(2)/2)*AW151+(1-EXP(-LN(2)/2))/(LN(2)/2)*AQ152*AT152*VLOOKUP('Données projet'!$B$10,Paramètres!$A$1:$I$89,3,0)*0.475*44/12</f>
        <v>1.4971611649409418E-12</v>
      </c>
      <c r="AX152" s="21">
        <f t="shared" si="114"/>
        <v>12.750527098604849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-3.3992364478763198E-14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225.63994281336028</v>
      </c>
      <c r="BJ152" s="59">
        <f t="shared" si="146"/>
        <v>231.19476400361157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18.060735062287975</v>
      </c>
      <c r="BQ152" s="21">
        <f>EXP(-LN(2)/25)*BQ151+(1-EXP(-LN(2)/25))/(LN(2)/25)*Calculateur!BL152*Calculateur!BN152*VLOOKUP('Données projet'!$B$11,Paramètres!$A$1:$I$89,3,0)*0.475*44/12</f>
        <v>7.2752435916235312</v>
      </c>
      <c r="BR152" s="21">
        <f>EXP(-LN(2)/2)*BR151+(1-EXP(-LN(2)/2))/(LN(2)/2)*BL152*BO152*VLOOKUP('Données projet'!$B$11,Paramètres!$A$1:$I$89,3,0)*0.475*44/12</f>
        <v>2.1777128744711191E-11</v>
      </c>
      <c r="BS152" s="22">
        <f t="shared" si="117"/>
        <v>25.335978653933285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2.6602720026858149E-14</v>
      </c>
      <c r="CA152" s="13">
        <f t="shared" si="147"/>
        <v>4.6624771586320878E-13</v>
      </c>
      <c r="CB152" s="20">
        <f t="shared" si="118"/>
        <v>8.583811758418665E-13</v>
      </c>
      <c r="CC152" s="59">
        <f t="shared" si="119"/>
        <v>293.33333333333417</v>
      </c>
      <c r="CD152" s="59">
        <f ca="1">AVERAGE(OFFSET($CC$3,0,0,'Données projet'!$E$12+1,1))-AVERAGE(OFFSET($H$3,0,0,'Données projet'!$E$12+1,1))</f>
        <v>111.69585394603672</v>
      </c>
      <c r="CE152" s="59">
        <f t="shared" si="148"/>
        <v>162.6701214629764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9.9700746467231536</v>
      </c>
      <c r="CL152" s="21">
        <f>EXP(-LN(2)/25)*CL151+(1-EXP(-LN(2)/25))/(LN(2)/25)*Calculateur!CG152*Calculateur!CI152*VLOOKUP('Données projet'!$B$12,Paramètres!$A$1:$I$89,3,0)*0.475*44/12</f>
        <v>4.0651304166826421</v>
      </c>
      <c r="CM152" s="21">
        <f>EXP(-LN(2)/2)*CM151+(1-EXP(-LN(2)/2))/(LN(2)/2)*CG152*CJ152*VLOOKUP('Données projet'!$B$12,Paramètres!$A$1:$I$89,3,0)*0.475*44/12</f>
        <v>1.292200376988053E-12</v>
      </c>
      <c r="CN152" s="22">
        <f t="shared" si="120"/>
        <v>14.035205063407087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-5.1431925385259088E-14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320.93171542656671</v>
      </c>
      <c r="T153" s="59">
        <f t="shared" si="142"/>
        <v>452.7298965816143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5.3284945874379597</v>
      </c>
      <c r="AA153" s="21">
        <f>EXP(-LN(2)/25)*AA152+(1-EXP(-LN(2)/25))/(LN(2)/25)*Calculateur!V153*Calculateur!X153*VLOOKUP('Données projet'!$B$9,Paramètres!$A$1:$I$89,3,0)*0.475*44/12</f>
        <v>1.1683610448286335</v>
      </c>
      <c r="AB153" s="21">
        <f>EXP(-LN(2)/2)*AB152+(1-EXP(-LN(2)/2))/(LN(2)/2)*V153*Y153*VLOOKUP('Données projet'!$B$9,Paramètres!$A$1:$I$89,3,0)*0.475*44/12</f>
        <v>8.4069130469875684E-15</v>
      </c>
      <c r="AC153" s="22">
        <f t="shared" si="111"/>
        <v>6.4968556322666009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2.8421709430404007E-14</v>
      </c>
      <c r="AJ153" s="13">
        <f>AI153*VLOOKUP('Données projet'!$B$10,Paramètres!$A$1:$I$89,3,0)*VLOOKUP('Données projet'!$B$10,Paramètres!$A$1:$I$89,5,0)</f>
        <v>2.4829205358400945E-14</v>
      </c>
      <c r="AK153" s="13">
        <f t="shared" si="143"/>
        <v>4.3867331143352915E-13</v>
      </c>
      <c r="AL153" s="20">
        <f t="shared" si="112"/>
        <v>8.0726688341261168E-13</v>
      </c>
      <c r="AM153" s="59">
        <f t="shared" si="113"/>
        <v>293.33333333333411</v>
      </c>
      <c r="AN153" s="59">
        <f ca="1">AVERAGE(OFFSET($AM$3,0,0,'Données projet'!$E$10+1,1))-AVERAGE(OFFSET($H$3,0,0,'Données projet'!$E$10+1,1))</f>
        <v>201.61452816909701</v>
      </c>
      <c r="AO153" s="59">
        <f t="shared" si="144"/>
        <v>287.77679930887746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8.9493955357343342</v>
      </c>
      <c r="AV153" s="21">
        <f>EXP(-LN(2)/25)*AV152+(1-EXP(-LN(2)/25))/(LN(2)/25)*Calculateur!AQ153*Calculateur!AS153*VLOOKUP('Données projet'!$B$10,Paramètres!$A$1:$I$89,3,0)*0.475*44/12</f>
        <v>3.5230819340192987</v>
      </c>
      <c r="AW153" s="21">
        <f>EXP(-LN(2)/2)*AW152+(1-EXP(-LN(2)/2))/(LN(2)/2)*AQ153*AT153*VLOOKUP('Données projet'!$B$10,Paramètres!$A$1:$I$89,3,0)*0.475*44/12</f>
        <v>1.0586528122588911E-12</v>
      </c>
      <c r="AX153" s="21">
        <f t="shared" si="114"/>
        <v>12.472477469754692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-3.3992364478763198E-14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225.63994281336028</v>
      </c>
      <c r="BJ153" s="59">
        <f t="shared" si="146"/>
        <v>231.19476400361157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17.70657506367716</v>
      </c>
      <c r="BQ153" s="21">
        <f>EXP(-LN(2)/25)*BQ152+(1-EXP(-LN(2)/25))/(LN(2)/25)*Calculateur!BL153*Calculateur!BN153*VLOOKUP('Données projet'!$B$11,Paramètres!$A$1:$I$89,3,0)*0.475*44/12</f>
        <v>7.0763016730221526</v>
      </c>
      <c r="BR153" s="21">
        <f>EXP(-LN(2)/2)*BR152+(1-EXP(-LN(2)/2))/(LN(2)/2)*BL153*BO153*VLOOKUP('Données projet'!$B$11,Paramètres!$A$1:$I$89,3,0)*0.475*44/12</f>
        <v>1.539875541015777E-11</v>
      </c>
      <c r="BS153" s="22">
        <f t="shared" si="117"/>
        <v>24.782876736714712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2.6602720026858149E-14</v>
      </c>
      <c r="CA153" s="13">
        <f t="shared" si="147"/>
        <v>4.6624771586320878E-13</v>
      </c>
      <c r="CB153" s="20">
        <f t="shared" si="118"/>
        <v>8.583811758418665E-13</v>
      </c>
      <c r="CC153" s="59">
        <f t="shared" si="119"/>
        <v>293.33333333333417</v>
      </c>
      <c r="CD153" s="59">
        <f ca="1">AVERAGE(OFFSET($CC$3,0,0,'Données projet'!$E$12+1,1))-AVERAGE(OFFSET($H$3,0,0,'Données projet'!$E$12+1,1))</f>
        <v>111.69585394603672</v>
      </c>
      <c r="CE153" s="59">
        <f t="shared" si="148"/>
        <v>162.6701214629764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9.7745675640459844</v>
      </c>
      <c r="CL153" s="21">
        <f>EXP(-LN(2)/25)*CL152+(1-EXP(-LN(2)/25))/(LN(2)/25)*Calculateur!CG153*Calculateur!CI153*VLOOKUP('Données projet'!$B$12,Paramètres!$A$1:$I$89,3,0)*0.475*44/12</f>
        <v>3.9539692116625376</v>
      </c>
      <c r="CM153" s="21">
        <f>EXP(-LN(2)/2)*CM152+(1-EXP(-LN(2)/2))/(LN(2)/2)*CG153*CJ153*VLOOKUP('Données projet'!$B$12,Paramètres!$A$1:$I$89,3,0)*0.475*44/12</f>
        <v>9.1372364922006537E-13</v>
      </c>
      <c r="CN153" s="22">
        <f t="shared" si="120"/>
        <v>13.728536775709435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-5.1431925385259088E-14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320.93171542656671</v>
      </c>
      <c r="T154" s="59">
        <f t="shared" si="142"/>
        <v>452.7298965816143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5.2240060586390831</v>
      </c>
      <c r="AA154" s="21">
        <f>EXP(-LN(2)/25)*AA153+(1-EXP(-LN(2)/25))/(LN(2)/25)*Calculateur!V154*Calculateur!X154*VLOOKUP('Données projet'!$B$9,Paramètres!$A$1:$I$89,3,0)*0.475*44/12</f>
        <v>1.1364121506163574</v>
      </c>
      <c r="AB154" s="21">
        <f>EXP(-LN(2)/2)*AB153+(1-EXP(-LN(2)/2))/(LN(2)/2)*V154*Y154*VLOOKUP('Données projet'!$B$9,Paramètres!$A$1:$I$89,3,0)*0.475*44/12</f>
        <v>5.9445852243705701E-15</v>
      </c>
      <c r="AC154" s="22">
        <f t="shared" ref="AC154:AC203" si="163">SUM(Z154:AB154)</f>
        <v>6.3604182092554469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2.8421709430404007E-14</v>
      </c>
      <c r="AJ154" s="13">
        <f>AI154*VLOOKUP('Données projet'!$B$10,Paramètres!$A$1:$I$89,3,0)*VLOOKUP('Données projet'!$B$10,Paramètres!$A$1:$I$89,5,0)</f>
        <v>2.4829205358400945E-14</v>
      </c>
      <c r="AK154" s="13">
        <f t="shared" ref="AK154:AK203" si="164">EXP(-1.0587+0.8836*LN(AJ154)+0.284)</f>
        <v>4.3867331143352915E-13</v>
      </c>
      <c r="AL154" s="20">
        <f t="shared" ref="AL154:AL203" si="165">(AJ154+AK154)*0.475*44/12</f>
        <v>8.0726688341261168E-13</v>
      </c>
      <c r="AM154" s="59">
        <f t="shared" si="113"/>
        <v>293.33333333333411</v>
      </c>
      <c r="AN154" s="59">
        <f ca="1">AVERAGE(OFFSET($AM$3,0,0,'Données projet'!$E$10+1,1))-AVERAGE(OFFSET($H$3,0,0,'Données projet'!$E$10+1,1))</f>
        <v>201.61452816909701</v>
      </c>
      <c r="AO154" s="59">
        <f t="shared" si="144"/>
        <v>287.77679930887746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8.7739033478708688</v>
      </c>
      <c r="AV154" s="21">
        <f>EXP(-LN(2)/25)*AV153+(1-EXP(-LN(2)/25))/(LN(2)/25)*Calculateur!AQ154*Calculateur!AS154*VLOOKUP('Données projet'!$B$10,Paramètres!$A$1:$I$89,3,0)*0.475*44/12</f>
        <v>3.4267430732627142</v>
      </c>
      <c r="AW154" s="21">
        <f>EXP(-LN(2)/2)*AW153+(1-EXP(-LN(2)/2))/(LN(2)/2)*AQ154*AT154*VLOOKUP('Données projet'!$B$10,Paramètres!$A$1:$I$89,3,0)*0.475*44/12</f>
        <v>7.4858058247047092E-13</v>
      </c>
      <c r="AX154" s="21">
        <f t="shared" ref="AX154:AX203" si="166">SUM(AU154:AW154)</f>
        <v>12.200646421134332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-3.3992364478763198E-14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225.63994281336028</v>
      </c>
      <c r="BJ154" s="59">
        <f t="shared" si="146"/>
        <v>231.19476400361157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17.359359926622833</v>
      </c>
      <c r="BQ154" s="21">
        <f>EXP(-LN(2)/25)*BQ153+(1-EXP(-LN(2)/25))/(LN(2)/25)*Calculateur!BL154*Calculateur!BN154*VLOOKUP('Données projet'!$B$11,Paramètres!$A$1:$I$89,3,0)*0.475*44/12</f>
        <v>6.88279983164683</v>
      </c>
      <c r="BR154" s="21">
        <f>EXP(-LN(2)/2)*BR153+(1-EXP(-LN(2)/2))/(LN(2)/2)*BL154*BO154*VLOOKUP('Données projet'!$B$11,Paramètres!$A$1:$I$89,3,0)*0.475*44/12</f>
        <v>1.0888564372355596E-11</v>
      </c>
      <c r="BS154" s="22">
        <f t="shared" ref="BS154:BS203" si="169">SUM(BP154:BR154)</f>
        <v>24.242159758280554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2.6602720026858149E-14</v>
      </c>
      <c r="CA154" s="13">
        <f t="shared" ref="CA154:CA203" si="170">EXP(-1.0587+0.8836*LN(BZ154)+0.284)</f>
        <v>4.6624771586320878E-13</v>
      </c>
      <c r="CB154" s="20">
        <f t="shared" ref="CB154:CB203" si="171">(BZ154+CA154)*0.475*44/12</f>
        <v>8.583811758418665E-13</v>
      </c>
      <c r="CC154" s="59">
        <f t="shared" si="119"/>
        <v>293.33333333333417</v>
      </c>
      <c r="CD154" s="59">
        <f ca="1">AVERAGE(OFFSET($CC$3,0,0,'Données projet'!$E$12+1,1))-AVERAGE(OFFSET($H$3,0,0,'Données projet'!$E$12+1,1))</f>
        <v>111.69585394603672</v>
      </c>
      <c r="CE154" s="59">
        <f t="shared" si="148"/>
        <v>162.6701214629764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9.5828942560125689</v>
      </c>
      <c r="CL154" s="21">
        <f>EXP(-LN(2)/25)*CL153+(1-EXP(-LN(2)/25))/(LN(2)/25)*Calculateur!CG154*Calculateur!CI154*VLOOKUP('Données projet'!$B$12,Paramètres!$A$1:$I$89,3,0)*0.475*44/12</f>
        <v>3.8458477156394215</v>
      </c>
      <c r="CM154" s="21">
        <f>EXP(-LN(2)/2)*CM153+(1-EXP(-LN(2)/2))/(LN(2)/2)*CG154*CJ154*VLOOKUP('Données projet'!$B$12,Paramètres!$A$1:$I$89,3,0)*0.475*44/12</f>
        <v>6.4610018849402649E-13</v>
      </c>
      <c r="CN154" s="22">
        <f t="shared" ref="CN154:CN203" si="172">SUM(CK154:CM154)</f>
        <v>13.428741971652638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-5.1431925385259088E-14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320.93171542656671</v>
      </c>
      <c r="T155" s="59">
        <f t="shared" si="142"/>
        <v>452.7298965816143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5.1215664861582422</v>
      </c>
      <c r="AA155" s="21">
        <f>EXP(-LN(2)/25)*AA154+(1-EXP(-LN(2)/25))/(LN(2)/25)*Calculateur!V155*Calculateur!X155*VLOOKUP('Données projet'!$B$9,Paramètres!$A$1:$I$89,3,0)*0.475*44/12</f>
        <v>1.1053369005964353</v>
      </c>
      <c r="AB155" s="21">
        <f>EXP(-LN(2)/2)*AB154+(1-EXP(-LN(2)/2))/(LN(2)/2)*V155*Y155*VLOOKUP('Données projet'!$B$9,Paramètres!$A$1:$I$89,3,0)*0.475*44/12</f>
        <v>4.2034565234937842E-15</v>
      </c>
      <c r="AC155" s="22">
        <f t="shared" si="163"/>
        <v>6.2269033867546817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2.8421709430404007E-14</v>
      </c>
      <c r="AJ155" s="13">
        <f>AI155*VLOOKUP('Données projet'!$B$10,Paramètres!$A$1:$I$89,3,0)*VLOOKUP('Données projet'!$B$10,Paramètres!$A$1:$I$89,5,0)</f>
        <v>2.4829205358400945E-14</v>
      </c>
      <c r="AK155" s="13">
        <f t="shared" si="164"/>
        <v>4.3867331143352915E-13</v>
      </c>
      <c r="AL155" s="20">
        <f t="shared" si="165"/>
        <v>8.0726688341261168E-13</v>
      </c>
      <c r="AM155" s="59">
        <f t="shared" si="113"/>
        <v>293.33333333333411</v>
      </c>
      <c r="AN155" s="59">
        <f ca="1">AVERAGE(OFFSET($AM$3,0,0,'Données projet'!$E$10+1,1))-AVERAGE(OFFSET($H$3,0,0,'Données projet'!$E$10+1,1))</f>
        <v>201.61452816909701</v>
      </c>
      <c r="AO155" s="59">
        <f t="shared" si="144"/>
        <v>287.77679930887746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8.6018524547717412</v>
      </c>
      <c r="AV155" s="21">
        <f>EXP(-LN(2)/25)*AV154+(1-EXP(-LN(2)/25))/(LN(2)/25)*Calculateur!AQ155*Calculateur!AS155*VLOOKUP('Données projet'!$B$10,Paramètres!$A$1:$I$89,3,0)*0.475*44/12</f>
        <v>3.3330386037197588</v>
      </c>
      <c r="AW155" s="21">
        <f>EXP(-LN(2)/2)*AW154+(1-EXP(-LN(2)/2))/(LN(2)/2)*AQ155*AT155*VLOOKUP('Données projet'!$B$10,Paramètres!$A$1:$I$89,3,0)*0.475*44/12</f>
        <v>5.2932640612944557E-13</v>
      </c>
      <c r="AX155" s="21">
        <f t="shared" si="166"/>
        <v>11.934891058492029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-3.3992364478763198E-14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225.63994281336028</v>
      </c>
      <c r="BJ155" s="59">
        <f t="shared" si="146"/>
        <v>231.19476400361157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17.01895346662582</v>
      </c>
      <c r="BQ155" s="21">
        <f>EXP(-LN(2)/25)*BQ154+(1-EXP(-LN(2)/25))/(LN(2)/25)*Calculateur!BL155*Calculateur!BN155*VLOOKUP('Données projet'!$B$11,Paramètres!$A$1:$I$89,3,0)*0.475*44/12</f>
        <v>6.6945893082997348</v>
      </c>
      <c r="BR155" s="21">
        <f>EXP(-LN(2)/2)*BR154+(1-EXP(-LN(2)/2))/(LN(2)/2)*BL155*BO155*VLOOKUP('Données projet'!$B$11,Paramètres!$A$1:$I$89,3,0)*0.475*44/12</f>
        <v>7.6993777050788851E-12</v>
      </c>
      <c r="BS155" s="22">
        <f t="shared" si="169"/>
        <v>23.713542774933256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2.6602720026858149E-14</v>
      </c>
      <c r="CA155" s="13">
        <f t="shared" si="170"/>
        <v>4.6624771586320878E-13</v>
      </c>
      <c r="CB155" s="20">
        <f t="shared" si="171"/>
        <v>8.583811758418665E-13</v>
      </c>
      <c r="CC155" s="59">
        <f t="shared" si="119"/>
        <v>293.33333333333417</v>
      </c>
      <c r="CD155" s="59">
        <f ca="1">AVERAGE(OFFSET($CC$3,0,0,'Données projet'!$E$12+1,1))-AVERAGE(OFFSET($H$3,0,0,'Données projet'!$E$12+1,1))</f>
        <v>111.69585394603672</v>
      </c>
      <c r="CE155" s="59">
        <f t="shared" si="148"/>
        <v>162.6701214629764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9.3949795446405133</v>
      </c>
      <c r="CL155" s="21">
        <f>EXP(-LN(2)/25)*CL154+(1-EXP(-LN(2)/25))/(LN(2)/25)*Calculateur!CG155*Calculateur!CI155*VLOOKUP('Données projet'!$B$12,Paramètres!$A$1:$I$89,3,0)*0.475*44/12</f>
        <v>3.74068280761092</v>
      </c>
      <c r="CM155" s="21">
        <f>EXP(-LN(2)/2)*CM154+(1-EXP(-LN(2)/2))/(LN(2)/2)*CG155*CJ155*VLOOKUP('Données projet'!$B$12,Paramètres!$A$1:$I$89,3,0)*0.475*44/12</f>
        <v>4.5686182461003269E-13</v>
      </c>
      <c r="CN155" s="22">
        <f t="shared" si="172"/>
        <v>13.13566235225189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-5.1431925385259088E-14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320.93171542656671</v>
      </c>
      <c r="T156" s="59">
        <f t="shared" si="142"/>
        <v>452.7298965816143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5.0211356912117813</v>
      </c>
      <c r="AA156" s="21">
        <f>EXP(-LN(2)/25)*AA155+(1-EXP(-LN(2)/25))/(LN(2)/25)*Calculateur!V156*Calculateur!X156*VLOOKUP('Données projet'!$B$9,Paramètres!$A$1:$I$89,3,0)*0.475*44/12</f>
        <v>1.0751114049224844</v>
      </c>
      <c r="AB156" s="21">
        <f>EXP(-LN(2)/2)*AB155+(1-EXP(-LN(2)/2))/(LN(2)/2)*V156*Y156*VLOOKUP('Données projet'!$B$9,Paramètres!$A$1:$I$89,3,0)*0.475*44/12</f>
        <v>2.9722926121852851E-15</v>
      </c>
      <c r="AC156" s="22">
        <f t="shared" si="163"/>
        <v>6.0962470961342685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2.8421709430404007E-14</v>
      </c>
      <c r="AJ156" s="13">
        <f>AI156*VLOOKUP('Données projet'!$B$10,Paramètres!$A$1:$I$89,3,0)*VLOOKUP('Données projet'!$B$10,Paramètres!$A$1:$I$89,5,0)</f>
        <v>2.4829205358400945E-14</v>
      </c>
      <c r="AK156" s="13">
        <f t="shared" si="164"/>
        <v>4.3867331143352915E-13</v>
      </c>
      <c r="AL156" s="20">
        <f t="shared" si="165"/>
        <v>8.0726688341261168E-13</v>
      </c>
      <c r="AM156" s="59">
        <f t="shared" si="113"/>
        <v>293.33333333333411</v>
      </c>
      <c r="AN156" s="59">
        <f ca="1">AVERAGE(OFFSET($AM$3,0,0,'Données projet'!$E$10+1,1))-AVERAGE(OFFSET($H$3,0,0,'Données projet'!$E$10+1,1))</f>
        <v>201.61452816909701</v>
      </c>
      <c r="AO156" s="59">
        <f t="shared" si="144"/>
        <v>287.77679930887746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8.4331753747456055</v>
      </c>
      <c r="AV156" s="21">
        <f>EXP(-LN(2)/25)*AV155+(1-EXP(-LN(2)/25))/(LN(2)/25)*Calculateur!AQ156*Calculateur!AS156*VLOOKUP('Données projet'!$B$10,Paramètres!$A$1:$I$89,3,0)*0.475*44/12</f>
        <v>3.2418964878241594</v>
      </c>
      <c r="AW156" s="21">
        <f>EXP(-LN(2)/2)*AW155+(1-EXP(-LN(2)/2))/(LN(2)/2)*AQ156*AT156*VLOOKUP('Données projet'!$B$10,Paramètres!$A$1:$I$89,3,0)*0.475*44/12</f>
        <v>3.7429029123523546E-13</v>
      </c>
      <c r="AX156" s="21">
        <f t="shared" si="166"/>
        <v>11.675071862570141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-3.3992364478763198E-14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225.63994281336028</v>
      </c>
      <c r="BJ156" s="59">
        <f t="shared" si="146"/>
        <v>231.19476400361157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16.685222169681911</v>
      </c>
      <c r="BQ156" s="21">
        <f>EXP(-LN(2)/25)*BQ155+(1-EXP(-LN(2)/25))/(LN(2)/25)*Calculateur!BL156*Calculateur!BN156*VLOOKUP('Données projet'!$B$11,Paramètres!$A$1:$I$89,3,0)*0.475*44/12</f>
        <v>6.5115254116111272</v>
      </c>
      <c r="BR156" s="21">
        <f>EXP(-LN(2)/2)*BR155+(1-EXP(-LN(2)/2))/(LN(2)/2)*BL156*BO156*VLOOKUP('Données projet'!$B$11,Paramètres!$A$1:$I$89,3,0)*0.475*44/12</f>
        <v>5.4442821861777978E-12</v>
      </c>
      <c r="BS156" s="22">
        <f t="shared" si="169"/>
        <v>23.196747581298482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2.6602720026858149E-14</v>
      </c>
      <c r="CA156" s="13">
        <f t="shared" si="170"/>
        <v>4.6624771586320878E-13</v>
      </c>
      <c r="CB156" s="20">
        <f t="shared" si="171"/>
        <v>8.583811758418665E-13</v>
      </c>
      <c r="CC156" s="59">
        <f t="shared" si="119"/>
        <v>293.33333333333417</v>
      </c>
      <c r="CD156" s="59">
        <f ca="1">AVERAGE(OFFSET($CC$3,0,0,'Données projet'!$E$12+1,1))-AVERAGE(OFFSET($H$3,0,0,'Données projet'!$E$12+1,1))</f>
        <v>111.69585394603672</v>
      </c>
      <c r="CE156" s="59">
        <f t="shared" si="148"/>
        <v>162.6701214629764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9.2107497261418079</v>
      </c>
      <c r="CL156" s="21">
        <f>EXP(-LN(2)/25)*CL155+(1-EXP(-LN(2)/25))/(LN(2)/25)*Calculateur!CG156*Calculateur!CI156*VLOOKUP('Données projet'!$B$12,Paramètres!$A$1:$I$89,3,0)*0.475*44/12</f>
        <v>3.6383936395228398</v>
      </c>
      <c r="CM156" s="21">
        <f>EXP(-LN(2)/2)*CM155+(1-EXP(-LN(2)/2))/(LN(2)/2)*CG156*CJ156*VLOOKUP('Données projet'!$B$12,Paramètres!$A$1:$I$89,3,0)*0.475*44/12</f>
        <v>3.2305009424701324E-13</v>
      </c>
      <c r="CN156" s="22">
        <f t="shared" si="172"/>
        <v>12.849143365664972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-5.1431925385259088E-14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320.93171542656671</v>
      </c>
      <c r="T157" s="59">
        <f t="shared" si="142"/>
        <v>452.7298965816143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4.9226742828974839</v>
      </c>
      <c r="AA157" s="21">
        <f>EXP(-LN(2)/25)*AA156+(1-EXP(-LN(2)/25))/(LN(2)/25)*Calculateur!V157*Calculateur!X157*VLOOKUP('Données projet'!$B$9,Paramètres!$A$1:$I$89,3,0)*0.475*44/12</f>
        <v>1.0457124270172273</v>
      </c>
      <c r="AB157" s="21">
        <f>EXP(-LN(2)/2)*AB156+(1-EXP(-LN(2)/2))/(LN(2)/2)*V157*Y157*VLOOKUP('Données projet'!$B$9,Paramètres!$A$1:$I$89,3,0)*0.475*44/12</f>
        <v>2.1017282617468921E-15</v>
      </c>
      <c r="AC157" s="22">
        <f t="shared" si="163"/>
        <v>5.9683867099147125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2.8421709430404007E-14</v>
      </c>
      <c r="AJ157" s="13">
        <f>AI157*VLOOKUP('Données projet'!$B$10,Paramètres!$A$1:$I$89,3,0)*VLOOKUP('Données projet'!$B$10,Paramètres!$A$1:$I$89,5,0)</f>
        <v>2.4829205358400945E-14</v>
      </c>
      <c r="AK157" s="13">
        <f t="shared" si="164"/>
        <v>4.3867331143352915E-13</v>
      </c>
      <c r="AL157" s="20">
        <f t="shared" si="165"/>
        <v>8.0726688341261168E-13</v>
      </c>
      <c r="AM157" s="59">
        <f t="shared" si="113"/>
        <v>293.33333333333411</v>
      </c>
      <c r="AN157" s="59">
        <f ca="1">AVERAGE(OFFSET($AM$3,0,0,'Données projet'!$E$10+1,1))-AVERAGE(OFFSET($H$3,0,0,'Données projet'!$E$10+1,1))</f>
        <v>201.61452816909701</v>
      </c>
      <c r="AO157" s="59">
        <f t="shared" si="144"/>
        <v>287.77679930887746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8.2678059493759211</v>
      </c>
      <c r="AV157" s="21">
        <f>EXP(-LN(2)/25)*AV156+(1-EXP(-LN(2)/25))/(LN(2)/25)*Calculateur!AQ157*Calculateur!AS157*VLOOKUP('Données projet'!$B$10,Paramètres!$A$1:$I$89,3,0)*0.475*44/12</f>
        <v>3.1532466578806808</v>
      </c>
      <c r="AW157" s="21">
        <f>EXP(-LN(2)/2)*AW156+(1-EXP(-LN(2)/2))/(LN(2)/2)*AQ157*AT157*VLOOKUP('Données projet'!$B$10,Paramètres!$A$1:$I$89,3,0)*0.475*44/12</f>
        <v>2.6466320306472278E-13</v>
      </c>
      <c r="AX157" s="21">
        <f t="shared" si="166"/>
        <v>11.421052607256867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-3.3992364478763198E-14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225.63994281336028</v>
      </c>
      <c r="BJ157" s="59">
        <f t="shared" si="146"/>
        <v>231.19476400361157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16.358035139915078</v>
      </c>
      <c r="BQ157" s="21">
        <f>EXP(-LN(2)/25)*BQ156+(1-EXP(-LN(2)/25))/(LN(2)/25)*Calculateur!BL157*Calculateur!BN157*VLOOKUP('Données projet'!$B$11,Paramètres!$A$1:$I$89,3,0)*0.475*44/12</f>
        <v>6.3334674068043819</v>
      </c>
      <c r="BR157" s="21">
        <f>EXP(-LN(2)/2)*BR156+(1-EXP(-LN(2)/2))/(LN(2)/2)*BL157*BO157*VLOOKUP('Données projet'!$B$11,Paramètres!$A$1:$I$89,3,0)*0.475*44/12</f>
        <v>3.8496888525394425E-12</v>
      </c>
      <c r="BS157" s="22">
        <f t="shared" si="169"/>
        <v>22.69150254672331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2.6602720026858149E-14</v>
      </c>
      <c r="CA157" s="13">
        <f t="shared" si="170"/>
        <v>4.6624771586320878E-13</v>
      </c>
      <c r="CB157" s="20">
        <f t="shared" si="171"/>
        <v>8.583811758418665E-13</v>
      </c>
      <c r="CC157" s="59">
        <f t="shared" si="119"/>
        <v>293.33333333333417</v>
      </c>
      <c r="CD157" s="59">
        <f ca="1">AVERAGE(OFFSET($CC$3,0,0,'Données projet'!$E$12+1,1))-AVERAGE(OFFSET($H$3,0,0,'Données projet'!$E$12+1,1))</f>
        <v>111.69585394603672</v>
      </c>
      <c r="CE157" s="59">
        <f t="shared" si="148"/>
        <v>162.6701214629764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9.0301325420147691</v>
      </c>
      <c r="CL157" s="21">
        <f>EXP(-LN(2)/25)*CL156+(1-EXP(-LN(2)/25))/(LN(2)/25)*Calculateur!CG157*Calculateur!CI157*VLOOKUP('Données projet'!$B$12,Paramètres!$A$1:$I$89,3,0)*0.475*44/12</f>
        <v>3.5389015741152821</v>
      </c>
      <c r="CM157" s="21">
        <f>EXP(-LN(2)/2)*CM156+(1-EXP(-LN(2)/2))/(LN(2)/2)*CG157*CJ157*VLOOKUP('Données projet'!$B$12,Paramètres!$A$1:$I$89,3,0)*0.475*44/12</f>
        <v>2.2843091230501634E-13</v>
      </c>
      <c r="CN157" s="22">
        <f t="shared" si="172"/>
        <v>12.569034116130281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-5.1431925385259088E-14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320.93171542656671</v>
      </c>
      <c r="T158" s="59">
        <f t="shared" si="142"/>
        <v>452.7298965816143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4.8261436427447011</v>
      </c>
      <c r="AA158" s="21">
        <f>EXP(-LN(2)/25)*AA157+(1-EXP(-LN(2)/25))/(LN(2)/25)*Calculateur!V158*Calculateur!X158*VLOOKUP('Données projet'!$B$9,Paramètres!$A$1:$I$89,3,0)*0.475*44/12</f>
        <v>1.0171173657088146</v>
      </c>
      <c r="AB158" s="21">
        <f>EXP(-LN(2)/2)*AB157+(1-EXP(-LN(2)/2))/(LN(2)/2)*V158*Y158*VLOOKUP('Données projet'!$B$9,Paramètres!$A$1:$I$89,3,0)*0.475*44/12</f>
        <v>1.4861463060926425E-15</v>
      </c>
      <c r="AC158" s="22">
        <f t="shared" si="163"/>
        <v>5.843261008453517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2.8421709430404007E-14</v>
      </c>
      <c r="AJ158" s="13">
        <f>AI158*VLOOKUP('Données projet'!$B$10,Paramètres!$A$1:$I$89,3,0)*VLOOKUP('Données projet'!$B$10,Paramètres!$A$1:$I$89,5,0)</f>
        <v>2.4829205358400945E-14</v>
      </c>
      <c r="AK158" s="13">
        <f t="shared" si="164"/>
        <v>4.3867331143352915E-13</v>
      </c>
      <c r="AL158" s="20">
        <f t="shared" si="165"/>
        <v>8.0726688341261168E-13</v>
      </c>
      <c r="AM158" s="59">
        <f t="shared" si="113"/>
        <v>293.33333333333411</v>
      </c>
      <c r="AN158" s="59">
        <f ca="1">AVERAGE(OFFSET($AM$3,0,0,'Données projet'!$E$10+1,1))-AVERAGE(OFFSET($H$3,0,0,'Données projet'!$E$10+1,1))</f>
        <v>201.61452816909701</v>
      </c>
      <c r="AO158" s="59">
        <f t="shared" si="144"/>
        <v>287.77679930887746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8.1056793175723474</v>
      </c>
      <c r="AV158" s="21">
        <f>EXP(-LN(2)/25)*AV157+(1-EXP(-LN(2)/25))/(LN(2)/25)*Calculateur!AQ158*Calculateur!AS158*VLOOKUP('Données projet'!$B$10,Paramètres!$A$1:$I$89,3,0)*0.475*44/12</f>
        <v>3.0670209621988986</v>
      </c>
      <c r="AW158" s="21">
        <f>EXP(-LN(2)/2)*AW157+(1-EXP(-LN(2)/2))/(LN(2)/2)*AQ158*AT158*VLOOKUP('Données projet'!$B$10,Paramètres!$A$1:$I$89,3,0)*0.475*44/12</f>
        <v>1.8714514561761773E-13</v>
      </c>
      <c r="AX158" s="21">
        <f t="shared" si="166"/>
        <v>11.172700279771432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-3.3992364478763198E-14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225.63994281336028</v>
      </c>
      <c r="BJ158" s="59">
        <f t="shared" si="146"/>
        <v>231.19476400361157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16.037264048237592</v>
      </c>
      <c r="BQ158" s="21">
        <f>EXP(-LN(2)/25)*BQ157+(1-EXP(-LN(2)/25))/(LN(2)/25)*Calculateur!BL158*Calculateur!BN158*VLOOKUP('Données projet'!$B$11,Paramètres!$A$1:$I$89,3,0)*0.475*44/12</f>
        <v>6.1602784075027408</v>
      </c>
      <c r="BR158" s="21">
        <f>EXP(-LN(2)/2)*BR157+(1-EXP(-LN(2)/2))/(LN(2)/2)*BL158*BO158*VLOOKUP('Données projet'!$B$11,Paramètres!$A$1:$I$89,3,0)*0.475*44/12</f>
        <v>2.7221410930888989E-12</v>
      </c>
      <c r="BS158" s="22">
        <f t="shared" si="169"/>
        <v>22.197542455743054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2.6602720026858149E-14</v>
      </c>
      <c r="CA158" s="13">
        <f t="shared" si="170"/>
        <v>4.6624771586320878E-13</v>
      </c>
      <c r="CB158" s="20">
        <f t="shared" si="171"/>
        <v>8.583811758418665E-13</v>
      </c>
      <c r="CC158" s="59">
        <f t="shared" si="119"/>
        <v>293.33333333333417</v>
      </c>
      <c r="CD158" s="59">
        <f ca="1">AVERAGE(OFFSET($CC$3,0,0,'Données projet'!$E$12+1,1))-AVERAGE(OFFSET($H$3,0,0,'Données projet'!$E$12+1,1))</f>
        <v>111.69585394603672</v>
      </c>
      <c r="CE158" s="59">
        <f t="shared" si="148"/>
        <v>162.6701214629764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8.8530571507028561</v>
      </c>
      <c r="CL158" s="21">
        <f>EXP(-LN(2)/25)*CL157+(1-EXP(-LN(2)/25))/(LN(2)/25)*Calculateur!CG158*Calculateur!CI158*VLOOKUP('Données projet'!$B$12,Paramètres!$A$1:$I$89,3,0)*0.475*44/12</f>
        <v>3.442130124468354</v>
      </c>
      <c r="CM158" s="21">
        <f>EXP(-LN(2)/2)*CM157+(1-EXP(-LN(2)/2))/(LN(2)/2)*CG158*CJ158*VLOOKUP('Données projet'!$B$12,Paramètres!$A$1:$I$89,3,0)*0.475*44/12</f>
        <v>1.6152504712350662E-13</v>
      </c>
      <c r="CN158" s="22">
        <f t="shared" si="172"/>
        <v>12.295187275171372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-5.1431925385259088E-14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320.93171542656671</v>
      </c>
      <c r="T159" s="59">
        <f t="shared" si="142"/>
        <v>452.7298965816143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4.7315059095674377</v>
      </c>
      <c r="AA159" s="21">
        <f>EXP(-LN(2)/25)*AA158+(1-EXP(-LN(2)/25))/(LN(2)/25)*Calculateur!V159*Calculateur!X159*VLOOKUP('Données projet'!$B$9,Paramètres!$A$1:$I$89,3,0)*0.475*44/12</f>
        <v>0.98930423785562949</v>
      </c>
      <c r="AB159" s="21">
        <f>EXP(-LN(2)/2)*AB158+(1-EXP(-LN(2)/2))/(LN(2)/2)*V159*Y159*VLOOKUP('Données projet'!$B$9,Paramètres!$A$1:$I$89,3,0)*0.475*44/12</f>
        <v>1.050864130873446E-15</v>
      </c>
      <c r="AC159" s="22">
        <f t="shared" si="163"/>
        <v>5.7208101474230677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2.8421709430404007E-14</v>
      </c>
      <c r="AJ159" s="13">
        <f>AI159*VLOOKUP('Données projet'!$B$10,Paramètres!$A$1:$I$89,3,0)*VLOOKUP('Données projet'!$B$10,Paramètres!$A$1:$I$89,5,0)</f>
        <v>2.4829205358400945E-14</v>
      </c>
      <c r="AK159" s="13">
        <f t="shared" si="164"/>
        <v>4.3867331143352915E-13</v>
      </c>
      <c r="AL159" s="20">
        <f t="shared" si="165"/>
        <v>8.0726688341261168E-13</v>
      </c>
      <c r="AM159" s="59">
        <f t="shared" si="113"/>
        <v>293.33333333333411</v>
      </c>
      <c r="AN159" s="59">
        <f ca="1">AVERAGE(OFFSET($AM$3,0,0,'Données projet'!$E$10+1,1))-AVERAGE(OFFSET($H$3,0,0,'Données projet'!$E$10+1,1))</f>
        <v>201.61452816909701</v>
      </c>
      <c r="AO159" s="59">
        <f t="shared" si="144"/>
        <v>287.77679930887746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7.9467318901309607</v>
      </c>
      <c r="AV159" s="21">
        <f>EXP(-LN(2)/25)*AV158+(1-EXP(-LN(2)/25))/(LN(2)/25)*Calculateur!AQ159*Calculateur!AS159*VLOOKUP('Données projet'!$B$10,Paramètres!$A$1:$I$89,3,0)*0.475*44/12</f>
        <v>2.9831531126999473</v>
      </c>
      <c r="AW159" s="21">
        <f>EXP(-LN(2)/2)*AW158+(1-EXP(-LN(2)/2))/(LN(2)/2)*AQ159*AT159*VLOOKUP('Données projet'!$B$10,Paramètres!$A$1:$I$89,3,0)*0.475*44/12</f>
        <v>1.3233160153236139E-13</v>
      </c>
      <c r="AX159" s="21">
        <f t="shared" si="166"/>
        <v>10.929885002831039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-3.3992364478763198E-14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225.63994281336028</v>
      </c>
      <c r="BJ159" s="59">
        <f t="shared" si="146"/>
        <v>231.19476400361157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15.722783082016853</v>
      </c>
      <c r="BQ159" s="21">
        <f>EXP(-LN(2)/25)*BQ158+(1-EXP(-LN(2)/25))/(LN(2)/25)*Calculateur!BL159*Calculateur!BN159*VLOOKUP('Données projet'!$B$11,Paramètres!$A$1:$I$89,3,0)*0.475*44/12</f>
        <v>5.9918252704946164</v>
      </c>
      <c r="BR159" s="21">
        <f>EXP(-LN(2)/2)*BR158+(1-EXP(-LN(2)/2))/(LN(2)/2)*BL159*BO159*VLOOKUP('Données projet'!$B$11,Paramètres!$A$1:$I$89,3,0)*0.475*44/12</f>
        <v>1.9248444262697213E-12</v>
      </c>
      <c r="BS159" s="22">
        <f t="shared" si="169"/>
        <v>21.714608352513395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2.6602720026858149E-14</v>
      </c>
      <c r="CA159" s="13">
        <f t="shared" si="170"/>
        <v>4.6624771586320878E-13</v>
      </c>
      <c r="CB159" s="20">
        <f t="shared" si="171"/>
        <v>8.583811758418665E-13</v>
      </c>
      <c r="CC159" s="59">
        <f t="shared" si="119"/>
        <v>293.33333333333417</v>
      </c>
      <c r="CD159" s="59">
        <f ca="1">AVERAGE(OFFSET($CC$3,0,0,'Données projet'!$E$12+1,1))-AVERAGE(OFFSET($H$3,0,0,'Données projet'!$E$12+1,1))</f>
        <v>111.69585394603672</v>
      </c>
      <c r="CE159" s="59">
        <f t="shared" si="148"/>
        <v>162.6701214629764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8.6794540998092451</v>
      </c>
      <c r="CL159" s="21">
        <f>EXP(-LN(2)/25)*CL158+(1-EXP(-LN(2)/25))/(LN(2)/25)*Calculateur!CG159*Calculateur!CI159*VLOOKUP('Données projet'!$B$12,Paramètres!$A$1:$I$89,3,0)*0.475*44/12</f>
        <v>3.3480048952010106</v>
      </c>
      <c r="CM159" s="21">
        <f>EXP(-LN(2)/2)*CM158+(1-EXP(-LN(2)/2))/(LN(2)/2)*CG159*CJ159*VLOOKUP('Données projet'!$B$12,Paramètres!$A$1:$I$89,3,0)*0.475*44/12</f>
        <v>1.1421545615250817E-13</v>
      </c>
      <c r="CN159" s="22">
        <f t="shared" si="172"/>
        <v>12.02745899501037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-5.1431925385259088E-14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320.93171542656671</v>
      </c>
      <c r="T160" s="59">
        <f t="shared" si="142"/>
        <v>452.7298965816143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4.6387239646144627</v>
      </c>
      <c r="AA160" s="21">
        <f>EXP(-LN(2)/25)*AA159+(1-EXP(-LN(2)/25))/(LN(2)/25)*Calculateur!V160*Calculateur!X160*VLOOKUP('Données projet'!$B$9,Paramètres!$A$1:$I$89,3,0)*0.475*44/12</f>
        <v>0.96225166144621854</v>
      </c>
      <c r="AB160" s="21">
        <f>EXP(-LN(2)/2)*AB159+(1-EXP(-LN(2)/2))/(LN(2)/2)*V160*Y160*VLOOKUP('Données projet'!$B$9,Paramètres!$A$1:$I$89,3,0)*0.475*44/12</f>
        <v>7.4307315304632127E-16</v>
      </c>
      <c r="AC160" s="22">
        <f t="shared" si="163"/>
        <v>5.6009756260606824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2.8421709430404007E-14</v>
      </c>
      <c r="AJ160" s="13">
        <f>AI160*VLOOKUP('Données projet'!$B$10,Paramètres!$A$1:$I$89,3,0)*VLOOKUP('Données projet'!$B$10,Paramètres!$A$1:$I$89,5,0)</f>
        <v>2.4829205358400945E-14</v>
      </c>
      <c r="AK160" s="13">
        <f t="shared" si="164"/>
        <v>4.3867331143352915E-13</v>
      </c>
      <c r="AL160" s="20">
        <f t="shared" si="165"/>
        <v>8.0726688341261168E-13</v>
      </c>
      <c r="AM160" s="59">
        <f t="shared" si="113"/>
        <v>293.33333333333411</v>
      </c>
      <c r="AN160" s="59">
        <f ca="1">AVERAGE(OFFSET($AM$3,0,0,'Données projet'!$E$10+1,1))-AVERAGE(OFFSET($H$3,0,0,'Données projet'!$E$10+1,1))</f>
        <v>201.61452816909701</v>
      </c>
      <c r="AO160" s="59">
        <f t="shared" si="144"/>
        <v>287.77679930887746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7.7909013247933414</v>
      </c>
      <c r="AV160" s="21">
        <f>EXP(-LN(2)/25)*AV159+(1-EXP(-LN(2)/25))/(LN(2)/25)*Calculateur!AQ160*Calculateur!AS160*VLOOKUP('Données projet'!$B$10,Paramètres!$A$1:$I$89,3,0)*0.475*44/12</f>
        <v>2.901578633955963</v>
      </c>
      <c r="AW160" s="21">
        <f>EXP(-LN(2)/2)*AW159+(1-EXP(-LN(2)/2))/(LN(2)/2)*AQ160*AT160*VLOOKUP('Données projet'!$B$10,Paramètres!$A$1:$I$89,3,0)*0.475*44/12</f>
        <v>9.3572572808808866E-14</v>
      </c>
      <c r="AX160" s="21">
        <f t="shared" si="166"/>
        <v>10.692479958749399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-3.3992364478763198E-14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225.63994281336028</v>
      </c>
      <c r="BJ160" s="59">
        <f t="shared" si="146"/>
        <v>231.19476400361157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15.414468895729254</v>
      </c>
      <c r="BQ160" s="21">
        <f>EXP(-LN(2)/25)*BQ159+(1-EXP(-LN(2)/25))/(LN(2)/25)*Calculateur!BL160*Calculateur!BN160*VLOOKUP('Données projet'!$B$11,Paramètres!$A$1:$I$89,3,0)*0.475*44/12</f>
        <v>5.8279784933765448</v>
      </c>
      <c r="BR160" s="21">
        <f>EXP(-LN(2)/2)*BR159+(1-EXP(-LN(2)/2))/(LN(2)/2)*BL160*BO160*VLOOKUP('Données projet'!$B$11,Paramètres!$A$1:$I$89,3,0)*0.475*44/12</f>
        <v>1.3610705465444494E-12</v>
      </c>
      <c r="BS160" s="22">
        <f t="shared" si="169"/>
        <v>21.242447389107159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2.6602720026858149E-14</v>
      </c>
      <c r="CA160" s="13">
        <f t="shared" si="170"/>
        <v>4.6624771586320878E-13</v>
      </c>
      <c r="CB160" s="20">
        <f t="shared" si="171"/>
        <v>8.583811758418665E-13</v>
      </c>
      <c r="CC160" s="59">
        <f t="shared" si="119"/>
        <v>293.33333333333417</v>
      </c>
      <c r="CD160" s="59">
        <f ca="1">AVERAGE(OFFSET($CC$3,0,0,'Données projet'!$E$12+1,1))-AVERAGE(OFFSET($H$3,0,0,'Données projet'!$E$12+1,1))</f>
        <v>111.69585394603672</v>
      </c>
      <c r="CE160" s="59">
        <f t="shared" si="148"/>
        <v>162.6701214629764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8.5092552988562531</v>
      </c>
      <c r="CL160" s="21">
        <f>EXP(-LN(2)/25)*CL159+(1-EXP(-LN(2)/25))/(LN(2)/25)*Calculateur!CG160*Calculateur!CI160*VLOOKUP('Données projet'!$B$12,Paramètres!$A$1:$I$89,3,0)*0.475*44/12</f>
        <v>3.2564535252778137</v>
      </c>
      <c r="CM160" s="21">
        <f>EXP(-LN(2)/2)*CM159+(1-EXP(-LN(2)/2))/(LN(2)/2)*CG160*CJ160*VLOOKUP('Données projet'!$B$12,Paramètres!$A$1:$I$89,3,0)*0.475*44/12</f>
        <v>8.0762523561753311E-14</v>
      </c>
      <c r="CN160" s="22">
        <f t="shared" si="172"/>
        <v>11.765708824134146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-5.1431925385259088E-14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320.93171542656671</v>
      </c>
      <c r="T161" s="59">
        <f t="shared" si="142"/>
        <v>452.7298965816143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4.5477614170106175</v>
      </c>
      <c r="AA161" s="21">
        <f>EXP(-LN(2)/25)*AA160+(1-EXP(-LN(2)/25))/(LN(2)/25)*Calculateur!V161*Calculateur!X161*VLOOKUP('Données projet'!$B$9,Paramètres!$A$1:$I$89,3,0)*0.475*44/12</f>
        <v>0.93593883916135612</v>
      </c>
      <c r="AB161" s="21">
        <f>EXP(-LN(2)/2)*AB160+(1-EXP(-LN(2)/2))/(LN(2)/2)*V161*Y161*VLOOKUP('Données projet'!$B$9,Paramètres!$A$1:$I$89,3,0)*0.475*44/12</f>
        <v>5.2543206543672302E-16</v>
      </c>
      <c r="AC161" s="22">
        <f t="shared" si="163"/>
        <v>5.4837002561719741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2.8421709430404007E-14</v>
      </c>
      <c r="AJ161" s="13">
        <f>AI161*VLOOKUP('Données projet'!$B$10,Paramètres!$A$1:$I$89,3,0)*VLOOKUP('Données projet'!$B$10,Paramètres!$A$1:$I$89,5,0)</f>
        <v>2.4829205358400945E-14</v>
      </c>
      <c r="AK161" s="13">
        <f t="shared" si="164"/>
        <v>4.3867331143352915E-13</v>
      </c>
      <c r="AL161" s="20">
        <f t="shared" si="165"/>
        <v>8.0726688341261168E-13</v>
      </c>
      <c r="AM161" s="59">
        <f t="shared" si="113"/>
        <v>293.33333333333411</v>
      </c>
      <c r="AN161" s="59">
        <f ca="1">AVERAGE(OFFSET($AM$3,0,0,'Données projet'!$E$10+1,1))-AVERAGE(OFFSET($H$3,0,0,'Données projet'!$E$10+1,1))</f>
        <v>201.61452816909701</v>
      </c>
      <c r="AO161" s="59">
        <f t="shared" si="144"/>
        <v>287.77679930887746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7.6381265017947326</v>
      </c>
      <c r="AV161" s="21">
        <f>EXP(-LN(2)/25)*AV160+(1-EXP(-LN(2)/25))/(LN(2)/25)*Calculateur!AQ161*Calculateur!AS161*VLOOKUP('Données projet'!$B$10,Paramètres!$A$1:$I$89,3,0)*0.475*44/12</f>
        <v>2.8222348136230484</v>
      </c>
      <c r="AW161" s="21">
        <f>EXP(-LN(2)/2)*AW160+(1-EXP(-LN(2)/2))/(LN(2)/2)*AQ161*AT161*VLOOKUP('Données projet'!$B$10,Paramètres!$A$1:$I$89,3,0)*0.475*44/12</f>
        <v>6.6165800766180696E-14</v>
      </c>
      <c r="AX161" s="21">
        <f t="shared" si="166"/>
        <v>10.460361315417847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-3.3992364478763198E-14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225.63994281336028</v>
      </c>
      <c r="BJ161" s="59">
        <f t="shared" si="146"/>
        <v>231.19476400361157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15.11220056258167</v>
      </c>
      <c r="BQ161" s="21">
        <f>EXP(-LN(2)/25)*BQ160+(1-EXP(-LN(2)/25))/(LN(2)/25)*Calculateur!BL161*Calculateur!BN161*VLOOKUP('Données projet'!$B$11,Paramètres!$A$1:$I$89,3,0)*0.475*44/12</f>
        <v>5.6686121149950939</v>
      </c>
      <c r="BR161" s="21">
        <f>EXP(-LN(2)/2)*BR160+(1-EXP(-LN(2)/2))/(LN(2)/2)*BL161*BO161*VLOOKUP('Données projet'!$B$11,Paramètres!$A$1:$I$89,3,0)*0.475*44/12</f>
        <v>9.6242221313486063E-13</v>
      </c>
      <c r="BS161" s="22">
        <f t="shared" si="169"/>
        <v>20.780812677577725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2.6602720026858149E-14</v>
      </c>
      <c r="CA161" s="13">
        <f t="shared" si="170"/>
        <v>4.6624771586320878E-13</v>
      </c>
      <c r="CB161" s="20">
        <f t="shared" si="171"/>
        <v>8.583811758418665E-13</v>
      </c>
      <c r="CC161" s="59">
        <f t="shared" si="119"/>
        <v>293.33333333333417</v>
      </c>
      <c r="CD161" s="59">
        <f ca="1">AVERAGE(OFFSET($CC$3,0,0,'Données projet'!$E$12+1,1))-AVERAGE(OFFSET($H$3,0,0,'Données projet'!$E$12+1,1))</f>
        <v>111.69585394603672</v>
      </c>
      <c r="CE161" s="59">
        <f t="shared" si="148"/>
        <v>162.6701214629764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8.3423939925789306</v>
      </c>
      <c r="CL161" s="21">
        <f>EXP(-LN(2)/25)*CL160+(1-EXP(-LN(2)/25))/(LN(2)/25)*Calculateur!CG161*Calculateur!CI161*VLOOKUP('Données projet'!$B$12,Paramètres!$A$1:$I$89,3,0)*0.475*44/12</f>
        <v>3.1674056323796438</v>
      </c>
      <c r="CM161" s="21">
        <f>EXP(-LN(2)/2)*CM160+(1-EXP(-LN(2)/2))/(LN(2)/2)*CG161*CJ161*VLOOKUP('Données projet'!$B$12,Paramètres!$A$1:$I$89,3,0)*0.475*44/12</f>
        <v>5.7107728076254086E-14</v>
      </c>
      <c r="CN161" s="22">
        <f t="shared" si="172"/>
        <v>11.509799624958632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-5.1431925385259088E-14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320.93171542656671</v>
      </c>
      <c r="T162" s="59">
        <f t="shared" si="142"/>
        <v>452.7298965816143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4.4585825894836075</v>
      </c>
      <c r="AA162" s="21">
        <f>EXP(-LN(2)/25)*AA161+(1-EXP(-LN(2)/25))/(LN(2)/25)*Calculateur!V162*Calculateur!X162*VLOOKUP('Données projet'!$B$9,Paramètres!$A$1:$I$89,3,0)*0.475*44/12</f>
        <v>0.91034554238560439</v>
      </c>
      <c r="AB162" s="21">
        <f>EXP(-LN(2)/2)*AB161+(1-EXP(-LN(2)/2))/(LN(2)/2)*V162*Y162*VLOOKUP('Données projet'!$B$9,Paramètres!$A$1:$I$89,3,0)*0.475*44/12</f>
        <v>3.7153657652316063E-16</v>
      </c>
      <c r="AC162" s="22">
        <f t="shared" si="163"/>
        <v>5.3689281318692119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2.8421709430404007E-14</v>
      </c>
      <c r="AJ162" s="13">
        <f>AI162*VLOOKUP('Données projet'!$B$10,Paramètres!$A$1:$I$89,3,0)*VLOOKUP('Données projet'!$B$10,Paramètres!$A$1:$I$89,5,0)</f>
        <v>2.4829205358400945E-14</v>
      </c>
      <c r="AK162" s="13">
        <f t="shared" si="164"/>
        <v>4.3867331143352915E-13</v>
      </c>
      <c r="AL162" s="20">
        <f t="shared" si="165"/>
        <v>8.0726688341261168E-13</v>
      </c>
      <c r="AM162" s="59">
        <f t="shared" si="113"/>
        <v>293.33333333333411</v>
      </c>
      <c r="AN162" s="59">
        <f ca="1">AVERAGE(OFFSET($AM$3,0,0,'Données projet'!$E$10+1,1))-AVERAGE(OFFSET($H$3,0,0,'Données projet'!$E$10+1,1))</f>
        <v>201.61452816909701</v>
      </c>
      <c r="AO162" s="59">
        <f t="shared" si="144"/>
        <v>287.77679930887746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7.4883474998916864</v>
      </c>
      <c r="AV162" s="21">
        <f>EXP(-LN(2)/25)*AV161+(1-EXP(-LN(2)/25))/(LN(2)/25)*Calculateur!AQ162*Calculateur!AS162*VLOOKUP('Données projet'!$B$10,Paramètres!$A$1:$I$89,3,0)*0.475*44/12</f>
        <v>2.7450606542296474</v>
      </c>
      <c r="AW162" s="21">
        <f>EXP(-LN(2)/2)*AW161+(1-EXP(-LN(2)/2))/(LN(2)/2)*AQ162*AT162*VLOOKUP('Données projet'!$B$10,Paramètres!$A$1:$I$89,3,0)*0.475*44/12</f>
        <v>4.6786286404404433E-14</v>
      </c>
      <c r="AX162" s="21">
        <f t="shared" si="166"/>
        <v>10.233408154121379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-3.3992364478763198E-14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225.63994281336028</v>
      </c>
      <c r="BJ162" s="59">
        <f t="shared" si="146"/>
        <v>231.19476400361157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14.815859527081631</v>
      </c>
      <c r="BQ162" s="21">
        <f>EXP(-LN(2)/25)*BQ161+(1-EXP(-LN(2)/25))/(LN(2)/25)*Calculateur!BL162*Calculateur!BN162*VLOOKUP('Données projet'!$B$11,Paramètres!$A$1:$I$89,3,0)*0.475*44/12</f>
        <v>5.5136036186111976</v>
      </c>
      <c r="BR162" s="21">
        <f>EXP(-LN(2)/2)*BR161+(1-EXP(-LN(2)/2))/(LN(2)/2)*BL162*BO162*VLOOKUP('Données projet'!$B$11,Paramètres!$A$1:$I$89,3,0)*0.475*44/12</f>
        <v>6.8053527327222472E-13</v>
      </c>
      <c r="BS162" s="22">
        <f t="shared" si="169"/>
        <v>20.329463145693509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2.6602720026858149E-14</v>
      </c>
      <c r="CA162" s="13">
        <f t="shared" si="170"/>
        <v>4.6624771586320878E-13</v>
      </c>
      <c r="CB162" s="20">
        <f t="shared" si="171"/>
        <v>8.583811758418665E-13</v>
      </c>
      <c r="CC162" s="59">
        <f t="shared" si="119"/>
        <v>293.33333333333417</v>
      </c>
      <c r="CD162" s="59">
        <f ca="1">AVERAGE(OFFSET($CC$3,0,0,'Données projet'!$E$12+1,1))-AVERAGE(OFFSET($H$3,0,0,'Données projet'!$E$12+1,1))</f>
        <v>111.69585394603672</v>
      </c>
      <c r="CE162" s="59">
        <f t="shared" si="148"/>
        <v>162.6701214629764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8.1788047347423589</v>
      </c>
      <c r="CL162" s="21">
        <f>EXP(-LN(2)/25)*CL161+(1-EXP(-LN(2)/25))/(LN(2)/25)*Calculateur!CG162*Calculateur!CI162*VLOOKUP('Données projet'!$B$12,Paramètres!$A$1:$I$89,3,0)*0.475*44/12</f>
        <v>3.0807927587955994</v>
      </c>
      <c r="CM162" s="21">
        <f>EXP(-LN(2)/2)*CM161+(1-EXP(-LN(2)/2))/(LN(2)/2)*CG162*CJ162*VLOOKUP('Données projet'!$B$12,Paramètres!$A$1:$I$89,3,0)*0.475*44/12</f>
        <v>4.0381261780876655E-14</v>
      </c>
      <c r="CN162" s="22">
        <f t="shared" si="172"/>
        <v>11.259597493537999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-5.1431925385259088E-14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320.93171542656671</v>
      </c>
      <c r="T163" s="59">
        <f t="shared" si="142"/>
        <v>452.7298965816143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4.3711525043706887</v>
      </c>
      <c r="AA163" s="21">
        <f>EXP(-LN(2)/25)*AA162+(1-EXP(-LN(2)/25))/(LN(2)/25)*Calculateur!V163*Calculateur!X163*VLOOKUP('Données projet'!$B$9,Paramètres!$A$1:$I$89,3,0)*0.475*44/12</f>
        <v>0.88545209565607863</v>
      </c>
      <c r="AB163" s="21">
        <f>EXP(-LN(2)/2)*AB162+(1-EXP(-LN(2)/2))/(LN(2)/2)*V163*Y163*VLOOKUP('Données projet'!$B$9,Paramètres!$A$1:$I$89,3,0)*0.475*44/12</f>
        <v>2.6271603271836151E-16</v>
      </c>
      <c r="AC163" s="22">
        <f t="shared" si="163"/>
        <v>5.2566046000267672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2.8421709430404007E-14</v>
      </c>
      <c r="AJ163" s="13">
        <f>AI163*VLOOKUP('Données projet'!$B$10,Paramètres!$A$1:$I$89,3,0)*VLOOKUP('Données projet'!$B$10,Paramètres!$A$1:$I$89,5,0)</f>
        <v>2.4829205358400945E-14</v>
      </c>
      <c r="AK163" s="13">
        <f t="shared" si="164"/>
        <v>4.3867331143352915E-13</v>
      </c>
      <c r="AL163" s="20">
        <f t="shared" si="165"/>
        <v>8.0726688341261168E-13</v>
      </c>
      <c r="AM163" s="59">
        <f t="shared" si="113"/>
        <v>293.33333333333411</v>
      </c>
      <c r="AN163" s="59">
        <f ca="1">AVERAGE(OFFSET($AM$3,0,0,'Données projet'!$E$10+1,1))-AVERAGE(OFFSET($H$3,0,0,'Données projet'!$E$10+1,1))</f>
        <v>201.61452816909701</v>
      </c>
      <c r="AO163" s="59">
        <f t="shared" si="144"/>
        <v>287.77679930887746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7.3415055728597878</v>
      </c>
      <c r="AV163" s="21">
        <f>EXP(-LN(2)/25)*AV162+(1-EXP(-LN(2)/25))/(LN(2)/25)*Calculateur!AQ163*Calculateur!AS163*VLOOKUP('Données projet'!$B$10,Paramètres!$A$1:$I$89,3,0)*0.475*44/12</f>
        <v>2.6699968262832718</v>
      </c>
      <c r="AW163" s="21">
        <f>EXP(-LN(2)/2)*AW162+(1-EXP(-LN(2)/2))/(LN(2)/2)*AQ163*AT163*VLOOKUP('Données projet'!$B$10,Paramètres!$A$1:$I$89,3,0)*0.475*44/12</f>
        <v>3.3082900383090348E-14</v>
      </c>
      <c r="AX163" s="21">
        <f t="shared" si="166"/>
        <v>10.011502399143094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-3.3992364478763198E-14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225.63994281336028</v>
      </c>
      <c r="BJ163" s="59">
        <f t="shared" si="146"/>
        <v>231.19476400361157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14.525329558537564</v>
      </c>
      <c r="BQ163" s="21">
        <f>EXP(-LN(2)/25)*BQ162+(1-EXP(-LN(2)/25))/(LN(2)/25)*Calculateur!BL163*Calculateur!BN163*VLOOKUP('Données projet'!$B$11,Paramètres!$A$1:$I$89,3,0)*0.475*44/12</f>
        <v>5.3628338377124614</v>
      </c>
      <c r="BR163" s="21">
        <f>EXP(-LN(2)/2)*BR162+(1-EXP(-LN(2)/2))/(LN(2)/2)*BL163*BO163*VLOOKUP('Données projet'!$B$11,Paramètres!$A$1:$I$89,3,0)*0.475*44/12</f>
        <v>4.8121110656743032E-13</v>
      </c>
      <c r="BS163" s="22">
        <f t="shared" si="169"/>
        <v>19.888163396250505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2.6602720026858149E-14</v>
      </c>
      <c r="CA163" s="13">
        <f t="shared" si="170"/>
        <v>4.6624771586320878E-13</v>
      </c>
      <c r="CB163" s="20">
        <f t="shared" si="171"/>
        <v>8.583811758418665E-13</v>
      </c>
      <c r="CC163" s="59">
        <f t="shared" si="119"/>
        <v>293.33333333333417</v>
      </c>
      <c r="CD163" s="59">
        <f ca="1">AVERAGE(OFFSET($CC$3,0,0,'Données projet'!$E$12+1,1))-AVERAGE(OFFSET($H$3,0,0,'Données projet'!$E$12+1,1))</f>
        <v>111.69585394603672</v>
      </c>
      <c r="CE163" s="59">
        <f t="shared" si="148"/>
        <v>162.6701214629764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8.0184233624723689</v>
      </c>
      <c r="CL163" s="21">
        <f>EXP(-LN(2)/25)*CL162+(1-EXP(-LN(2)/25))/(LN(2)/25)*Calculateur!CG163*Calculateur!CI163*VLOOKUP('Données projet'!$B$12,Paramètres!$A$1:$I$89,3,0)*0.475*44/12</f>
        <v>2.9965483187944839</v>
      </c>
      <c r="CM163" s="21">
        <f>EXP(-LN(2)/2)*CM162+(1-EXP(-LN(2)/2))/(LN(2)/2)*CG163*CJ163*VLOOKUP('Données projet'!$B$12,Paramètres!$A$1:$I$89,3,0)*0.475*44/12</f>
        <v>2.8553864038127043E-14</v>
      </c>
      <c r="CN163" s="22">
        <f t="shared" si="172"/>
        <v>11.014971681266882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-5.1431925385259088E-14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320.93171542656671</v>
      </c>
      <c r="T164" s="59">
        <f t="shared" si="142"/>
        <v>452.7298965816143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4.2854368698997476</v>
      </c>
      <c r="AA164" s="21">
        <f>EXP(-LN(2)/25)*AA163+(1-EXP(-LN(2)/25))/(LN(2)/25)*Calculateur!V164*Calculateur!X164*VLOOKUP('Données projet'!$B$9,Paramètres!$A$1:$I$89,3,0)*0.475*44/12</f>
        <v>0.86123936153646119</v>
      </c>
      <c r="AB164" s="21">
        <f>EXP(-LN(2)/2)*AB163+(1-EXP(-LN(2)/2))/(LN(2)/2)*V164*Y164*VLOOKUP('Données projet'!$B$9,Paramètres!$A$1:$I$89,3,0)*0.475*44/12</f>
        <v>1.8576828826158032E-16</v>
      </c>
      <c r="AC164" s="22">
        <f t="shared" si="163"/>
        <v>5.1466762314362091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2.8421709430404007E-14</v>
      </c>
      <c r="AJ164" s="13">
        <f>AI164*VLOOKUP('Données projet'!$B$10,Paramètres!$A$1:$I$89,3,0)*VLOOKUP('Données projet'!$B$10,Paramètres!$A$1:$I$89,5,0)</f>
        <v>2.4829205358400945E-14</v>
      </c>
      <c r="AK164" s="13">
        <f t="shared" si="164"/>
        <v>4.3867331143352915E-13</v>
      </c>
      <c r="AL164" s="20">
        <f t="shared" si="165"/>
        <v>8.0726688341261168E-13</v>
      </c>
      <c r="AM164" s="59">
        <f t="shared" si="113"/>
        <v>293.33333333333411</v>
      </c>
      <c r="AN164" s="59">
        <f ca="1">AVERAGE(OFFSET($AM$3,0,0,'Données projet'!$E$10+1,1))-AVERAGE(OFFSET($H$3,0,0,'Données projet'!$E$10+1,1))</f>
        <v>201.61452816909701</v>
      </c>
      <c r="AO164" s="59">
        <f t="shared" si="144"/>
        <v>287.77679930887746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7.1975431264522536</v>
      </c>
      <c r="AV164" s="21">
        <f>EXP(-LN(2)/25)*AV163+(1-EXP(-LN(2)/25))/(LN(2)/25)*Calculateur!AQ164*Calculateur!AS164*VLOOKUP('Données projet'!$B$10,Paramètres!$A$1:$I$89,3,0)*0.475*44/12</f>
        <v>2.5969856226595249</v>
      </c>
      <c r="AW164" s="21">
        <f>EXP(-LN(2)/2)*AW163+(1-EXP(-LN(2)/2))/(LN(2)/2)*AQ164*AT164*VLOOKUP('Données projet'!$B$10,Paramètres!$A$1:$I$89,3,0)*0.475*44/12</f>
        <v>2.3393143202202216E-14</v>
      </c>
      <c r="AX164" s="21">
        <f t="shared" si="166"/>
        <v>9.7945287491118016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-3.3992364478763198E-14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225.63994281336028</v>
      </c>
      <c r="BJ164" s="59">
        <f t="shared" si="146"/>
        <v>231.19476400361157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14.240496705470862</v>
      </c>
      <c r="BQ164" s="21">
        <f>EXP(-LN(2)/25)*BQ163+(1-EXP(-LN(2)/25))/(LN(2)/25)*Calculateur!BL164*Calculateur!BN164*VLOOKUP('Données projet'!$B$11,Paramètres!$A$1:$I$89,3,0)*0.475*44/12</f>
        <v>5.2161868644010392</v>
      </c>
      <c r="BR164" s="21">
        <f>EXP(-LN(2)/2)*BR163+(1-EXP(-LN(2)/2))/(LN(2)/2)*BL164*BO164*VLOOKUP('Données projet'!$B$11,Paramètres!$A$1:$I$89,3,0)*0.475*44/12</f>
        <v>3.4026763663611236E-13</v>
      </c>
      <c r="BS164" s="22">
        <f t="shared" si="169"/>
        <v>19.456683569872244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2.6602720026858149E-14</v>
      </c>
      <c r="CA164" s="13">
        <f t="shared" si="170"/>
        <v>4.6624771586320878E-13</v>
      </c>
      <c r="CB164" s="20">
        <f t="shared" si="171"/>
        <v>8.583811758418665E-13</v>
      </c>
      <c r="CC164" s="59">
        <f t="shared" si="119"/>
        <v>293.33333333333417</v>
      </c>
      <c r="CD164" s="59">
        <f ca="1">AVERAGE(OFFSET($CC$3,0,0,'Données projet'!$E$12+1,1))-AVERAGE(OFFSET($H$3,0,0,'Données projet'!$E$12+1,1))</f>
        <v>111.69585394603672</v>
      </c>
      <c r="CE164" s="59">
        <f t="shared" si="148"/>
        <v>162.6701214629764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7.8611869710896149</v>
      </c>
      <c r="CL164" s="21">
        <f>EXP(-LN(2)/25)*CL163+(1-EXP(-LN(2)/25))/(LN(2)/25)*Calculateur!CG164*Calculateur!CI164*VLOOKUP('Données projet'!$B$12,Paramètres!$A$1:$I$89,3,0)*0.475*44/12</f>
        <v>2.9146075474354212</v>
      </c>
      <c r="CM164" s="21">
        <f>EXP(-LN(2)/2)*CM163+(1-EXP(-LN(2)/2))/(LN(2)/2)*CG164*CJ164*VLOOKUP('Données projet'!$B$12,Paramètres!$A$1:$I$89,3,0)*0.475*44/12</f>
        <v>2.0190630890438328E-14</v>
      </c>
      <c r="CN164" s="22">
        <f t="shared" si="172"/>
        <v>10.775794518525055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-5.1431925385259088E-14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320.93171542656671</v>
      </c>
      <c r="T165" s="59">
        <f t="shared" si="142"/>
        <v>452.7298965816143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4.2014020667394067</v>
      </c>
      <c r="AA165" s="21">
        <f>EXP(-LN(2)/25)*AA164+(1-EXP(-LN(2)/25))/(LN(2)/25)*Calculateur!V165*Calculateur!X165*VLOOKUP('Données projet'!$B$9,Paramètres!$A$1:$I$89,3,0)*0.475*44/12</f>
        <v>0.83768872590463705</v>
      </c>
      <c r="AB165" s="21">
        <f>EXP(-LN(2)/2)*AB164+(1-EXP(-LN(2)/2))/(LN(2)/2)*V165*Y165*VLOOKUP('Données projet'!$B$9,Paramètres!$A$1:$I$89,3,0)*0.475*44/12</f>
        <v>1.3135801635918076E-16</v>
      </c>
      <c r="AC165" s="22">
        <f t="shared" si="163"/>
        <v>5.0390907926440436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2.8421709430404007E-14</v>
      </c>
      <c r="AJ165" s="13">
        <f>AI165*VLOOKUP('Données projet'!$B$10,Paramètres!$A$1:$I$89,3,0)*VLOOKUP('Données projet'!$B$10,Paramètres!$A$1:$I$89,5,0)</f>
        <v>2.4829205358400945E-14</v>
      </c>
      <c r="AK165" s="13">
        <f t="shared" si="164"/>
        <v>4.3867331143352915E-13</v>
      </c>
      <c r="AL165" s="20">
        <f t="shared" si="165"/>
        <v>8.0726688341261168E-13</v>
      </c>
      <c r="AM165" s="59">
        <f t="shared" si="113"/>
        <v>293.33333333333411</v>
      </c>
      <c r="AN165" s="59">
        <f ca="1">AVERAGE(OFFSET($AM$3,0,0,'Données projet'!$E$10+1,1))-AVERAGE(OFFSET($H$3,0,0,'Données projet'!$E$10+1,1))</f>
        <v>201.61452816909701</v>
      </c>
      <c r="AO165" s="59">
        <f t="shared" si="144"/>
        <v>287.77679930887746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7.0564036958103484</v>
      </c>
      <c r="AV165" s="21">
        <f>EXP(-LN(2)/25)*AV164+(1-EXP(-LN(2)/25))/(LN(2)/25)*Calculateur!AQ165*Calculateur!AS165*VLOOKUP('Données projet'!$B$10,Paramètres!$A$1:$I$89,3,0)*0.475*44/12</f>
        <v>2.525970914238362</v>
      </c>
      <c r="AW165" s="21">
        <f>EXP(-LN(2)/2)*AW164+(1-EXP(-LN(2)/2))/(LN(2)/2)*AQ165*AT165*VLOOKUP('Données projet'!$B$10,Paramètres!$A$1:$I$89,3,0)*0.475*44/12</f>
        <v>1.6541450191545174E-14</v>
      </c>
      <c r="AX165" s="21">
        <f t="shared" si="166"/>
        <v>9.5823746100487259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-3.3992364478763198E-14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225.63994281336028</v>
      </c>
      <c r="BJ165" s="59">
        <f t="shared" si="146"/>
        <v>231.19476400361157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13.961249250921913</v>
      </c>
      <c r="BQ165" s="21">
        <f>EXP(-LN(2)/25)*BQ164+(1-EXP(-LN(2)/25))/(LN(2)/25)*Calculateur!BL165*Calculateur!BN165*VLOOKUP('Données projet'!$B$11,Paramètres!$A$1:$I$89,3,0)*0.475*44/12</f>
        <v>5.0735499602866474</v>
      </c>
      <c r="BR165" s="21">
        <f>EXP(-LN(2)/2)*BR164+(1-EXP(-LN(2)/2))/(LN(2)/2)*BL165*BO165*VLOOKUP('Données projet'!$B$11,Paramètres!$A$1:$I$89,3,0)*0.475*44/12</f>
        <v>2.4060555328371516E-13</v>
      </c>
      <c r="BS165" s="22">
        <f t="shared" si="169"/>
        <v>19.034799211208803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2.6602720026858149E-14</v>
      </c>
      <c r="CA165" s="13">
        <f t="shared" si="170"/>
        <v>4.6624771586320878E-13</v>
      </c>
      <c r="CB165" s="20">
        <f t="shared" si="171"/>
        <v>8.583811758418665E-13</v>
      </c>
      <c r="CC165" s="59">
        <f t="shared" si="119"/>
        <v>293.33333333333417</v>
      </c>
      <c r="CD165" s="59">
        <f ca="1">AVERAGE(OFFSET($CC$3,0,0,'Données projet'!$E$12+1,1))-AVERAGE(OFFSET($H$3,0,0,'Données projet'!$E$12+1,1))</f>
        <v>111.69585394603672</v>
      </c>
      <c r="CE165" s="59">
        <f t="shared" si="148"/>
        <v>162.6701214629764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7.707033889437148</v>
      </c>
      <c r="CL165" s="21">
        <f>EXP(-LN(2)/25)*CL164+(1-EXP(-LN(2)/25))/(LN(2)/25)*Calculateur!CG165*Calculateur!CI165*VLOOKUP('Données projet'!$B$12,Paramètres!$A$1:$I$89,3,0)*0.475*44/12</f>
        <v>2.8349074507782501</v>
      </c>
      <c r="CM165" s="21">
        <f>EXP(-LN(2)/2)*CM164+(1-EXP(-LN(2)/2))/(LN(2)/2)*CG165*CJ165*VLOOKUP('Données projet'!$B$12,Paramètres!$A$1:$I$89,3,0)*0.475*44/12</f>
        <v>1.4276932019063521E-14</v>
      </c>
      <c r="CN165" s="22">
        <f t="shared" si="172"/>
        <v>10.541941340215413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-5.1431925385259088E-14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320.93171542656671</v>
      </c>
      <c r="T166" s="59">
        <f t="shared" si="142"/>
        <v>452.7298965816143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4.1190151348128721</v>
      </c>
      <c r="AA166" s="21">
        <f>EXP(-LN(2)/25)*AA165+(1-EXP(-LN(2)/25))/(LN(2)/25)*Calculateur!V166*Calculateur!X166*VLOOKUP('Données projet'!$B$9,Paramètres!$A$1:$I$89,3,0)*0.475*44/12</f>
        <v>0.81478208364263927</v>
      </c>
      <c r="AB166" s="21">
        <f>EXP(-LN(2)/2)*AB165+(1-EXP(-LN(2)/2))/(LN(2)/2)*V166*Y166*VLOOKUP('Données projet'!$B$9,Paramètres!$A$1:$I$89,3,0)*0.475*44/12</f>
        <v>9.2884144130790159E-17</v>
      </c>
      <c r="AC166" s="22">
        <f t="shared" si="163"/>
        <v>4.9337972184555117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2.8421709430404007E-14</v>
      </c>
      <c r="AJ166" s="13">
        <f>AI166*VLOOKUP('Données projet'!$B$10,Paramètres!$A$1:$I$89,3,0)*VLOOKUP('Données projet'!$B$10,Paramètres!$A$1:$I$89,5,0)</f>
        <v>2.4829205358400945E-14</v>
      </c>
      <c r="AK166" s="13">
        <f t="shared" si="164"/>
        <v>4.3867331143352915E-13</v>
      </c>
      <c r="AL166" s="20">
        <f t="shared" si="165"/>
        <v>8.0726688341261168E-13</v>
      </c>
      <c r="AM166" s="59">
        <f t="shared" si="113"/>
        <v>293.33333333333411</v>
      </c>
      <c r="AN166" s="59">
        <f ca="1">AVERAGE(OFFSET($AM$3,0,0,'Données projet'!$E$10+1,1))-AVERAGE(OFFSET($H$3,0,0,'Données projet'!$E$10+1,1))</f>
        <v>201.61452816909701</v>
      </c>
      <c r="AO166" s="59">
        <f t="shared" si="144"/>
        <v>287.77679930887746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6.9180319233167795</v>
      </c>
      <c r="AV166" s="21">
        <f>EXP(-LN(2)/25)*AV165+(1-EXP(-LN(2)/25))/(LN(2)/25)*Calculateur!AQ166*Calculateur!AS166*VLOOKUP('Données projet'!$B$10,Paramètres!$A$1:$I$89,3,0)*0.475*44/12</f>
        <v>2.4568981067534765</v>
      </c>
      <c r="AW166" s="21">
        <f>EXP(-LN(2)/2)*AW165+(1-EXP(-LN(2)/2))/(LN(2)/2)*AQ166*AT166*VLOOKUP('Données projet'!$B$10,Paramètres!$A$1:$I$89,3,0)*0.475*44/12</f>
        <v>1.1696571601101108E-14</v>
      </c>
      <c r="AX166" s="21">
        <f t="shared" si="166"/>
        <v>9.3749300300702689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-3.3992364478763198E-14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225.63994281336028</v>
      </c>
      <c r="BJ166" s="59">
        <f t="shared" si="146"/>
        <v>231.19476400361157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13.687477668632539</v>
      </c>
      <c r="BQ166" s="21">
        <f>EXP(-LN(2)/25)*BQ165+(1-EXP(-LN(2)/25))/(LN(2)/25)*Calculateur!BL166*Calculateur!BN166*VLOOKUP('Données projet'!$B$11,Paramètres!$A$1:$I$89,3,0)*0.475*44/12</f>
        <v>4.9348134698162127</v>
      </c>
      <c r="BR166" s="21">
        <f>EXP(-LN(2)/2)*BR165+(1-EXP(-LN(2)/2))/(LN(2)/2)*BL166*BO166*VLOOKUP('Données projet'!$B$11,Paramètres!$A$1:$I$89,3,0)*0.475*44/12</f>
        <v>1.7013381831805618E-13</v>
      </c>
      <c r="BS166" s="22">
        <f t="shared" si="169"/>
        <v>18.622291138448922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2.6602720026858149E-14</v>
      </c>
      <c r="CA166" s="13">
        <f t="shared" si="170"/>
        <v>4.6624771586320878E-13</v>
      </c>
      <c r="CB166" s="20">
        <f t="shared" si="171"/>
        <v>8.583811758418665E-13</v>
      </c>
      <c r="CC166" s="59">
        <f t="shared" si="119"/>
        <v>293.33333333333417</v>
      </c>
      <c r="CD166" s="59">
        <f ca="1">AVERAGE(OFFSET($CC$3,0,0,'Données projet'!$E$12+1,1))-AVERAGE(OFFSET($H$3,0,0,'Données projet'!$E$12+1,1))</f>
        <v>111.69585394603672</v>
      </c>
      <c r="CE166" s="59">
        <f t="shared" si="148"/>
        <v>162.6701214629764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7.5559036556917896</v>
      </c>
      <c r="CL166" s="21">
        <f>EXP(-LN(2)/25)*CL165+(1-EXP(-LN(2)/25))/(LN(2)/25)*Calculateur!CG166*Calculateur!CI166*VLOOKUP('Données projet'!$B$12,Paramètres!$A$1:$I$89,3,0)*0.475*44/12</f>
        <v>2.7573867574554152</v>
      </c>
      <c r="CM166" s="21">
        <f>EXP(-LN(2)/2)*CM165+(1-EXP(-LN(2)/2))/(LN(2)/2)*CG166*CJ166*VLOOKUP('Données projet'!$B$12,Paramètres!$A$1:$I$89,3,0)*0.475*44/12</f>
        <v>1.0095315445219164E-14</v>
      </c>
      <c r="CN166" s="22">
        <f t="shared" si="172"/>
        <v>10.313290413147215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-5.1431925385259088E-14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320.93171542656671</v>
      </c>
      <c r="T167" s="59">
        <f t="shared" si="142"/>
        <v>452.7298965816143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4.0382437603703494</v>
      </c>
      <c r="AA167" s="21">
        <f>EXP(-LN(2)/25)*AA166+(1-EXP(-LN(2)/25))/(LN(2)/25)*Calculateur!V167*Calculateur!X167*VLOOKUP('Données projet'!$B$9,Paramètres!$A$1:$I$89,3,0)*0.475*44/12</f>
        <v>0.79250182471790376</v>
      </c>
      <c r="AB167" s="21">
        <f>EXP(-LN(2)/2)*AB166+(1-EXP(-LN(2)/2))/(LN(2)/2)*V167*Y167*VLOOKUP('Données projet'!$B$9,Paramètres!$A$1:$I$89,3,0)*0.475*44/12</f>
        <v>6.5679008179590378E-17</v>
      </c>
      <c r="AC167" s="22">
        <f t="shared" si="163"/>
        <v>4.8307455850882528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2.8421709430404007E-14</v>
      </c>
      <c r="AJ167" s="13">
        <f>AI167*VLOOKUP('Données projet'!$B$10,Paramètres!$A$1:$I$89,3,0)*VLOOKUP('Données projet'!$B$10,Paramètres!$A$1:$I$89,5,0)</f>
        <v>2.4829205358400945E-14</v>
      </c>
      <c r="AK167" s="13">
        <f t="shared" si="164"/>
        <v>4.3867331143352915E-13</v>
      </c>
      <c r="AL167" s="20">
        <f t="shared" si="165"/>
        <v>8.0726688341261168E-13</v>
      </c>
      <c r="AM167" s="59">
        <f t="shared" si="113"/>
        <v>293.33333333333411</v>
      </c>
      <c r="AN167" s="59">
        <f ca="1">AVERAGE(OFFSET($AM$3,0,0,'Données projet'!$E$10+1,1))-AVERAGE(OFFSET($H$3,0,0,'Données projet'!$E$10+1,1))</f>
        <v>201.61452816909701</v>
      </c>
      <c r="AO167" s="59">
        <f t="shared" si="144"/>
        <v>287.77679930887746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6.7823735368833615</v>
      </c>
      <c r="AV167" s="21">
        <f>EXP(-LN(2)/25)*AV166+(1-EXP(-LN(2)/25))/(LN(2)/25)*Calculateur!AQ167*Calculateur!AS167*VLOOKUP('Données projet'!$B$10,Paramètres!$A$1:$I$89,3,0)*0.475*44/12</f>
        <v>2.3897140988216465</v>
      </c>
      <c r="AW167" s="21">
        <f>EXP(-LN(2)/2)*AW166+(1-EXP(-LN(2)/2))/(LN(2)/2)*AQ167*AT167*VLOOKUP('Données projet'!$B$10,Paramètres!$A$1:$I$89,3,0)*0.475*44/12</f>
        <v>8.270725095772587E-15</v>
      </c>
      <c r="AX167" s="21">
        <f t="shared" si="166"/>
        <v>9.172087635705017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-3.3992364478763198E-14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225.63994281336028</v>
      </c>
      <c r="BJ167" s="59">
        <f t="shared" si="146"/>
        <v>231.19476400361157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13.419074580087683</v>
      </c>
      <c r="BQ167" s="21">
        <f>EXP(-LN(2)/25)*BQ166+(1-EXP(-LN(2)/25))/(LN(2)/25)*Calculateur!BL167*Calculateur!BN167*VLOOKUP('Données projet'!$B$11,Paramètres!$A$1:$I$89,3,0)*0.475*44/12</f>
        <v>4.7998707359735269</v>
      </c>
      <c r="BR167" s="21">
        <f>EXP(-LN(2)/2)*BR166+(1-EXP(-LN(2)/2))/(LN(2)/2)*BL167*BO167*VLOOKUP('Données projet'!$B$11,Paramètres!$A$1:$I$89,3,0)*0.475*44/12</f>
        <v>1.2030277664185758E-13</v>
      </c>
      <c r="BS167" s="22">
        <f t="shared" si="169"/>
        <v>18.21894531606133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2.6602720026858149E-14</v>
      </c>
      <c r="CA167" s="13">
        <f t="shared" si="170"/>
        <v>4.6624771586320878E-13</v>
      </c>
      <c r="CB167" s="20">
        <f t="shared" si="171"/>
        <v>8.583811758418665E-13</v>
      </c>
      <c r="CC167" s="59">
        <f t="shared" si="119"/>
        <v>293.33333333333417</v>
      </c>
      <c r="CD167" s="59">
        <f ca="1">AVERAGE(OFFSET($CC$3,0,0,'Données projet'!$E$12+1,1))-AVERAGE(OFFSET($H$3,0,0,'Données projet'!$E$12+1,1))</f>
        <v>111.69585394603672</v>
      </c>
      <c r="CE167" s="59">
        <f t="shared" si="148"/>
        <v>162.6701214629764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7.4077369936498378</v>
      </c>
      <c r="CL167" s="21">
        <f>EXP(-LN(2)/25)*CL166+(1-EXP(-LN(2)/25))/(LN(2)/25)*Calculateur!CG167*Calculateur!CI167*VLOOKUP('Données projet'!$B$12,Paramètres!$A$1:$I$89,3,0)*0.475*44/12</f>
        <v>2.6819858715681293</v>
      </c>
      <c r="CM167" s="21">
        <f>EXP(-LN(2)/2)*CM166+(1-EXP(-LN(2)/2))/(LN(2)/2)*CG167*CJ167*VLOOKUP('Données projet'!$B$12,Paramètres!$A$1:$I$89,3,0)*0.475*44/12</f>
        <v>7.1384660095317607E-15</v>
      </c>
      <c r="CN167" s="22">
        <f t="shared" si="172"/>
        <v>10.089722865217974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-5.1431925385259088E-14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320.93171542656671</v>
      </c>
      <c r="T168" s="59">
        <f t="shared" si="142"/>
        <v>452.7298965816143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3.9590562633149711</v>
      </c>
      <c r="AA168" s="21">
        <f>EXP(-LN(2)/25)*AA167+(1-EXP(-LN(2)/25))/(LN(2)/25)*Calculateur!V168*Calculateur!X168*VLOOKUP('Données projet'!$B$9,Paramètres!$A$1:$I$89,3,0)*0.475*44/12</f>
        <v>0.77083082064513297</v>
      </c>
      <c r="AB168" s="21">
        <f>EXP(-LN(2)/2)*AB167+(1-EXP(-LN(2)/2))/(LN(2)/2)*V168*Y168*VLOOKUP('Données projet'!$B$9,Paramètres!$A$1:$I$89,3,0)*0.475*44/12</f>
        <v>4.6442072065395079E-17</v>
      </c>
      <c r="AC168" s="22">
        <f t="shared" si="163"/>
        <v>4.7298870839601044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2.8421709430404007E-14</v>
      </c>
      <c r="AJ168" s="13">
        <f>AI168*VLOOKUP('Données projet'!$B$10,Paramètres!$A$1:$I$89,3,0)*VLOOKUP('Données projet'!$B$10,Paramètres!$A$1:$I$89,5,0)</f>
        <v>2.4829205358400945E-14</v>
      </c>
      <c r="AK168" s="13">
        <f t="shared" si="164"/>
        <v>4.3867331143352915E-13</v>
      </c>
      <c r="AL168" s="20">
        <f t="shared" si="165"/>
        <v>8.0726688341261168E-13</v>
      </c>
      <c r="AM168" s="59">
        <f t="shared" si="113"/>
        <v>293.33333333333411</v>
      </c>
      <c r="AN168" s="59">
        <f ca="1">AVERAGE(OFFSET($AM$3,0,0,'Données projet'!$E$10+1,1))-AVERAGE(OFFSET($H$3,0,0,'Données projet'!$E$10+1,1))</f>
        <v>201.61452816909701</v>
      </c>
      <c r="AO168" s="59">
        <f t="shared" si="144"/>
        <v>287.77679930887746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6.6493753286644575</v>
      </c>
      <c r="AV168" s="21">
        <f>EXP(-LN(2)/25)*AV167+(1-EXP(-LN(2)/25))/(LN(2)/25)*Calculateur!AQ168*Calculateur!AS168*VLOOKUP('Données projet'!$B$10,Paramètres!$A$1:$I$89,3,0)*0.475*44/12</f>
        <v>2.324367241119766</v>
      </c>
      <c r="AW168" s="21">
        <f>EXP(-LN(2)/2)*AW167+(1-EXP(-LN(2)/2))/(LN(2)/2)*AQ168*AT168*VLOOKUP('Données projet'!$B$10,Paramètres!$A$1:$I$89,3,0)*0.475*44/12</f>
        <v>5.8482858005505541E-15</v>
      </c>
      <c r="AX168" s="21">
        <f t="shared" si="166"/>
        <v>8.9737425697842284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-3.3992364478763198E-14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225.63994281336028</v>
      </c>
      <c r="BJ168" s="59">
        <f t="shared" si="146"/>
        <v>231.19476400361157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13.155934712399473</v>
      </c>
      <c r="BQ168" s="21">
        <f>EXP(-LN(2)/25)*BQ167+(1-EXP(-LN(2)/25))/(LN(2)/25)*Calculateur!BL168*Calculateur!BN168*VLOOKUP('Données projet'!$B$11,Paramètres!$A$1:$I$89,3,0)*0.475*44/12</f>
        <v>4.6686180182840991</v>
      </c>
      <c r="BR168" s="21">
        <f>EXP(-LN(2)/2)*BR167+(1-EXP(-LN(2)/2))/(LN(2)/2)*BL168*BO168*VLOOKUP('Données projet'!$B$11,Paramètres!$A$1:$I$89,3,0)*0.475*44/12</f>
        <v>8.506690915902809E-14</v>
      </c>
      <c r="BS168" s="22">
        <f t="shared" si="169"/>
        <v>17.824552730683656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2.6602720026858149E-14</v>
      </c>
      <c r="CA168" s="13">
        <f t="shared" si="170"/>
        <v>4.6624771586320878E-13</v>
      </c>
      <c r="CB168" s="20">
        <f t="shared" si="171"/>
        <v>8.583811758418665E-13</v>
      </c>
      <c r="CC168" s="59">
        <f t="shared" si="119"/>
        <v>293.33333333333417</v>
      </c>
      <c r="CD168" s="59">
        <f ca="1">AVERAGE(OFFSET($CC$3,0,0,'Données projet'!$E$12+1,1))-AVERAGE(OFFSET($H$3,0,0,'Données projet'!$E$12+1,1))</f>
        <v>111.69585394603672</v>
      </c>
      <c r="CE168" s="59">
        <f t="shared" si="148"/>
        <v>162.6701214629764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7.2624757894777883</v>
      </c>
      <c r="CL168" s="21">
        <f>EXP(-LN(2)/25)*CL167+(1-EXP(-LN(2)/25))/(LN(2)/25)*Calculateur!CG168*Calculateur!CI168*VLOOKUP('Données projet'!$B$12,Paramètres!$A$1:$I$89,3,0)*0.475*44/12</f>
        <v>2.6086468268705914</v>
      </c>
      <c r="CM168" s="21">
        <f>EXP(-LN(2)/2)*CM167+(1-EXP(-LN(2)/2))/(LN(2)/2)*CG168*CJ168*VLOOKUP('Données projet'!$B$12,Paramètres!$A$1:$I$89,3,0)*0.475*44/12</f>
        <v>5.0476577226095819E-15</v>
      </c>
      <c r="CN168" s="22">
        <f t="shared" si="172"/>
        <v>9.8711226163483854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-5.1431925385259088E-14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320.93171542656671</v>
      </c>
      <c r="T169" s="59">
        <f t="shared" si="142"/>
        <v>452.7298965816143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3.8814215847772449</v>
      </c>
      <c r="AA169" s="21">
        <f>EXP(-LN(2)/25)*AA168+(1-EXP(-LN(2)/25))/(LN(2)/25)*Calculateur!V169*Calculateur!X169*VLOOKUP('Données projet'!$B$9,Paramètres!$A$1:$I$89,3,0)*0.475*44/12</f>
        <v>0.74975241131836068</v>
      </c>
      <c r="AB169" s="21">
        <f>EXP(-LN(2)/2)*AB168+(1-EXP(-LN(2)/2))/(LN(2)/2)*V169*Y169*VLOOKUP('Données projet'!$B$9,Paramètres!$A$1:$I$89,3,0)*0.475*44/12</f>
        <v>3.2839504089795189E-17</v>
      </c>
      <c r="AC169" s="22">
        <f t="shared" si="163"/>
        <v>4.6311739960956055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2.8421709430404007E-14</v>
      </c>
      <c r="AJ169" s="13">
        <f>AI169*VLOOKUP('Données projet'!$B$10,Paramètres!$A$1:$I$89,3,0)*VLOOKUP('Données projet'!$B$10,Paramètres!$A$1:$I$89,5,0)</f>
        <v>2.4829205358400945E-14</v>
      </c>
      <c r="AK169" s="13">
        <f t="shared" si="164"/>
        <v>4.3867331143352915E-13</v>
      </c>
      <c r="AL169" s="20">
        <f t="shared" si="165"/>
        <v>8.0726688341261168E-13</v>
      </c>
      <c r="AM169" s="59">
        <f t="shared" si="113"/>
        <v>293.33333333333411</v>
      </c>
      <c r="AN169" s="59">
        <f ca="1">AVERAGE(OFFSET($AM$3,0,0,'Données projet'!$E$10+1,1))-AVERAGE(OFFSET($H$3,0,0,'Données projet'!$E$10+1,1))</f>
        <v>201.61452816909701</v>
      </c>
      <c r="AO169" s="59">
        <f t="shared" si="144"/>
        <v>287.77679930887746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6.5189851341878287</v>
      </c>
      <c r="AV169" s="21">
        <f>EXP(-LN(2)/25)*AV168+(1-EXP(-LN(2)/25))/(LN(2)/25)*Calculateur!AQ169*Calculateur!AS169*VLOOKUP('Données projet'!$B$10,Paramètres!$A$1:$I$89,3,0)*0.475*44/12</f>
        <v>2.2608072966781854</v>
      </c>
      <c r="AW169" s="21">
        <f>EXP(-LN(2)/2)*AW168+(1-EXP(-LN(2)/2))/(LN(2)/2)*AQ169*AT169*VLOOKUP('Données projet'!$B$10,Paramètres!$A$1:$I$89,3,0)*0.475*44/12</f>
        <v>4.1353625478862935E-15</v>
      </c>
      <c r="AX169" s="21">
        <f t="shared" si="166"/>
        <v>8.7797924308660171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-3.3992364478763198E-14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225.63994281336028</v>
      </c>
      <c r="BJ169" s="59">
        <f t="shared" si="146"/>
        <v>231.19476400361157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12.897954857017158</v>
      </c>
      <c r="BQ169" s="21">
        <f>EXP(-LN(2)/25)*BQ168+(1-EXP(-LN(2)/25))/(LN(2)/25)*Calculateur!BL169*Calculateur!BN169*VLOOKUP('Données projet'!$B$11,Paramètres!$A$1:$I$89,3,0)*0.475*44/12</f>
        <v>4.5409544130621686</v>
      </c>
      <c r="BR169" s="21">
        <f>EXP(-LN(2)/2)*BR168+(1-EXP(-LN(2)/2))/(LN(2)/2)*BL169*BO169*VLOOKUP('Données projet'!$B$11,Paramètres!$A$1:$I$89,3,0)*0.475*44/12</f>
        <v>6.015138832092879E-14</v>
      </c>
      <c r="BS169" s="22">
        <f t="shared" si="169"/>
        <v>17.438909270079389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2.6602720026858149E-14</v>
      </c>
      <c r="CA169" s="13">
        <f t="shared" si="170"/>
        <v>4.6624771586320878E-13</v>
      </c>
      <c r="CB169" s="20">
        <f t="shared" si="171"/>
        <v>8.583811758418665E-13</v>
      </c>
      <c r="CC169" s="59">
        <f t="shared" si="119"/>
        <v>293.33333333333417</v>
      </c>
      <c r="CD169" s="59">
        <f ca="1">AVERAGE(OFFSET($CC$3,0,0,'Données projet'!$E$12+1,1))-AVERAGE(OFFSET($H$3,0,0,'Données projet'!$E$12+1,1))</f>
        <v>111.69585394603672</v>
      </c>
      <c r="CE169" s="59">
        <f t="shared" si="148"/>
        <v>162.6701214629764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7.1200630689189666</v>
      </c>
      <c r="CL169" s="21">
        <f>EXP(-LN(2)/25)*CL168+(1-EXP(-LN(2)/25))/(LN(2)/25)*Calculateur!CG169*Calculateur!CI169*VLOOKUP('Données projet'!$B$12,Paramètres!$A$1:$I$89,3,0)*0.475*44/12</f>
        <v>2.5373132422070404</v>
      </c>
      <c r="CM169" s="21">
        <f>EXP(-LN(2)/2)*CM168+(1-EXP(-LN(2)/2))/(LN(2)/2)*CG169*CJ169*VLOOKUP('Données projet'!$B$12,Paramètres!$A$1:$I$89,3,0)*0.475*44/12</f>
        <v>3.5692330047658804E-15</v>
      </c>
      <c r="CN169" s="22">
        <f t="shared" si="172"/>
        <v>9.6573763111260114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-5.1431925385259088E-14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320.93171542656671</v>
      </c>
      <c r="T170" s="59">
        <f t="shared" si="142"/>
        <v>452.7298965816143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3.805309274933165</v>
      </c>
      <c r="AA170" s="21">
        <f>EXP(-LN(2)/25)*AA169+(1-EXP(-LN(2)/25))/(LN(2)/25)*Calculateur!V170*Calculateur!X170*VLOOKUP('Données projet'!$B$9,Paramètres!$A$1:$I$89,3,0)*0.475*44/12</f>
        <v>0.7292503922030944</v>
      </c>
      <c r="AB170" s="21">
        <f>EXP(-LN(2)/2)*AB169+(1-EXP(-LN(2)/2))/(LN(2)/2)*V170*Y170*VLOOKUP('Données projet'!$B$9,Paramètres!$A$1:$I$89,3,0)*0.475*44/12</f>
        <v>2.322103603269754E-17</v>
      </c>
      <c r="AC170" s="22">
        <f t="shared" si="163"/>
        <v>4.5345596671362589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2.8421709430404007E-14</v>
      </c>
      <c r="AJ170" s="13">
        <f>AI170*VLOOKUP('Données projet'!$B$10,Paramètres!$A$1:$I$89,3,0)*VLOOKUP('Données projet'!$B$10,Paramètres!$A$1:$I$89,5,0)</f>
        <v>2.4829205358400945E-14</v>
      </c>
      <c r="AK170" s="13">
        <f t="shared" si="164"/>
        <v>4.3867331143352915E-13</v>
      </c>
      <c r="AL170" s="20">
        <f t="shared" si="165"/>
        <v>8.0726688341261168E-13</v>
      </c>
      <c r="AM170" s="59">
        <f t="shared" si="113"/>
        <v>293.33333333333411</v>
      </c>
      <c r="AN170" s="59">
        <f ca="1">AVERAGE(OFFSET($AM$3,0,0,'Données projet'!$E$10+1,1))-AVERAGE(OFFSET($H$3,0,0,'Données projet'!$E$10+1,1))</f>
        <v>201.61452816909701</v>
      </c>
      <c r="AO170" s="59">
        <f t="shared" si="144"/>
        <v>287.77679930887746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6.391151811894721</v>
      </c>
      <c r="AV170" s="21">
        <f>EXP(-LN(2)/25)*AV169+(1-EXP(-LN(2)/25))/(LN(2)/25)*Calculateur!AQ170*Calculateur!AS170*VLOOKUP('Données projet'!$B$10,Paramètres!$A$1:$I$89,3,0)*0.475*44/12</f>
        <v>2.1989854022598316</v>
      </c>
      <c r="AW170" s="21">
        <f>EXP(-LN(2)/2)*AW169+(1-EXP(-LN(2)/2))/(LN(2)/2)*AQ170*AT170*VLOOKUP('Données projet'!$B$10,Paramètres!$A$1:$I$89,3,0)*0.475*44/12</f>
        <v>2.924142900275277E-15</v>
      </c>
      <c r="AX170" s="21">
        <f t="shared" si="166"/>
        <v>8.5901372141545558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-3.3992364478763198E-14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225.63994281336028</v>
      </c>
      <c r="BJ170" s="59">
        <f t="shared" si="146"/>
        <v>231.19476400361157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12.645033829246715</v>
      </c>
      <c r="BQ170" s="21">
        <f>EXP(-LN(2)/25)*BQ169+(1-EXP(-LN(2)/25))/(LN(2)/25)*Calculateur!BL170*Calculateur!BN170*VLOOKUP('Données projet'!$B$11,Paramètres!$A$1:$I$89,3,0)*0.475*44/12</f>
        <v>4.4167817758385697</v>
      </c>
      <c r="BR170" s="21">
        <f>EXP(-LN(2)/2)*BR169+(1-EXP(-LN(2)/2))/(LN(2)/2)*BL170*BO170*VLOOKUP('Données projet'!$B$11,Paramètres!$A$1:$I$89,3,0)*0.475*44/12</f>
        <v>4.2533454579514045E-14</v>
      </c>
      <c r="BS170" s="22">
        <f t="shared" si="169"/>
        <v>17.061815605085329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2.6602720026858149E-14</v>
      </c>
      <c r="CA170" s="13">
        <f t="shared" si="170"/>
        <v>4.6624771586320878E-13</v>
      </c>
      <c r="CB170" s="20">
        <f t="shared" si="171"/>
        <v>8.583811758418665E-13</v>
      </c>
      <c r="CC170" s="59">
        <f t="shared" si="119"/>
        <v>293.33333333333417</v>
      </c>
      <c r="CD170" s="59">
        <f ca="1">AVERAGE(OFFSET($CC$3,0,0,'Données projet'!$E$12+1,1))-AVERAGE(OFFSET($H$3,0,0,'Données projet'!$E$12+1,1))</f>
        <v>111.69585394603672</v>
      </c>
      <c r="CE170" s="59">
        <f t="shared" si="148"/>
        <v>162.6701214629764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6.9804429749471204</v>
      </c>
      <c r="CL170" s="21">
        <f>EXP(-LN(2)/25)*CL169+(1-EXP(-LN(2)/25))/(LN(2)/25)*Calculateur!CG170*Calculateur!CI170*VLOOKUP('Données projet'!$B$12,Paramètres!$A$1:$I$89,3,0)*0.475*44/12</f>
        <v>2.4679302781673846</v>
      </c>
      <c r="CM170" s="21">
        <f>EXP(-LN(2)/2)*CM169+(1-EXP(-LN(2)/2))/(LN(2)/2)*CG170*CJ170*VLOOKUP('Données projet'!$B$12,Paramètres!$A$1:$I$89,3,0)*0.475*44/12</f>
        <v>2.523828861304791E-15</v>
      </c>
      <c r="CN170" s="22">
        <f t="shared" si="172"/>
        <v>9.4483732531145073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-5.1431925385259088E-14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320.93171542656671</v>
      </c>
      <c r="T171" s="59">
        <f t="shared" si="142"/>
        <v>452.7298965816143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3.7306894810612028</v>
      </c>
      <c r="AA171" s="21">
        <f>EXP(-LN(2)/25)*AA170+(1-EXP(-LN(2)/25))/(LN(2)/25)*Calculateur!V171*Calculateur!X171*VLOOKUP('Données projet'!$B$9,Paramètres!$A$1:$I$89,3,0)*0.475*44/12</f>
        <v>0.70930900187868939</v>
      </c>
      <c r="AB171" s="21">
        <f>EXP(-LN(2)/2)*AB170+(1-EXP(-LN(2)/2))/(LN(2)/2)*V171*Y171*VLOOKUP('Données projet'!$B$9,Paramètres!$A$1:$I$89,3,0)*0.475*44/12</f>
        <v>1.6419752044897595E-17</v>
      </c>
      <c r="AC171" s="22">
        <f t="shared" si="163"/>
        <v>4.4399984829398917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2.8421709430404007E-14</v>
      </c>
      <c r="AJ171" s="13">
        <f>AI171*VLOOKUP('Données projet'!$B$10,Paramètres!$A$1:$I$89,3,0)*VLOOKUP('Données projet'!$B$10,Paramètres!$A$1:$I$89,5,0)</f>
        <v>2.4829205358400945E-14</v>
      </c>
      <c r="AK171" s="13">
        <f t="shared" si="164"/>
        <v>4.3867331143352915E-13</v>
      </c>
      <c r="AL171" s="20">
        <f t="shared" si="165"/>
        <v>8.0726688341261168E-13</v>
      </c>
      <c r="AM171" s="59">
        <f t="shared" si="113"/>
        <v>293.33333333333411</v>
      </c>
      <c r="AN171" s="59">
        <f ca="1">AVERAGE(OFFSET($AM$3,0,0,'Données projet'!$E$10+1,1))-AVERAGE(OFFSET($H$3,0,0,'Données projet'!$E$10+1,1))</f>
        <v>201.61452816909701</v>
      </c>
      <c r="AO171" s="59">
        <f t="shared" si="144"/>
        <v>287.77679930887746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6.265825223081154</v>
      </c>
      <c r="AV171" s="21">
        <f>EXP(-LN(2)/25)*AV170+(1-EXP(-LN(2)/25))/(LN(2)/25)*Calculateur!AQ171*Calculateur!AS171*VLOOKUP('Données projet'!$B$10,Paramètres!$A$1:$I$89,3,0)*0.475*44/12</f>
        <v>2.1388540307954202</v>
      </c>
      <c r="AW171" s="21">
        <f>EXP(-LN(2)/2)*AW170+(1-EXP(-LN(2)/2))/(LN(2)/2)*AQ171*AT171*VLOOKUP('Données projet'!$B$10,Paramètres!$A$1:$I$89,3,0)*0.475*44/12</f>
        <v>2.0676812739431467E-15</v>
      </c>
      <c r="AX171" s="21">
        <f t="shared" si="166"/>
        <v>8.4046792538765764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-3.3992364478763198E-14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225.63994281336028</v>
      </c>
      <c r="BJ171" s="59">
        <f t="shared" si="146"/>
        <v>231.19476400361157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12.397072428564256</v>
      </c>
      <c r="BQ171" s="21">
        <f>EXP(-LN(2)/25)*BQ170+(1-EXP(-LN(2)/25))/(LN(2)/25)*Calculateur!BL171*Calculateur!BN171*VLOOKUP('Données projet'!$B$11,Paramètres!$A$1:$I$89,3,0)*0.475*44/12</f>
        <v>4.2960046459098047</v>
      </c>
      <c r="BR171" s="21">
        <f>EXP(-LN(2)/2)*BR170+(1-EXP(-LN(2)/2))/(LN(2)/2)*BL171*BO171*VLOOKUP('Données projet'!$B$11,Paramètres!$A$1:$I$89,3,0)*0.475*44/12</f>
        <v>3.0075694160464395E-14</v>
      </c>
      <c r="BS171" s="22">
        <f t="shared" si="169"/>
        <v>16.69307707447409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2.6602720026858149E-14</v>
      </c>
      <c r="CA171" s="13">
        <f t="shared" si="170"/>
        <v>4.6624771586320878E-13</v>
      </c>
      <c r="CB171" s="20">
        <f t="shared" si="171"/>
        <v>8.583811758418665E-13</v>
      </c>
      <c r="CC171" s="59">
        <f t="shared" si="119"/>
        <v>293.33333333333417</v>
      </c>
      <c r="CD171" s="59">
        <f ca="1">AVERAGE(OFFSET($CC$3,0,0,'Données projet'!$E$12+1,1))-AVERAGE(OFFSET($H$3,0,0,'Données projet'!$E$12+1,1))</f>
        <v>111.69585394603672</v>
      </c>
      <c r="CE171" s="59">
        <f t="shared" si="148"/>
        <v>162.6701214629764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6.8435607458582144</v>
      </c>
      <c r="CL171" s="21">
        <f>EXP(-LN(2)/25)*CL170+(1-EXP(-LN(2)/25))/(LN(2)/25)*Calculateur!CG171*Calculateur!CI171*VLOOKUP('Données projet'!$B$12,Paramètres!$A$1:$I$89,3,0)*0.475*44/12</f>
        <v>2.4004445949280848</v>
      </c>
      <c r="CM171" s="21">
        <f>EXP(-LN(2)/2)*CM170+(1-EXP(-LN(2)/2))/(LN(2)/2)*CG171*CJ171*VLOOKUP('Données projet'!$B$12,Paramètres!$A$1:$I$89,3,0)*0.475*44/12</f>
        <v>1.7846165023829402E-15</v>
      </c>
      <c r="CN171" s="22">
        <f t="shared" si="172"/>
        <v>9.2440053407863001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-5.1431925385259088E-14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320.93171542656671</v>
      </c>
      <c r="T172" s="59">
        <f t="shared" si="142"/>
        <v>452.7298965816143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3.6575329358334896</v>
      </c>
      <c r="AA172" s="21">
        <f>EXP(-LN(2)/25)*AA171+(1-EXP(-LN(2)/25))/(LN(2)/25)*Calculateur!V172*Calculateur!X172*VLOOKUP('Données projet'!$B$9,Paramètres!$A$1:$I$89,3,0)*0.475*44/12</f>
        <v>0.68991290992137733</v>
      </c>
      <c r="AB172" s="21">
        <f>EXP(-LN(2)/2)*AB171+(1-EXP(-LN(2)/2))/(LN(2)/2)*V172*Y172*VLOOKUP('Données projet'!$B$9,Paramètres!$A$1:$I$89,3,0)*0.475*44/12</f>
        <v>1.161051801634877E-17</v>
      </c>
      <c r="AC172" s="22">
        <f t="shared" si="163"/>
        <v>4.3474458457548666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2.8421709430404007E-14</v>
      </c>
      <c r="AJ172" s="13">
        <f>AI172*VLOOKUP('Données projet'!$B$10,Paramètres!$A$1:$I$89,3,0)*VLOOKUP('Données projet'!$B$10,Paramètres!$A$1:$I$89,5,0)</f>
        <v>2.4829205358400945E-14</v>
      </c>
      <c r="AK172" s="13">
        <f t="shared" si="164"/>
        <v>4.3867331143352915E-13</v>
      </c>
      <c r="AL172" s="20">
        <f t="shared" si="165"/>
        <v>8.0726688341261168E-13</v>
      </c>
      <c r="AM172" s="59">
        <f t="shared" si="113"/>
        <v>293.33333333333411</v>
      </c>
      <c r="AN172" s="59">
        <f ca="1">AVERAGE(OFFSET($AM$3,0,0,'Données projet'!$E$10+1,1))-AVERAGE(OFFSET($H$3,0,0,'Données projet'!$E$10+1,1))</f>
        <v>201.61452816909701</v>
      </c>
      <c r="AO172" s="59">
        <f t="shared" si="144"/>
        <v>287.77679930887746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6.1429562122325496</v>
      </c>
      <c r="AV172" s="21">
        <f>EXP(-LN(2)/25)*AV171+(1-EXP(-LN(2)/25))/(LN(2)/25)*Calculateur!AQ172*Calculateur!AS172*VLOOKUP('Données projet'!$B$10,Paramètres!$A$1:$I$89,3,0)*0.475*44/12</f>
        <v>2.0803669548458745</v>
      </c>
      <c r="AW172" s="21">
        <f>EXP(-LN(2)/2)*AW171+(1-EXP(-LN(2)/2))/(LN(2)/2)*AQ172*AT172*VLOOKUP('Données projet'!$B$10,Paramètres!$A$1:$I$89,3,0)*0.475*44/12</f>
        <v>1.4620714501376385E-15</v>
      </c>
      <c r="AX172" s="21">
        <f t="shared" si="166"/>
        <v>8.2233231670784264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-3.3992364478763198E-14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225.63994281336028</v>
      </c>
      <c r="BJ172" s="59">
        <f t="shared" si="146"/>
        <v>231.19476400361157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12.15397339970766</v>
      </c>
      <c r="BQ172" s="21">
        <f>EXP(-LN(2)/25)*BQ171+(1-EXP(-LN(2)/25))/(LN(2)/25)*Calculateur!BL172*Calculateur!BN172*VLOOKUP('Données projet'!$B$11,Paramètres!$A$1:$I$89,3,0)*0.475*44/12</f>
        <v>4.1785301729503352</v>
      </c>
      <c r="BR172" s="21">
        <f>EXP(-LN(2)/2)*BR171+(1-EXP(-LN(2)/2))/(LN(2)/2)*BL172*BO172*VLOOKUP('Données projet'!$B$11,Paramètres!$A$1:$I$89,3,0)*0.475*44/12</f>
        <v>2.1266727289757023E-14</v>
      </c>
      <c r="BS172" s="22">
        <f t="shared" si="169"/>
        <v>16.332503572658016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2.6602720026858149E-14</v>
      </c>
      <c r="CA172" s="13">
        <f t="shared" si="170"/>
        <v>4.6624771586320878E-13</v>
      </c>
      <c r="CB172" s="20">
        <f t="shared" si="171"/>
        <v>8.583811758418665E-13</v>
      </c>
      <c r="CC172" s="59">
        <f t="shared" si="119"/>
        <v>293.33333333333417</v>
      </c>
      <c r="CD172" s="59">
        <f ca="1">AVERAGE(OFFSET($CC$3,0,0,'Données projet'!$E$12+1,1))-AVERAGE(OFFSET($H$3,0,0,'Données projet'!$E$12+1,1))</f>
        <v>111.69585394603672</v>
      </c>
      <c r="CE172" s="59">
        <f t="shared" si="148"/>
        <v>162.6701214629764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6.7093626937918254</v>
      </c>
      <c r="CL172" s="21">
        <f>EXP(-LN(2)/25)*CL171+(1-EXP(-LN(2)/25))/(LN(2)/25)*Calculateur!CG172*Calculateur!CI172*VLOOKUP('Données projet'!$B$12,Paramètres!$A$1:$I$89,3,0)*0.475*44/12</f>
        <v>2.3348043112458812</v>
      </c>
      <c r="CM172" s="21">
        <f>EXP(-LN(2)/2)*CM171+(1-EXP(-LN(2)/2))/(LN(2)/2)*CG172*CJ172*VLOOKUP('Données projet'!$B$12,Paramètres!$A$1:$I$89,3,0)*0.475*44/12</f>
        <v>1.2619144306523955E-15</v>
      </c>
      <c r="CN172" s="22">
        <f t="shared" si="172"/>
        <v>9.0441670050377088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-5.1431925385259088E-14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320.93171542656671</v>
      </c>
      <c r="T173" s="59">
        <f t="shared" si="142"/>
        <v>452.7298965816143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3.585810945836605</v>
      </c>
      <c r="AA173" s="21">
        <f>EXP(-LN(2)/25)*AA172+(1-EXP(-LN(2)/25))/(LN(2)/25)*Calculateur!V173*Calculateur!X173*VLOOKUP('Données projet'!$B$9,Paramètres!$A$1:$I$89,3,0)*0.475*44/12</f>
        <v>0.67104720511863414</v>
      </c>
      <c r="AB173" s="21">
        <f>EXP(-LN(2)/2)*AB172+(1-EXP(-LN(2)/2))/(LN(2)/2)*V173*Y173*VLOOKUP('Données projet'!$B$9,Paramètres!$A$1:$I$89,3,0)*0.475*44/12</f>
        <v>8.2098760224487973E-18</v>
      </c>
      <c r="AC173" s="22">
        <f t="shared" si="163"/>
        <v>4.2568581509552388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2.8421709430404007E-14</v>
      </c>
      <c r="AJ173" s="13">
        <f>AI173*VLOOKUP('Données projet'!$B$10,Paramètres!$A$1:$I$89,3,0)*VLOOKUP('Données projet'!$B$10,Paramètres!$A$1:$I$89,5,0)</f>
        <v>2.4829205358400945E-14</v>
      </c>
      <c r="AK173" s="13">
        <f t="shared" si="164"/>
        <v>4.3867331143352915E-13</v>
      </c>
      <c r="AL173" s="20">
        <f t="shared" si="165"/>
        <v>8.0726688341261168E-13</v>
      </c>
      <c r="AM173" s="59">
        <f t="shared" si="113"/>
        <v>293.33333333333411</v>
      </c>
      <c r="AN173" s="59">
        <f ca="1">AVERAGE(OFFSET($AM$3,0,0,'Données projet'!$E$10+1,1))-AVERAGE(OFFSET($H$3,0,0,'Données projet'!$E$10+1,1))</f>
        <v>201.61452816909701</v>
      </c>
      <c r="AO173" s="59">
        <f t="shared" si="144"/>
        <v>287.77679930887746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6.0224965877439898</v>
      </c>
      <c r="AV173" s="21">
        <f>EXP(-LN(2)/25)*AV172+(1-EXP(-LN(2)/25))/(LN(2)/25)*Calculateur!AQ173*Calculateur!AS173*VLOOKUP('Données projet'!$B$10,Paramètres!$A$1:$I$89,3,0)*0.475*44/12</f>
        <v>2.0234792110638709</v>
      </c>
      <c r="AW173" s="21">
        <f>EXP(-LN(2)/2)*AW172+(1-EXP(-LN(2)/2))/(LN(2)/2)*AQ173*AT173*VLOOKUP('Données projet'!$B$10,Paramètres!$A$1:$I$89,3,0)*0.475*44/12</f>
        <v>1.0338406369715734E-15</v>
      </c>
      <c r="AX173" s="21">
        <f t="shared" si="166"/>
        <v>8.0459757988078628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-3.3992364478763198E-14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225.63994281336028</v>
      </c>
      <c r="BJ173" s="59">
        <f t="shared" si="146"/>
        <v>231.19476400361157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11.915641394531175</v>
      </c>
      <c r="BQ173" s="21">
        <f>EXP(-LN(2)/25)*BQ172+(1-EXP(-LN(2)/25))/(LN(2)/25)*Calculateur!BL173*Calculateur!BN173*VLOOKUP('Données projet'!$B$11,Paramètres!$A$1:$I$89,3,0)*0.475*44/12</f>
        <v>4.0642680456316569</v>
      </c>
      <c r="BR173" s="21">
        <f>EXP(-LN(2)/2)*BR172+(1-EXP(-LN(2)/2))/(LN(2)/2)*BL173*BO173*VLOOKUP('Données projet'!$B$11,Paramètres!$A$1:$I$89,3,0)*0.475*44/12</f>
        <v>1.5037847080232197E-14</v>
      </c>
      <c r="BS173" s="22">
        <f t="shared" si="169"/>
        <v>15.979909440162846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2.6602720026858149E-14</v>
      </c>
      <c r="CA173" s="13">
        <f t="shared" si="170"/>
        <v>4.6624771586320878E-13</v>
      </c>
      <c r="CB173" s="20">
        <f t="shared" si="171"/>
        <v>8.583811758418665E-13</v>
      </c>
      <c r="CC173" s="59">
        <f t="shared" si="119"/>
        <v>293.33333333333417</v>
      </c>
      <c r="CD173" s="59">
        <f ca="1">AVERAGE(OFFSET($CC$3,0,0,'Données projet'!$E$12+1,1))-AVERAGE(OFFSET($H$3,0,0,'Données projet'!$E$12+1,1))</f>
        <v>111.69585394603672</v>
      </c>
      <c r="CE173" s="59">
        <f t="shared" si="148"/>
        <v>162.6701214629764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6.5777961836737289</v>
      </c>
      <c r="CL173" s="21">
        <f>EXP(-LN(2)/25)*CL172+(1-EXP(-LN(2)/25))/(LN(2)/25)*Calculateur!CG173*Calculateur!CI173*VLOOKUP('Données projet'!$B$12,Paramètres!$A$1:$I$89,3,0)*0.475*44/12</f>
        <v>2.2709589645728401</v>
      </c>
      <c r="CM173" s="21">
        <f>EXP(-LN(2)/2)*CM172+(1-EXP(-LN(2)/2))/(LN(2)/2)*CG173*CJ173*VLOOKUP('Données projet'!$B$12,Paramètres!$A$1:$I$89,3,0)*0.475*44/12</f>
        <v>8.9230825119147009E-16</v>
      </c>
      <c r="CN173" s="22">
        <f t="shared" si="172"/>
        <v>8.8487551482465712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-5.1431925385259088E-14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320.93171542656671</v>
      </c>
      <c r="T174" s="59">
        <f t="shared" si="142"/>
        <v>452.7298965816143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3.5154953803174651</v>
      </c>
      <c r="AA174" s="21">
        <f>EXP(-LN(2)/25)*AA173+(1-EXP(-LN(2)/25))/(LN(2)/25)*Calculateur!V174*Calculateur!X174*VLOOKUP('Données projet'!$B$9,Paramètres!$A$1:$I$89,3,0)*0.475*44/12</f>
        <v>0.65269738400582622</v>
      </c>
      <c r="AB174" s="21">
        <f>EXP(-LN(2)/2)*AB173+(1-EXP(-LN(2)/2))/(LN(2)/2)*V174*Y174*VLOOKUP('Données projet'!$B$9,Paramètres!$A$1:$I$89,3,0)*0.475*44/12</f>
        <v>5.8052590081743849E-18</v>
      </c>
      <c r="AC174" s="22">
        <f t="shared" si="163"/>
        <v>4.1681927643232912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2.8421709430404007E-14</v>
      </c>
      <c r="AJ174" s="13">
        <f>AI174*VLOOKUP('Données projet'!$B$10,Paramètres!$A$1:$I$89,3,0)*VLOOKUP('Données projet'!$B$10,Paramètres!$A$1:$I$89,5,0)</f>
        <v>2.4829205358400945E-14</v>
      </c>
      <c r="AK174" s="13">
        <f t="shared" si="164"/>
        <v>4.3867331143352915E-13</v>
      </c>
      <c r="AL174" s="20">
        <f t="shared" si="165"/>
        <v>8.0726688341261168E-13</v>
      </c>
      <c r="AM174" s="59">
        <f t="shared" si="113"/>
        <v>293.33333333333411</v>
      </c>
      <c r="AN174" s="59">
        <f ca="1">AVERAGE(OFFSET($AM$3,0,0,'Données projet'!$E$10+1,1))-AVERAGE(OFFSET($H$3,0,0,'Données projet'!$E$10+1,1))</f>
        <v>201.61452816909701</v>
      </c>
      <c r="AO174" s="59">
        <f t="shared" si="144"/>
        <v>287.77679930887746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5.9043991030185348</v>
      </c>
      <c r="AV174" s="21">
        <f>EXP(-LN(2)/25)*AV173+(1-EXP(-LN(2)/25))/(LN(2)/25)*Calculateur!AQ174*Calculateur!AS174*VLOOKUP('Données projet'!$B$10,Paramètres!$A$1:$I$89,3,0)*0.475*44/12</f>
        <v>1.9681470656271822</v>
      </c>
      <c r="AW174" s="21">
        <f>EXP(-LN(2)/2)*AW173+(1-EXP(-LN(2)/2))/(LN(2)/2)*AQ174*AT174*VLOOKUP('Données projet'!$B$10,Paramètres!$A$1:$I$89,3,0)*0.475*44/12</f>
        <v>7.3103572506881926E-16</v>
      </c>
      <c r="AX174" s="21">
        <f t="shared" si="166"/>
        <v>7.8725461686457177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-3.3992364478763198E-14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225.63994281336028</v>
      </c>
      <c r="BJ174" s="59">
        <f t="shared" si="146"/>
        <v>231.19476400361157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11.681982934608031</v>
      </c>
      <c r="BQ174" s="21">
        <f>EXP(-LN(2)/25)*BQ173+(1-EXP(-LN(2)/25))/(LN(2)/25)*Calculateur!BL174*Calculateur!BN174*VLOOKUP('Données projet'!$B$11,Paramètres!$A$1:$I$89,3,0)*0.475*44/12</f>
        <v>3.9531304221932917</v>
      </c>
      <c r="BR174" s="21">
        <f>EXP(-LN(2)/2)*BR173+(1-EXP(-LN(2)/2))/(LN(2)/2)*BL174*BO174*VLOOKUP('Données projet'!$B$11,Paramètres!$A$1:$I$89,3,0)*0.475*44/12</f>
        <v>1.0633363644878511E-14</v>
      </c>
      <c r="BS174" s="22">
        <f t="shared" si="169"/>
        <v>15.635113356801334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2.6602720026858149E-14</v>
      </c>
      <c r="CA174" s="13">
        <f t="shared" si="170"/>
        <v>4.6624771586320878E-13</v>
      </c>
      <c r="CB174" s="20">
        <f t="shared" si="171"/>
        <v>8.583811758418665E-13</v>
      </c>
      <c r="CC174" s="59">
        <f t="shared" si="119"/>
        <v>293.33333333333417</v>
      </c>
      <c r="CD174" s="59">
        <f ca="1">AVERAGE(OFFSET($CC$3,0,0,'Données projet'!$E$12+1,1))-AVERAGE(OFFSET($H$3,0,0,'Données projet'!$E$12+1,1))</f>
        <v>111.69585394603672</v>
      </c>
      <c r="CE174" s="59">
        <f t="shared" si="148"/>
        <v>162.6701214629764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6.4488096125714014</v>
      </c>
      <c r="CL174" s="21">
        <f>EXP(-LN(2)/25)*CL173+(1-EXP(-LN(2)/25))/(LN(2)/25)*Calculateur!CG174*Calculateur!CI174*VLOOKUP('Données projet'!$B$12,Paramètres!$A$1:$I$89,3,0)*0.475*44/12</f>
        <v>2.2088594722620543</v>
      </c>
      <c r="CM174" s="21">
        <f>EXP(-LN(2)/2)*CM173+(1-EXP(-LN(2)/2))/(LN(2)/2)*CG174*CJ174*VLOOKUP('Données projet'!$B$12,Paramètres!$A$1:$I$89,3,0)*0.475*44/12</f>
        <v>6.3095721532619774E-16</v>
      </c>
      <c r="CN174" s="22">
        <f t="shared" si="172"/>
        <v>8.6576690848334561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-5.1431925385259088E-14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320.93171542656671</v>
      </c>
      <c r="T175" s="59">
        <f t="shared" si="142"/>
        <v>452.7298965816143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3.4465586601498956</v>
      </c>
      <c r="AA175" s="21">
        <f>EXP(-LN(2)/25)*AA174+(1-EXP(-LN(2)/25))/(LN(2)/25)*Calculateur!V175*Calculateur!X175*VLOOKUP('Données projet'!$B$9,Paramètres!$A$1:$I$89,3,0)*0.475*44/12</f>
        <v>0.63484933971632329</v>
      </c>
      <c r="AB175" s="21">
        <f>EXP(-LN(2)/2)*AB174+(1-EXP(-LN(2)/2))/(LN(2)/2)*V175*Y175*VLOOKUP('Données projet'!$B$9,Paramètres!$A$1:$I$89,3,0)*0.475*44/12</f>
        <v>4.1049380112243986E-18</v>
      </c>
      <c r="AC175" s="22">
        <f t="shared" si="163"/>
        <v>4.0814079998662187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2.8421709430404007E-14</v>
      </c>
      <c r="AJ175" s="13">
        <f>AI175*VLOOKUP('Données projet'!$B$10,Paramètres!$A$1:$I$89,3,0)*VLOOKUP('Données projet'!$B$10,Paramètres!$A$1:$I$89,5,0)</f>
        <v>2.4829205358400945E-14</v>
      </c>
      <c r="AK175" s="13">
        <f t="shared" si="164"/>
        <v>4.3867331143352915E-13</v>
      </c>
      <c r="AL175" s="20">
        <f t="shared" si="165"/>
        <v>8.0726688341261168E-13</v>
      </c>
      <c r="AM175" s="59">
        <f t="shared" si="113"/>
        <v>293.33333333333411</v>
      </c>
      <c r="AN175" s="59">
        <f ca="1">AVERAGE(OFFSET($AM$3,0,0,'Données projet'!$E$10+1,1))-AVERAGE(OFFSET($H$3,0,0,'Données projet'!$E$10+1,1))</f>
        <v>201.61452816909701</v>
      </c>
      <c r="AO175" s="59">
        <f t="shared" si="144"/>
        <v>287.77679930887746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5.7886174379361925</v>
      </c>
      <c r="AV175" s="21">
        <f>EXP(-LN(2)/25)*AV174+(1-EXP(-LN(2)/25))/(LN(2)/25)*Calculateur!AQ175*Calculateur!AS175*VLOOKUP('Données projet'!$B$10,Paramètres!$A$1:$I$89,3,0)*0.475*44/12</f>
        <v>1.9143279806172511</v>
      </c>
      <c r="AW175" s="21">
        <f>EXP(-LN(2)/2)*AW174+(1-EXP(-LN(2)/2))/(LN(2)/2)*AQ175*AT175*VLOOKUP('Données projet'!$B$10,Paramètres!$A$1:$I$89,3,0)*0.475*44/12</f>
        <v>5.1692031848578669E-16</v>
      </c>
      <c r="AX175" s="21">
        <f t="shared" si="166"/>
        <v>7.7029454185534449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-3.3992364478763198E-14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225.63994281336028</v>
      </c>
      <c r="BJ175" s="59">
        <f t="shared" si="146"/>
        <v>231.19476400361157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11.452906374566393</v>
      </c>
      <c r="BQ175" s="21">
        <f>EXP(-LN(2)/25)*BQ174+(1-EXP(-LN(2)/25))/(LN(2)/25)*Calculateur!BL175*Calculateur!BN175*VLOOKUP('Données projet'!$B$11,Paramètres!$A$1:$I$89,3,0)*0.475*44/12</f>
        <v>3.8450318629123221</v>
      </c>
      <c r="BR175" s="21">
        <f>EXP(-LN(2)/2)*BR174+(1-EXP(-LN(2)/2))/(LN(2)/2)*BL175*BO175*VLOOKUP('Données projet'!$B$11,Paramètres!$A$1:$I$89,3,0)*0.475*44/12</f>
        <v>7.5189235401160987E-15</v>
      </c>
      <c r="BS175" s="22">
        <f t="shared" si="169"/>
        <v>15.297938237478721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2.6602720026858149E-14</v>
      </c>
      <c r="CA175" s="13">
        <f t="shared" si="170"/>
        <v>4.6624771586320878E-13</v>
      </c>
      <c r="CB175" s="20">
        <f t="shared" si="171"/>
        <v>8.583811758418665E-13</v>
      </c>
      <c r="CC175" s="59">
        <f t="shared" si="119"/>
        <v>293.33333333333417</v>
      </c>
      <c r="CD175" s="59">
        <f ca="1">AVERAGE(OFFSET($CC$3,0,0,'Données projet'!$E$12+1,1))-AVERAGE(OFFSET($H$3,0,0,'Données projet'!$E$12+1,1))</f>
        <v>111.69585394603672</v>
      </c>
      <c r="CE175" s="59">
        <f t="shared" si="148"/>
        <v>162.6701214629764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6.3223523894543501</v>
      </c>
      <c r="CL175" s="21">
        <f>EXP(-LN(2)/25)*CL174+(1-EXP(-LN(2)/25))/(LN(2)/25)*Calculateur!CG175*Calculateur!CI175*VLOOKUP('Données projet'!$B$12,Paramètres!$A$1:$I$89,3,0)*0.475*44/12</f>
        <v>2.1484580938341771</v>
      </c>
      <c r="CM175" s="21">
        <f>EXP(-LN(2)/2)*CM174+(1-EXP(-LN(2)/2))/(LN(2)/2)*CG175*CJ175*VLOOKUP('Données projet'!$B$12,Paramètres!$A$1:$I$89,3,0)*0.475*44/12</f>
        <v>4.4615412559573504E-16</v>
      </c>
      <c r="CN175" s="22">
        <f t="shared" si="172"/>
        <v>8.4708104832885276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-5.1431925385259088E-14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320.93171542656671</v>
      </c>
      <c r="T176" s="59">
        <f t="shared" si="142"/>
        <v>452.7298965816143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3.3789737470175645</v>
      </c>
      <c r="AA176" s="21">
        <f>EXP(-LN(2)/25)*AA175+(1-EXP(-LN(2)/25))/(LN(2)/25)*Calculateur!V176*Calculateur!X176*VLOOKUP('Données projet'!$B$9,Paramètres!$A$1:$I$89,3,0)*0.475*44/12</f>
        <v>0.61748935113650461</v>
      </c>
      <c r="AB176" s="21">
        <f>EXP(-LN(2)/2)*AB175+(1-EXP(-LN(2)/2))/(LN(2)/2)*V176*Y176*VLOOKUP('Données projet'!$B$9,Paramètres!$A$1:$I$89,3,0)*0.475*44/12</f>
        <v>2.9026295040871925E-18</v>
      </c>
      <c r="AC176" s="22">
        <f t="shared" si="163"/>
        <v>3.9964630981540692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2.8421709430404007E-14</v>
      </c>
      <c r="AJ176" s="13">
        <f>AI176*VLOOKUP('Données projet'!$B$10,Paramètres!$A$1:$I$89,3,0)*VLOOKUP('Données projet'!$B$10,Paramètres!$A$1:$I$89,5,0)</f>
        <v>2.4829205358400945E-14</v>
      </c>
      <c r="AK176" s="13">
        <f t="shared" si="164"/>
        <v>4.3867331143352915E-13</v>
      </c>
      <c r="AL176" s="20">
        <f t="shared" si="165"/>
        <v>8.0726688341261168E-13</v>
      </c>
      <c r="AM176" s="59">
        <f t="shared" si="113"/>
        <v>293.33333333333411</v>
      </c>
      <c r="AN176" s="59">
        <f ca="1">AVERAGE(OFFSET($AM$3,0,0,'Données projet'!$E$10+1,1))-AVERAGE(OFFSET($H$3,0,0,'Données projet'!$E$10+1,1))</f>
        <v>201.61452816909701</v>
      </c>
      <c r="AO176" s="59">
        <f t="shared" si="144"/>
        <v>287.77679930887746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5.6751061806862726</v>
      </c>
      <c r="AV176" s="21">
        <f>EXP(-LN(2)/25)*AV175+(1-EXP(-LN(2)/25))/(LN(2)/25)*Calculateur!AQ176*Calculateur!AS176*VLOOKUP('Données projet'!$B$10,Paramètres!$A$1:$I$89,3,0)*0.475*44/12</f>
        <v>1.8619805813171391</v>
      </c>
      <c r="AW176" s="21">
        <f>EXP(-LN(2)/2)*AW175+(1-EXP(-LN(2)/2))/(LN(2)/2)*AQ176*AT176*VLOOKUP('Données projet'!$B$10,Paramètres!$A$1:$I$89,3,0)*0.475*44/12</f>
        <v>3.6551786253440963E-16</v>
      </c>
      <c r="AX176" s="21">
        <f t="shared" si="166"/>
        <v>7.5370867620034119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-3.3992364478763198E-14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225.63994281336028</v>
      </c>
      <c r="BJ176" s="59">
        <f t="shared" si="146"/>
        <v>231.19476400361157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11.228321866144265</v>
      </c>
      <c r="BQ176" s="21">
        <f>EXP(-LN(2)/25)*BQ175+(1-EXP(-LN(2)/25))/(LN(2)/25)*Calculateur!BL176*Calculateur!BN176*VLOOKUP('Données projet'!$B$11,Paramètres!$A$1:$I$89,3,0)*0.475*44/12</f>
        <v>3.7398892644195469</v>
      </c>
      <c r="BR176" s="21">
        <f>EXP(-LN(2)/2)*BR175+(1-EXP(-LN(2)/2))/(LN(2)/2)*BL176*BO176*VLOOKUP('Données projet'!$B$11,Paramètres!$A$1:$I$89,3,0)*0.475*44/12</f>
        <v>5.3166818224392557E-15</v>
      </c>
      <c r="BS176" s="22">
        <f t="shared" si="169"/>
        <v>14.968211130563818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2.6602720026858149E-14</v>
      </c>
      <c r="CA176" s="13">
        <f t="shared" si="170"/>
        <v>4.6624771586320878E-13</v>
      </c>
      <c r="CB176" s="20">
        <f t="shared" si="171"/>
        <v>8.583811758418665E-13</v>
      </c>
      <c r="CC176" s="59">
        <f t="shared" si="119"/>
        <v>293.33333333333417</v>
      </c>
      <c r="CD176" s="59">
        <f ca="1">AVERAGE(OFFSET($CC$3,0,0,'Données projet'!$E$12+1,1))-AVERAGE(OFFSET($H$3,0,0,'Données projet'!$E$12+1,1))</f>
        <v>111.69585394603672</v>
      </c>
      <c r="CE176" s="59">
        <f t="shared" si="148"/>
        <v>162.6701214629764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6.1983749153513346</v>
      </c>
      <c r="CL176" s="21">
        <f>EXP(-LN(2)/25)*CL175+(1-EXP(-LN(2)/25))/(LN(2)/25)*Calculateur!CG176*Calculateur!CI176*VLOOKUP('Données projet'!$B$12,Paramètres!$A$1:$I$89,3,0)*0.475*44/12</f>
        <v>2.0897083942757808</v>
      </c>
      <c r="CM176" s="21">
        <f>EXP(-LN(2)/2)*CM175+(1-EXP(-LN(2)/2))/(LN(2)/2)*CG176*CJ176*VLOOKUP('Données projet'!$B$12,Paramètres!$A$1:$I$89,3,0)*0.475*44/12</f>
        <v>3.1547860766309887E-16</v>
      </c>
      <c r="CN176" s="22">
        <f t="shared" si="172"/>
        <v>8.2880833096271154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-5.1431925385259088E-14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320.93171542656671</v>
      </c>
      <c r="T177" s="59">
        <f t="shared" si="142"/>
        <v>452.7298965816143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3.3127141328090319</v>
      </c>
      <c r="AA177" s="21">
        <f>EXP(-LN(2)/25)*AA176+(1-EXP(-LN(2)/25))/(LN(2)/25)*Calculateur!V177*Calculateur!X177*VLOOKUP('Données projet'!$B$9,Paramètres!$A$1:$I$89,3,0)*0.475*44/12</f>
        <v>0.60060407235732316</v>
      </c>
      <c r="AB177" s="21">
        <f>EXP(-LN(2)/2)*AB176+(1-EXP(-LN(2)/2))/(LN(2)/2)*V177*Y177*VLOOKUP('Données projet'!$B$9,Paramètres!$A$1:$I$89,3,0)*0.475*44/12</f>
        <v>2.0524690056121993E-18</v>
      </c>
      <c r="AC177" s="22">
        <f t="shared" si="163"/>
        <v>3.9133182051663553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2.8421709430404007E-14</v>
      </c>
      <c r="AJ177" s="13">
        <f>AI177*VLOOKUP('Données projet'!$B$10,Paramètres!$A$1:$I$89,3,0)*VLOOKUP('Données projet'!$B$10,Paramètres!$A$1:$I$89,5,0)</f>
        <v>2.4829205358400945E-14</v>
      </c>
      <c r="AK177" s="13">
        <f t="shared" si="164"/>
        <v>4.3867331143352915E-13</v>
      </c>
      <c r="AL177" s="20">
        <f t="shared" si="165"/>
        <v>8.0726688341261168E-13</v>
      </c>
      <c r="AM177" s="59">
        <f t="shared" si="113"/>
        <v>293.33333333333411</v>
      </c>
      <c r="AN177" s="59">
        <f ca="1">AVERAGE(OFFSET($AM$3,0,0,'Données projet'!$E$10+1,1))-AVERAGE(OFFSET($H$3,0,0,'Données projet'!$E$10+1,1))</f>
        <v>201.61452816909701</v>
      </c>
      <c r="AO177" s="59">
        <f t="shared" si="144"/>
        <v>287.77679930887746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5.5638208099559927</v>
      </c>
      <c r="AV177" s="21">
        <f>EXP(-LN(2)/25)*AV176+(1-EXP(-LN(2)/25))/(LN(2)/25)*Calculateur!AQ177*Calculateur!AS177*VLOOKUP('Données projet'!$B$10,Paramètres!$A$1:$I$89,3,0)*0.475*44/12</f>
        <v>1.8110646244037187</v>
      </c>
      <c r="AW177" s="21">
        <f>EXP(-LN(2)/2)*AW176+(1-EXP(-LN(2)/2))/(LN(2)/2)*AQ177*AT177*VLOOKUP('Données projet'!$B$10,Paramètres!$A$1:$I$89,3,0)*0.475*44/12</f>
        <v>2.5846015924289334E-16</v>
      </c>
      <c r="AX177" s="21">
        <f t="shared" si="166"/>
        <v>7.3748854343597117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-3.3992364478763198E-14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225.63994281336028</v>
      </c>
      <c r="BJ177" s="59">
        <f t="shared" si="146"/>
        <v>231.19476400361157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11.008141322949271</v>
      </c>
      <c r="BQ177" s="21">
        <f>EXP(-LN(2)/25)*BQ176+(1-EXP(-LN(2)/25))/(LN(2)/25)*Calculateur!BL177*Calculateur!BN177*VLOOKUP('Données projet'!$B$11,Paramètres!$A$1:$I$89,3,0)*0.475*44/12</f>
        <v>3.6376217958117656</v>
      </c>
      <c r="BR177" s="21">
        <f>EXP(-LN(2)/2)*BR176+(1-EXP(-LN(2)/2))/(LN(2)/2)*BL177*BO177*VLOOKUP('Données projet'!$B$11,Paramètres!$A$1:$I$89,3,0)*0.475*44/12</f>
        <v>3.7594617700580493E-15</v>
      </c>
      <c r="BS177" s="22">
        <f t="shared" si="169"/>
        <v>14.645763118761041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2.6602720026858149E-14</v>
      </c>
      <c r="CA177" s="13">
        <f t="shared" si="170"/>
        <v>4.6624771586320878E-13</v>
      </c>
      <c r="CB177" s="20">
        <f t="shared" si="171"/>
        <v>8.583811758418665E-13</v>
      </c>
      <c r="CC177" s="59">
        <f t="shared" si="119"/>
        <v>293.33333333333417</v>
      </c>
      <c r="CD177" s="59">
        <f ca="1">AVERAGE(OFFSET($CC$3,0,0,'Données projet'!$E$12+1,1))-AVERAGE(OFFSET($H$3,0,0,'Données projet'!$E$12+1,1))</f>
        <v>111.69585394603672</v>
      </c>
      <c r="CE177" s="59">
        <f t="shared" si="148"/>
        <v>162.6701214629764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6.0768285638966866</v>
      </c>
      <c r="CL177" s="21">
        <f>EXP(-LN(2)/25)*CL176+(1-EXP(-LN(2)/25))/(LN(2)/25)*Calculateur!CG177*Calculateur!CI177*VLOOKUP('Données projet'!$B$12,Paramètres!$A$1:$I$89,3,0)*0.475*44/12</f>
        <v>2.032565208341321</v>
      </c>
      <c r="CM177" s="21">
        <f>EXP(-LN(2)/2)*CM176+(1-EXP(-LN(2)/2))/(LN(2)/2)*CG177*CJ177*VLOOKUP('Données projet'!$B$12,Paramètres!$A$1:$I$89,3,0)*0.475*44/12</f>
        <v>2.2307706279786752E-16</v>
      </c>
      <c r="CN177" s="22">
        <f t="shared" si="172"/>
        <v>8.1093937722380076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-5.1431925385259088E-14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320.93171542656671</v>
      </c>
      <c r="T178" s="59">
        <f t="shared" si="142"/>
        <v>452.7298965816143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3.2477538292207546</v>
      </c>
      <c r="AA178" s="21">
        <f>EXP(-LN(2)/25)*AA177+(1-EXP(-LN(2)/25))/(LN(2)/25)*Calculateur!V178*Calculateur!X178*VLOOKUP('Données projet'!$B$9,Paramètres!$A$1:$I$89,3,0)*0.475*44/12</f>
        <v>0.58418052241431673</v>
      </c>
      <c r="AB178" s="21">
        <f>EXP(-LN(2)/2)*AB177+(1-EXP(-LN(2)/2))/(LN(2)/2)*V178*Y178*VLOOKUP('Données projet'!$B$9,Paramètres!$A$1:$I$89,3,0)*0.475*44/12</f>
        <v>1.4513147520435962E-18</v>
      </c>
      <c r="AC178" s="22">
        <f t="shared" si="163"/>
        <v>3.8319343516350712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2.8421709430404007E-14</v>
      </c>
      <c r="AJ178" s="13">
        <f>AI178*VLOOKUP('Données projet'!$B$10,Paramètres!$A$1:$I$89,3,0)*VLOOKUP('Données projet'!$B$10,Paramètres!$A$1:$I$89,5,0)</f>
        <v>2.4829205358400945E-14</v>
      </c>
      <c r="AK178" s="13">
        <f t="shared" si="164"/>
        <v>4.3867331143352915E-13</v>
      </c>
      <c r="AL178" s="20">
        <f t="shared" si="165"/>
        <v>8.0726688341261168E-13</v>
      </c>
      <c r="AM178" s="59">
        <f t="shared" si="113"/>
        <v>293.33333333333411</v>
      </c>
      <c r="AN178" s="59">
        <f ca="1">AVERAGE(OFFSET($AM$3,0,0,'Données projet'!$E$10+1,1))-AVERAGE(OFFSET($H$3,0,0,'Données projet'!$E$10+1,1))</f>
        <v>201.61452816909701</v>
      </c>
      <c r="AO178" s="59">
        <f t="shared" si="144"/>
        <v>287.77679930887746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5.4547176774683601</v>
      </c>
      <c r="AV178" s="21">
        <f>EXP(-LN(2)/25)*AV177+(1-EXP(-LN(2)/25))/(LN(2)/25)*Calculateur!AQ178*Calculateur!AS178*VLOOKUP('Données projet'!$B$10,Paramètres!$A$1:$I$89,3,0)*0.475*44/12</f>
        <v>1.7615409670096498</v>
      </c>
      <c r="AW178" s="21">
        <f>EXP(-LN(2)/2)*AW177+(1-EXP(-LN(2)/2))/(LN(2)/2)*AQ178*AT178*VLOOKUP('Données projet'!$B$10,Paramètres!$A$1:$I$89,3,0)*0.475*44/12</f>
        <v>1.8275893126720482E-16</v>
      </c>
      <c r="AX178" s="21">
        <f t="shared" si="166"/>
        <v>7.2162586444780104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-3.3992364478763198E-14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225.63994281336028</v>
      </c>
      <c r="BJ178" s="59">
        <f t="shared" si="146"/>
        <v>231.19476400361157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10.79227838590946</v>
      </c>
      <c r="BQ178" s="21">
        <f>EXP(-LN(2)/25)*BQ177+(1-EXP(-LN(2)/25))/(LN(2)/25)*Calculateur!BL178*Calculateur!BN178*VLOOKUP('Données projet'!$B$11,Paramètres!$A$1:$I$89,3,0)*0.475*44/12</f>
        <v>3.5381508365110763</v>
      </c>
      <c r="BR178" s="21">
        <f>EXP(-LN(2)/2)*BR177+(1-EXP(-LN(2)/2))/(LN(2)/2)*BL178*BO178*VLOOKUP('Données projet'!$B$11,Paramètres!$A$1:$I$89,3,0)*0.475*44/12</f>
        <v>2.6583409112196278E-15</v>
      </c>
      <c r="BS178" s="22">
        <f t="shared" si="169"/>
        <v>14.330429222420539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2.6602720026858149E-14</v>
      </c>
      <c r="CA178" s="13">
        <f t="shared" si="170"/>
        <v>4.6624771586320878E-13</v>
      </c>
      <c r="CB178" s="20">
        <f t="shared" si="171"/>
        <v>8.583811758418665E-13</v>
      </c>
      <c r="CC178" s="59">
        <f t="shared" si="119"/>
        <v>293.33333333333417</v>
      </c>
      <c r="CD178" s="59">
        <f ca="1">AVERAGE(OFFSET($CC$3,0,0,'Données projet'!$E$12+1,1))-AVERAGE(OFFSET($H$3,0,0,'Données projet'!$E$12+1,1))</f>
        <v>111.69585394603672</v>
      </c>
      <c r="CE178" s="59">
        <f t="shared" si="148"/>
        <v>162.6701214629764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5.9576656622581101</v>
      </c>
      <c r="CL178" s="21">
        <f>EXP(-LN(2)/25)*CL177+(1-EXP(-LN(2)/25))/(LN(2)/25)*Calculateur!CG178*Calculateur!CI178*VLOOKUP('Données projet'!$B$12,Paramètres!$A$1:$I$89,3,0)*0.475*44/12</f>
        <v>1.9769846058312688</v>
      </c>
      <c r="CM178" s="21">
        <f>EXP(-LN(2)/2)*CM177+(1-EXP(-LN(2)/2))/(LN(2)/2)*CG178*CJ178*VLOOKUP('Données projet'!$B$12,Paramètres!$A$1:$I$89,3,0)*0.475*44/12</f>
        <v>1.5773930383154944E-16</v>
      </c>
      <c r="CN178" s="22">
        <f t="shared" si="172"/>
        <v>7.9346502680893787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-5.1431925385259088E-14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320.93171542656671</v>
      </c>
      <c r="T179" s="59">
        <f t="shared" si="142"/>
        <v>452.7298965816143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3.1840673575639706</v>
      </c>
      <c r="AA179" s="21">
        <f>EXP(-LN(2)/25)*AA178+(1-EXP(-LN(2)/25))/(LN(2)/25)*Calculateur!V179*Calculateur!X179*VLOOKUP('Données projet'!$B$9,Paramètres!$A$1:$I$89,3,0)*0.475*44/12</f>
        <v>0.56820607530817868</v>
      </c>
      <c r="AB179" s="21">
        <f>EXP(-LN(2)/2)*AB178+(1-EXP(-LN(2)/2))/(LN(2)/2)*V179*Y179*VLOOKUP('Données projet'!$B$9,Paramètres!$A$1:$I$89,3,0)*0.475*44/12</f>
        <v>1.0262345028060997E-18</v>
      </c>
      <c r="AC179" s="22">
        <f t="shared" si="163"/>
        <v>3.7522734328721494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2.8421709430404007E-14</v>
      </c>
      <c r="AJ179" s="13">
        <f>AI179*VLOOKUP('Données projet'!$B$10,Paramètres!$A$1:$I$89,3,0)*VLOOKUP('Données projet'!$B$10,Paramètres!$A$1:$I$89,5,0)</f>
        <v>2.4829205358400945E-14</v>
      </c>
      <c r="AK179" s="13">
        <f t="shared" si="164"/>
        <v>4.3867331143352915E-13</v>
      </c>
      <c r="AL179" s="20">
        <f t="shared" si="165"/>
        <v>8.0726688341261168E-13</v>
      </c>
      <c r="AM179" s="59">
        <f t="shared" si="113"/>
        <v>293.33333333333411</v>
      </c>
      <c r="AN179" s="59">
        <f ca="1">AVERAGE(OFFSET($AM$3,0,0,'Données projet'!$E$10+1,1))-AVERAGE(OFFSET($H$3,0,0,'Données projet'!$E$10+1,1))</f>
        <v>201.61452816909701</v>
      </c>
      <c r="AO179" s="59">
        <f t="shared" si="144"/>
        <v>287.77679930887746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5.3477539908624703</v>
      </c>
      <c r="AV179" s="21">
        <f>EXP(-LN(2)/25)*AV178+(1-EXP(-LN(2)/25))/(LN(2)/25)*Calculateur!AQ179*Calculateur!AS179*VLOOKUP('Données projet'!$B$10,Paramètres!$A$1:$I$89,3,0)*0.475*44/12</f>
        <v>1.7133715366313576</v>
      </c>
      <c r="AW179" s="21">
        <f>EXP(-LN(2)/2)*AW178+(1-EXP(-LN(2)/2))/(LN(2)/2)*AQ179*AT179*VLOOKUP('Données projet'!$B$10,Paramètres!$A$1:$I$89,3,0)*0.475*44/12</f>
        <v>1.2923007962144667E-16</v>
      </c>
      <c r="AX179" s="21">
        <f t="shared" si="166"/>
        <v>7.0611255274938278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-3.3992364478763198E-14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225.63994281336028</v>
      </c>
      <c r="BJ179" s="59">
        <f t="shared" si="146"/>
        <v>231.19476400361157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10.58064838940161</v>
      </c>
      <c r="BQ179" s="21">
        <f>EXP(-LN(2)/25)*BQ178+(1-EXP(-LN(2)/25))/(LN(2)/25)*Calculateur!BL179*Calculateur!BN179*VLOOKUP('Données projet'!$B$11,Paramètres!$A$1:$I$89,3,0)*0.475*44/12</f>
        <v>3.441399915823415</v>
      </c>
      <c r="BR179" s="21">
        <f>EXP(-LN(2)/2)*BR178+(1-EXP(-LN(2)/2))/(LN(2)/2)*BL179*BO179*VLOOKUP('Données projet'!$B$11,Paramètres!$A$1:$I$89,3,0)*0.475*44/12</f>
        <v>1.8797308850290247E-15</v>
      </c>
      <c r="BS179" s="22">
        <f t="shared" si="169"/>
        <v>14.022048305225026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2.6602720026858149E-14</v>
      </c>
      <c r="CA179" s="13">
        <f t="shared" si="170"/>
        <v>4.6624771586320878E-13</v>
      </c>
      <c r="CB179" s="20">
        <f t="shared" si="171"/>
        <v>8.583811758418665E-13</v>
      </c>
      <c r="CC179" s="59">
        <f t="shared" si="119"/>
        <v>293.33333333333417</v>
      </c>
      <c r="CD179" s="59">
        <f ca="1">AVERAGE(OFFSET($CC$3,0,0,'Données projet'!$E$12+1,1))-AVERAGE(OFFSET($H$3,0,0,'Données projet'!$E$12+1,1))</f>
        <v>111.69585394603672</v>
      </c>
      <c r="CE179" s="59">
        <f t="shared" si="148"/>
        <v>162.6701214629764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5.8408394724384731</v>
      </c>
      <c r="CL179" s="21">
        <f>EXP(-LN(2)/25)*CL178+(1-EXP(-LN(2)/25))/(LN(2)/25)*Calculateur!CG179*Calculateur!CI179*VLOOKUP('Données projet'!$B$12,Paramètres!$A$1:$I$89,3,0)*0.475*44/12</f>
        <v>1.9229238578197108</v>
      </c>
      <c r="CM179" s="21">
        <f>EXP(-LN(2)/2)*CM178+(1-EXP(-LN(2)/2))/(LN(2)/2)*CG179*CJ179*VLOOKUP('Données projet'!$B$12,Paramètres!$A$1:$I$89,3,0)*0.475*44/12</f>
        <v>1.1153853139893376E-16</v>
      </c>
      <c r="CN179" s="22">
        <f t="shared" si="172"/>
        <v>7.7637633302581843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-5.1431925385259088E-14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320.93171542656671</v>
      </c>
      <c r="T180" s="59">
        <f t="shared" si="142"/>
        <v>452.7298965816143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3.121629738771464</v>
      </c>
      <c r="AA180" s="21">
        <f>EXP(-LN(2)/25)*AA179+(1-EXP(-LN(2)/25))/(LN(2)/25)*Calculateur!V180*Calculateur!X180*VLOOKUP('Données projet'!$B$9,Paramètres!$A$1:$I$89,3,0)*0.475*44/12</f>
        <v>0.55266845029821765</v>
      </c>
      <c r="AB180" s="21">
        <f>EXP(-LN(2)/2)*AB179+(1-EXP(-LN(2)/2))/(LN(2)/2)*V180*Y180*VLOOKUP('Données projet'!$B$9,Paramètres!$A$1:$I$89,3,0)*0.475*44/12</f>
        <v>7.2565737602179811E-19</v>
      </c>
      <c r="AC180" s="22">
        <f t="shared" si="163"/>
        <v>3.6742981890696815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2.8421709430404007E-14</v>
      </c>
      <c r="AJ180" s="13">
        <f>AI180*VLOOKUP('Données projet'!$B$10,Paramètres!$A$1:$I$89,3,0)*VLOOKUP('Données projet'!$B$10,Paramètres!$A$1:$I$89,5,0)</f>
        <v>2.4829205358400945E-14</v>
      </c>
      <c r="AK180" s="13">
        <f t="shared" si="164"/>
        <v>4.3867331143352915E-13</v>
      </c>
      <c r="AL180" s="20">
        <f t="shared" si="165"/>
        <v>8.0726688341261168E-13</v>
      </c>
      <c r="AM180" s="59">
        <f t="shared" si="113"/>
        <v>293.33333333333411</v>
      </c>
      <c r="AN180" s="59">
        <f ca="1">AVERAGE(OFFSET($AM$3,0,0,'Données projet'!$E$10+1,1))-AVERAGE(OFFSET($H$3,0,0,'Données projet'!$E$10+1,1))</f>
        <v>201.61452816909701</v>
      </c>
      <c r="AO180" s="59">
        <f t="shared" si="144"/>
        <v>287.77679930887746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5.2428877969095149</v>
      </c>
      <c r="AV180" s="21">
        <f>EXP(-LN(2)/25)*AV179+(1-EXP(-LN(2)/25))/(LN(2)/25)*Calculateur!AQ180*Calculateur!AS180*VLOOKUP('Données projet'!$B$10,Paramètres!$A$1:$I$89,3,0)*0.475*44/12</f>
        <v>1.6665193018598798</v>
      </c>
      <c r="AW180" s="21">
        <f>EXP(-LN(2)/2)*AW179+(1-EXP(-LN(2)/2))/(LN(2)/2)*AQ180*AT180*VLOOKUP('Données projet'!$B$10,Paramètres!$A$1:$I$89,3,0)*0.475*44/12</f>
        <v>9.1379465633602408E-17</v>
      </c>
      <c r="AX180" s="21">
        <f t="shared" si="166"/>
        <v>6.9094070987693943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-3.3992364478763198E-14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225.63994281336028</v>
      </c>
      <c r="BJ180" s="59">
        <f t="shared" si="146"/>
        <v>231.19476400361157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10.373168328043725</v>
      </c>
      <c r="BQ180" s="21">
        <f>EXP(-LN(2)/25)*BQ179+(1-EXP(-LN(2)/25))/(LN(2)/25)*Calculateur!BL180*Calculateur!BN180*VLOOKUP('Données projet'!$B$11,Paramètres!$A$1:$I$89,3,0)*0.475*44/12</f>
        <v>3.3472946541498674</v>
      </c>
      <c r="BR180" s="21">
        <f>EXP(-LN(2)/2)*BR179+(1-EXP(-LN(2)/2))/(LN(2)/2)*BL180*BO180*VLOOKUP('Données projet'!$B$11,Paramètres!$A$1:$I$89,3,0)*0.475*44/12</f>
        <v>1.3291704556098139E-15</v>
      </c>
      <c r="BS180" s="22">
        <f t="shared" si="169"/>
        <v>13.720462982193594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2.6602720026858149E-14</v>
      </c>
      <c r="CA180" s="13">
        <f t="shared" si="170"/>
        <v>4.6624771586320878E-13</v>
      </c>
      <c r="CB180" s="20">
        <f t="shared" si="171"/>
        <v>8.583811758418665E-13</v>
      </c>
      <c r="CC180" s="59">
        <f t="shared" si="119"/>
        <v>293.33333333333417</v>
      </c>
      <c r="CD180" s="59">
        <f ca="1">AVERAGE(OFFSET($CC$3,0,0,'Données projet'!$E$12+1,1))-AVERAGE(OFFSET($H$3,0,0,'Données projet'!$E$12+1,1))</f>
        <v>111.69585394603672</v>
      </c>
      <c r="CE180" s="59">
        <f t="shared" si="148"/>
        <v>162.6701214629764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5.7263041729442596</v>
      </c>
      <c r="CL180" s="21">
        <f>EXP(-LN(2)/25)*CL179+(1-EXP(-LN(2)/25))/(LN(2)/25)*Calculateur!CG180*Calculateur!CI180*VLOOKUP('Données projet'!$B$12,Paramètres!$A$1:$I$89,3,0)*0.475*44/12</f>
        <v>1.87034140380546</v>
      </c>
      <c r="CM180" s="21">
        <f>EXP(-LN(2)/2)*CM179+(1-EXP(-LN(2)/2))/(LN(2)/2)*CG180*CJ180*VLOOKUP('Données projet'!$B$12,Paramètres!$A$1:$I$89,3,0)*0.475*44/12</f>
        <v>7.8869651915774718E-17</v>
      </c>
      <c r="CN180" s="22">
        <f t="shared" si="172"/>
        <v>7.5966455767497196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-5.1431925385259088E-14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320.93171542656671</v>
      </c>
      <c r="T181" s="59">
        <f t="shared" si="142"/>
        <v>452.7298965816143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3.0604164836002914</v>
      </c>
      <c r="AA181" s="21">
        <f>EXP(-LN(2)/25)*AA180+(1-EXP(-LN(2)/25))/(LN(2)/25)*Calculateur!V181*Calculateur!X181*VLOOKUP('Données projet'!$B$9,Paramètres!$A$1:$I$89,3,0)*0.475*44/12</f>
        <v>0.53755570246124218</v>
      </c>
      <c r="AB181" s="21">
        <f>EXP(-LN(2)/2)*AB180+(1-EXP(-LN(2)/2))/(LN(2)/2)*V181*Y181*VLOOKUP('Données projet'!$B$9,Paramètres!$A$1:$I$89,3,0)*0.475*44/12</f>
        <v>5.1311725140304983E-19</v>
      </c>
      <c r="AC181" s="22">
        <f t="shared" si="163"/>
        <v>3.5979721860615337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2.8421709430404007E-14</v>
      </c>
      <c r="AJ181" s="13">
        <f>AI181*VLOOKUP('Données projet'!$B$10,Paramètres!$A$1:$I$89,3,0)*VLOOKUP('Données projet'!$B$10,Paramètres!$A$1:$I$89,5,0)</f>
        <v>2.4829205358400945E-14</v>
      </c>
      <c r="AK181" s="13">
        <f t="shared" si="164"/>
        <v>4.3867331143352915E-13</v>
      </c>
      <c r="AL181" s="20">
        <f t="shared" si="165"/>
        <v>8.0726688341261168E-13</v>
      </c>
      <c r="AM181" s="59">
        <f t="shared" si="113"/>
        <v>293.33333333333411</v>
      </c>
      <c r="AN181" s="59">
        <f ca="1">AVERAGE(OFFSET($AM$3,0,0,'Données projet'!$E$10+1,1))-AVERAGE(OFFSET($H$3,0,0,'Données projet'!$E$10+1,1))</f>
        <v>201.61452816909701</v>
      </c>
      <c r="AO181" s="59">
        <f t="shared" si="144"/>
        <v>287.77679930887746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5.1400779650579143</v>
      </c>
      <c r="AV181" s="21">
        <f>EXP(-LN(2)/25)*AV180+(1-EXP(-LN(2)/25))/(LN(2)/25)*Calculateur!AQ181*Calculateur!AS181*VLOOKUP('Données projet'!$B$10,Paramètres!$A$1:$I$89,3,0)*0.475*44/12</f>
        <v>1.6209482439120801</v>
      </c>
      <c r="AW181" s="21">
        <f>EXP(-LN(2)/2)*AW180+(1-EXP(-LN(2)/2))/(LN(2)/2)*AQ181*AT181*VLOOKUP('Données projet'!$B$10,Paramètres!$A$1:$I$89,3,0)*0.475*44/12</f>
        <v>6.4615039810723336E-17</v>
      </c>
      <c r="AX181" s="21">
        <f t="shared" si="166"/>
        <v>6.7610262089699944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-3.3992364478763198E-14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225.63994281336028</v>
      </c>
      <c r="BJ181" s="59">
        <f t="shared" si="146"/>
        <v>231.19476400361157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10.169756824138728</v>
      </c>
      <c r="BQ181" s="21">
        <f>EXP(-LN(2)/25)*BQ180+(1-EXP(-LN(2)/25))/(LN(2)/25)*Calculateur!BL181*Calculateur!BN181*VLOOKUP('Données projet'!$B$11,Paramètres!$A$1:$I$89,3,0)*0.475*44/12</f>
        <v>3.2557627058055636</v>
      </c>
      <c r="BR181" s="21">
        <f>EXP(-LN(2)/2)*BR180+(1-EXP(-LN(2)/2))/(LN(2)/2)*BL181*BO181*VLOOKUP('Données projet'!$B$11,Paramètres!$A$1:$I$89,3,0)*0.475*44/12</f>
        <v>9.3986544251451234E-16</v>
      </c>
      <c r="BS181" s="22">
        <f t="shared" si="169"/>
        <v>13.425519529944294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2.6602720026858149E-14</v>
      </c>
      <c r="CA181" s="13">
        <f t="shared" si="170"/>
        <v>4.6624771586320878E-13</v>
      </c>
      <c r="CB181" s="20">
        <f t="shared" si="171"/>
        <v>8.583811758418665E-13</v>
      </c>
      <c r="CC181" s="59">
        <f t="shared" si="119"/>
        <v>293.33333333333417</v>
      </c>
      <c r="CD181" s="59">
        <f ca="1">AVERAGE(OFFSET($CC$3,0,0,'Données projet'!$E$12+1,1))-AVERAGE(OFFSET($H$3,0,0,'Données projet'!$E$12+1,1))</f>
        <v>111.69585394603672</v>
      </c>
      <c r="CE181" s="59">
        <f t="shared" si="148"/>
        <v>162.6701214629764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5.6140148408134927</v>
      </c>
      <c r="CL181" s="21">
        <f>EXP(-LN(2)/25)*CL180+(1-EXP(-LN(2)/25))/(LN(2)/25)*Calculateur!CG181*Calculateur!CI181*VLOOKUP('Données projet'!$B$12,Paramètres!$A$1:$I$89,3,0)*0.475*44/12</f>
        <v>1.8191968197614199</v>
      </c>
      <c r="CM181" s="21">
        <f>EXP(-LN(2)/2)*CM180+(1-EXP(-LN(2)/2))/(LN(2)/2)*CG181*CJ181*VLOOKUP('Données projet'!$B$12,Paramètres!$A$1:$I$89,3,0)*0.475*44/12</f>
        <v>5.576926569946688E-17</v>
      </c>
      <c r="CN181" s="22">
        <f t="shared" si="172"/>
        <v>7.4332116605749121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-5.1431925385259088E-14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320.93171542656671</v>
      </c>
      <c r="T182" s="59">
        <f t="shared" si="142"/>
        <v>452.7298965816143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3.0004035830266265</v>
      </c>
      <c r="AA182" s="21">
        <f>EXP(-LN(2)/25)*AA181+(1-EXP(-LN(2)/25))/(LN(2)/25)*Calculateur!V182*Calculateur!X182*VLOOKUP('Données projet'!$B$9,Paramètres!$A$1:$I$89,3,0)*0.475*44/12</f>
        <v>0.52285621350861367</v>
      </c>
      <c r="AB182" s="21">
        <f>EXP(-LN(2)/2)*AB181+(1-EXP(-LN(2)/2))/(LN(2)/2)*V182*Y182*VLOOKUP('Données projet'!$B$9,Paramètres!$A$1:$I$89,3,0)*0.475*44/12</f>
        <v>3.6282868801089906E-19</v>
      </c>
      <c r="AC182" s="22">
        <f t="shared" si="163"/>
        <v>3.5232597965352399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2.8421709430404007E-14</v>
      </c>
      <c r="AJ182" s="13">
        <f>AI182*VLOOKUP('Données projet'!$B$10,Paramètres!$A$1:$I$89,3,0)*VLOOKUP('Données projet'!$B$10,Paramètres!$A$1:$I$89,5,0)</f>
        <v>2.4829205358400945E-14</v>
      </c>
      <c r="AK182" s="13">
        <f t="shared" si="164"/>
        <v>4.3867331143352915E-13</v>
      </c>
      <c r="AL182" s="20">
        <f t="shared" si="165"/>
        <v>8.0726688341261168E-13</v>
      </c>
      <c r="AM182" s="59">
        <f t="shared" si="113"/>
        <v>293.33333333333411</v>
      </c>
      <c r="AN182" s="59">
        <f ca="1">AVERAGE(OFFSET($AM$3,0,0,'Données projet'!$E$10+1,1))-AVERAGE(OFFSET($H$3,0,0,'Données projet'!$E$10+1,1))</f>
        <v>201.61452816909701</v>
      </c>
      <c r="AO182" s="59">
        <f t="shared" si="144"/>
        <v>287.77679930887746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5.0392841713011185</v>
      </c>
      <c r="AV182" s="21">
        <f>EXP(-LN(2)/25)*AV181+(1-EXP(-LN(2)/25))/(LN(2)/25)*Calculateur!AQ182*Calculateur!AS182*VLOOKUP('Données projet'!$B$10,Paramètres!$A$1:$I$89,3,0)*0.475*44/12</f>
        <v>1.5766233289403409</v>
      </c>
      <c r="AW182" s="21">
        <f>EXP(-LN(2)/2)*AW181+(1-EXP(-LN(2)/2))/(LN(2)/2)*AQ182*AT182*VLOOKUP('Données projet'!$B$10,Paramètres!$A$1:$I$89,3,0)*0.475*44/12</f>
        <v>4.5689732816801204E-17</v>
      </c>
      <c r="AX182" s="21">
        <f t="shared" si="166"/>
        <v>6.6159075002414589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-3.3992364478763198E-14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225.63994281336028</v>
      </c>
      <c r="BJ182" s="59">
        <f t="shared" si="146"/>
        <v>231.19476400361157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9.9703340957565416</v>
      </c>
      <c r="BQ182" s="21">
        <f>EXP(-LN(2)/25)*BQ181+(1-EXP(-LN(2)/25))/(LN(2)/25)*Calculateur!BL182*Calculateur!BN182*VLOOKUP('Données projet'!$B$11,Paramètres!$A$1:$I$89,3,0)*0.475*44/12</f>
        <v>3.166733703402191</v>
      </c>
      <c r="BR182" s="21">
        <f>EXP(-LN(2)/2)*BR181+(1-EXP(-LN(2)/2))/(LN(2)/2)*BL182*BO182*VLOOKUP('Données projet'!$B$11,Paramètres!$A$1:$I$89,3,0)*0.475*44/12</f>
        <v>6.6458522780490696E-16</v>
      </c>
      <c r="BS182" s="22">
        <f t="shared" si="169"/>
        <v>13.137067799158732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2.6602720026858149E-14</v>
      </c>
      <c r="CA182" s="13">
        <f t="shared" si="170"/>
        <v>4.6624771586320878E-13</v>
      </c>
      <c r="CB182" s="20">
        <f t="shared" si="171"/>
        <v>8.583811758418665E-13</v>
      </c>
      <c r="CC182" s="59">
        <f t="shared" si="119"/>
        <v>293.33333333333417</v>
      </c>
      <c r="CD182" s="59">
        <f ca="1">AVERAGE(OFFSET($CC$3,0,0,'Données projet'!$E$12+1,1))-AVERAGE(OFFSET($H$3,0,0,'Données projet'!$E$12+1,1))</f>
        <v>111.69585394603672</v>
      </c>
      <c r="CE182" s="59">
        <f t="shared" si="148"/>
        <v>162.6701214629764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5.50392743399608</v>
      </c>
      <c r="CL182" s="21">
        <f>EXP(-LN(2)/25)*CL181+(1-EXP(-LN(2)/25))/(LN(2)/25)*Calculateur!CG182*Calculateur!CI182*VLOOKUP('Données projet'!$B$12,Paramètres!$A$1:$I$89,3,0)*0.475*44/12</f>
        <v>1.769450787057641</v>
      </c>
      <c r="CM182" s="21">
        <f>EXP(-LN(2)/2)*CM181+(1-EXP(-LN(2)/2))/(LN(2)/2)*CG182*CJ182*VLOOKUP('Données projet'!$B$12,Paramètres!$A$1:$I$89,3,0)*0.475*44/12</f>
        <v>3.9434825957887359E-17</v>
      </c>
      <c r="CN182" s="22">
        <f t="shared" si="172"/>
        <v>7.2733782210537212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-5.1431925385259088E-14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320.93171542656671</v>
      </c>
      <c r="T183" s="59">
        <f t="shared" si="142"/>
        <v>452.7298965816143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2.941567498828956</v>
      </c>
      <c r="AA183" s="21">
        <f>EXP(-LN(2)/25)*AA182+(1-EXP(-LN(2)/25))/(LN(2)/25)*Calculateur!V183*Calculateur!X183*VLOOKUP('Données projet'!$B$9,Paramètres!$A$1:$I$89,3,0)*0.475*44/12</f>
        <v>0.50855868285440731</v>
      </c>
      <c r="AB183" s="21">
        <f>EXP(-LN(2)/2)*AB182+(1-EXP(-LN(2)/2))/(LN(2)/2)*V183*Y183*VLOOKUP('Données projet'!$B$9,Paramètres!$A$1:$I$89,3,0)*0.475*44/12</f>
        <v>2.5655862570152491E-19</v>
      </c>
      <c r="AC183" s="22">
        <f t="shared" si="163"/>
        <v>3.4501261816833635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2.8421709430404007E-14</v>
      </c>
      <c r="AJ183" s="13">
        <f>AI183*VLOOKUP('Données projet'!$B$10,Paramètres!$A$1:$I$89,3,0)*VLOOKUP('Données projet'!$B$10,Paramètres!$A$1:$I$89,5,0)</f>
        <v>2.4829205358400945E-14</v>
      </c>
      <c r="AK183" s="13">
        <f t="shared" si="164"/>
        <v>4.3867331143352915E-13</v>
      </c>
      <c r="AL183" s="20">
        <f t="shared" si="165"/>
        <v>8.0726688341261168E-13</v>
      </c>
      <c r="AM183" s="59">
        <f t="shared" si="113"/>
        <v>293.33333333333411</v>
      </c>
      <c r="AN183" s="59">
        <f ca="1">AVERAGE(OFFSET($AM$3,0,0,'Données projet'!$E$10+1,1))-AVERAGE(OFFSET($H$3,0,0,'Données projet'!$E$10+1,1))</f>
        <v>201.61452816909701</v>
      </c>
      <c r="AO183" s="59">
        <f t="shared" si="144"/>
        <v>287.77679930887746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4.9404668823617497</v>
      </c>
      <c r="AV183" s="21">
        <f>EXP(-LN(2)/25)*AV182+(1-EXP(-LN(2)/25))/(LN(2)/25)*Calculateur!AQ183*Calculateur!AS183*VLOOKUP('Données projet'!$B$10,Paramètres!$A$1:$I$89,3,0)*0.475*44/12</f>
        <v>1.5335104810994498</v>
      </c>
      <c r="AW183" s="21">
        <f>EXP(-LN(2)/2)*AW182+(1-EXP(-LN(2)/2))/(LN(2)/2)*AQ183*AT183*VLOOKUP('Données projet'!$B$10,Paramètres!$A$1:$I$89,3,0)*0.475*44/12</f>
        <v>3.2307519905361668E-17</v>
      </c>
      <c r="AX183" s="21">
        <f t="shared" si="166"/>
        <v>6.4739773634611995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-3.3992364478763198E-14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225.63994281336028</v>
      </c>
      <c r="BJ183" s="59">
        <f t="shared" si="146"/>
        <v>231.19476400361157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9.7748219254420761</v>
      </c>
      <c r="BQ183" s="21">
        <f>EXP(-LN(2)/25)*BQ182+(1-EXP(-LN(2)/25))/(LN(2)/25)*Calculateur!BL183*Calculateur!BN183*VLOOKUP('Données projet'!$B$11,Paramètres!$A$1:$I$89,3,0)*0.475*44/12</f>
        <v>3.0801392037513704</v>
      </c>
      <c r="BR183" s="21">
        <f>EXP(-LN(2)/2)*BR182+(1-EXP(-LN(2)/2))/(LN(2)/2)*BL183*BO183*VLOOKUP('Données projet'!$B$11,Paramètres!$A$1:$I$89,3,0)*0.475*44/12</f>
        <v>4.6993272125725617E-16</v>
      </c>
      <c r="BS183" s="22">
        <f t="shared" si="169"/>
        <v>12.854961129193446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2.6602720026858149E-14</v>
      </c>
      <c r="CA183" s="13">
        <f t="shared" si="170"/>
        <v>4.6624771586320878E-13</v>
      </c>
      <c r="CB183" s="20">
        <f t="shared" si="171"/>
        <v>8.583811758418665E-13</v>
      </c>
      <c r="CC183" s="59">
        <f t="shared" si="119"/>
        <v>293.33333333333417</v>
      </c>
      <c r="CD183" s="59">
        <f ca="1">AVERAGE(OFFSET($CC$3,0,0,'Données projet'!$E$12+1,1))-AVERAGE(OFFSET($H$3,0,0,'Données projet'!$E$12+1,1))</f>
        <v>111.69585394603672</v>
      </c>
      <c r="CE183" s="59">
        <f t="shared" si="148"/>
        <v>162.6701214629764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5.3959987740796693</v>
      </c>
      <c r="CL183" s="21">
        <f>EXP(-LN(2)/25)*CL182+(1-EXP(-LN(2)/25))/(LN(2)/25)*Calculateur!CG183*Calculateur!CI183*VLOOKUP('Données projet'!$B$12,Paramètres!$A$1:$I$89,3,0)*0.475*44/12</f>
        <v>1.721065062234177</v>
      </c>
      <c r="CM183" s="21">
        <f>EXP(-LN(2)/2)*CM182+(1-EXP(-LN(2)/2))/(LN(2)/2)*CG183*CJ183*VLOOKUP('Données projet'!$B$12,Paramètres!$A$1:$I$89,3,0)*0.475*44/12</f>
        <v>2.788463284973344E-17</v>
      </c>
      <c r="CN183" s="22">
        <f t="shared" si="172"/>
        <v>7.1170638363138465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-5.1431925385259088E-14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320.93171542656671</v>
      </c>
      <c r="T184" s="59">
        <f t="shared" si="142"/>
        <v>452.7298965816143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2.8838851543559341</v>
      </c>
      <c r="AA184" s="21">
        <f>EXP(-LN(2)/25)*AA183+(1-EXP(-LN(2)/25))/(LN(2)/25)*Calculateur!V184*Calculateur!X184*VLOOKUP('Données projet'!$B$9,Paramètres!$A$1:$I$89,3,0)*0.475*44/12</f>
        <v>0.49465211892781474</v>
      </c>
      <c r="AB184" s="21">
        <f>EXP(-LN(2)/2)*AB183+(1-EXP(-LN(2)/2))/(LN(2)/2)*V184*Y184*VLOOKUP('Données projet'!$B$9,Paramètres!$A$1:$I$89,3,0)*0.475*44/12</f>
        <v>1.8141434400544953E-19</v>
      </c>
      <c r="AC184" s="22">
        <f t="shared" si="163"/>
        <v>3.3785372732837486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2.8421709430404007E-14</v>
      </c>
      <c r="AJ184" s="13">
        <f>AI184*VLOOKUP('Données projet'!$B$10,Paramètres!$A$1:$I$89,3,0)*VLOOKUP('Données projet'!$B$10,Paramètres!$A$1:$I$89,5,0)</f>
        <v>2.4829205358400945E-14</v>
      </c>
      <c r="AK184" s="13">
        <f t="shared" si="164"/>
        <v>4.3867331143352915E-13</v>
      </c>
      <c r="AL184" s="20">
        <f t="shared" si="165"/>
        <v>8.0726688341261168E-13</v>
      </c>
      <c r="AM184" s="59">
        <f t="shared" si="113"/>
        <v>293.33333333333411</v>
      </c>
      <c r="AN184" s="59">
        <f ca="1">AVERAGE(OFFSET($AM$3,0,0,'Données projet'!$E$10+1,1))-AVERAGE(OFFSET($H$3,0,0,'Données projet'!$E$10+1,1))</f>
        <v>201.61452816909701</v>
      </c>
      <c r="AO184" s="59">
        <f t="shared" si="144"/>
        <v>287.77679930887746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4.8435873401858869</v>
      </c>
      <c r="AV184" s="21">
        <f>EXP(-LN(2)/25)*AV183+(1-EXP(-LN(2)/25))/(LN(2)/25)*Calculateur!AQ184*Calculateur!AS184*VLOOKUP('Données projet'!$B$10,Paramètres!$A$1:$I$89,3,0)*0.475*44/12</f>
        <v>1.4915765563499741</v>
      </c>
      <c r="AW184" s="21">
        <f>EXP(-LN(2)/2)*AW183+(1-EXP(-LN(2)/2))/(LN(2)/2)*AQ184*AT184*VLOOKUP('Données projet'!$B$10,Paramètres!$A$1:$I$89,3,0)*0.475*44/12</f>
        <v>2.2844866408400602E-17</v>
      </c>
      <c r="AX184" s="21">
        <f t="shared" si="166"/>
        <v>6.3351638965358612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-3.3992364478763198E-14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225.63994281336028</v>
      </c>
      <c r="BJ184" s="59">
        <f t="shared" si="146"/>
        <v>231.19476400361157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9.5831436295368277</v>
      </c>
      <c r="BQ184" s="21">
        <f>EXP(-LN(2)/25)*BQ183+(1-EXP(-LN(2)/25))/(LN(2)/25)*Calculateur!BL184*Calculateur!BN184*VLOOKUP('Données projet'!$B$11,Paramètres!$A$1:$I$89,3,0)*0.475*44/12</f>
        <v>2.9959126352473082</v>
      </c>
      <c r="BR184" s="21">
        <f>EXP(-LN(2)/2)*BR183+(1-EXP(-LN(2)/2))/(LN(2)/2)*BL184*BO184*VLOOKUP('Données projet'!$B$11,Paramètres!$A$1:$I$89,3,0)*0.475*44/12</f>
        <v>3.3229261390245348E-16</v>
      </c>
      <c r="BS184" s="22">
        <f t="shared" si="169"/>
        <v>12.579056264784136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2.6602720026858149E-14</v>
      </c>
      <c r="CA184" s="13">
        <f t="shared" si="170"/>
        <v>4.6624771586320878E-13</v>
      </c>
      <c r="CB184" s="20">
        <f t="shared" si="171"/>
        <v>8.583811758418665E-13</v>
      </c>
      <c r="CC184" s="59">
        <f t="shared" si="119"/>
        <v>293.33333333333417</v>
      </c>
      <c r="CD184" s="59">
        <f ca="1">AVERAGE(OFFSET($CC$3,0,0,'Données projet'!$E$12+1,1))-AVERAGE(OFFSET($H$3,0,0,'Données projet'!$E$12+1,1))</f>
        <v>111.69585394603672</v>
      </c>
      <c r="CE184" s="59">
        <f t="shared" si="148"/>
        <v>162.6701214629764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5.2901865293542372</v>
      </c>
      <c r="CL184" s="21">
        <f>EXP(-LN(2)/25)*CL183+(1-EXP(-LN(2)/25))/(LN(2)/25)*Calculateur!CG184*Calculateur!CI184*VLOOKUP('Données projet'!$B$12,Paramètres!$A$1:$I$89,3,0)*0.475*44/12</f>
        <v>1.6740024476005053</v>
      </c>
      <c r="CM184" s="21">
        <f>EXP(-LN(2)/2)*CM183+(1-EXP(-LN(2)/2))/(LN(2)/2)*CG184*CJ184*VLOOKUP('Données projet'!$B$12,Paramètres!$A$1:$I$89,3,0)*0.475*44/12</f>
        <v>1.9717412978943679E-17</v>
      </c>
      <c r="CN184" s="22">
        <f t="shared" si="172"/>
        <v>6.9641889769547429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-5.1431925385259088E-14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320.93171542656671</v>
      </c>
      <c r="T185" s="59">
        <f t="shared" si="142"/>
        <v>452.7298965816143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2.8273339254752718</v>
      </c>
      <c r="AA185" s="21">
        <f>EXP(-LN(2)/25)*AA184+(1-EXP(-LN(2)/25))/(LN(2)/25)*Calculateur!V185*Calculateur!X185*VLOOKUP('Données projet'!$B$9,Paramètres!$A$1:$I$89,3,0)*0.475*44/12</f>
        <v>0.48112583072310927</v>
      </c>
      <c r="AB185" s="21">
        <f>EXP(-LN(2)/2)*AB184+(1-EXP(-LN(2)/2))/(LN(2)/2)*V185*Y185*VLOOKUP('Données projet'!$B$9,Paramètres!$A$1:$I$89,3,0)*0.475*44/12</f>
        <v>1.2827931285076246E-19</v>
      </c>
      <c r="AC185" s="22">
        <f t="shared" si="163"/>
        <v>3.3084597561983813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2.8421709430404007E-14</v>
      </c>
      <c r="AJ185" s="13">
        <f>AI185*VLOOKUP('Données projet'!$B$10,Paramètres!$A$1:$I$89,3,0)*VLOOKUP('Données projet'!$B$10,Paramètres!$A$1:$I$89,5,0)</f>
        <v>2.4829205358400945E-14</v>
      </c>
      <c r="AK185" s="13">
        <f t="shared" si="164"/>
        <v>4.3867331143352915E-13</v>
      </c>
      <c r="AL185" s="20">
        <f t="shared" si="165"/>
        <v>8.0726688341261168E-13</v>
      </c>
      <c r="AM185" s="59">
        <f t="shared" si="113"/>
        <v>293.33333333333411</v>
      </c>
      <c r="AN185" s="59">
        <f ca="1">AVERAGE(OFFSET($AM$3,0,0,'Données projet'!$E$10+1,1))-AVERAGE(OFFSET($H$3,0,0,'Données projet'!$E$10+1,1))</f>
        <v>201.61452816909701</v>
      </c>
      <c r="AO185" s="59">
        <f t="shared" si="144"/>
        <v>287.77679930887746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4.7486075467414066</v>
      </c>
      <c r="AV185" s="21">
        <f>EXP(-LN(2)/25)*AV184+(1-EXP(-LN(2)/25))/(LN(2)/25)*Calculateur!AQ185*Calculateur!AS185*VLOOKUP('Données projet'!$B$10,Paramètres!$A$1:$I$89,3,0)*0.475*44/12</f>
        <v>1.450789316977982</v>
      </c>
      <c r="AW185" s="21">
        <f>EXP(-LN(2)/2)*AW184+(1-EXP(-LN(2)/2))/(LN(2)/2)*AQ185*AT185*VLOOKUP('Données projet'!$B$10,Paramètres!$A$1:$I$89,3,0)*0.475*44/12</f>
        <v>1.6153759952680834E-17</v>
      </c>
      <c r="AX185" s="21">
        <f t="shared" si="166"/>
        <v>6.1993968637193886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-3.3992364478763198E-14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225.63994281336028</v>
      </c>
      <c r="BJ185" s="59">
        <f t="shared" si="146"/>
        <v>231.19476400361157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9.3952240281020654</v>
      </c>
      <c r="BQ185" s="21">
        <f>EXP(-LN(2)/25)*BQ184+(1-EXP(-LN(2)/25))/(LN(2)/25)*Calculateur!BL185*Calculateur!BN185*VLOOKUP('Données projet'!$B$11,Paramètres!$A$1:$I$89,3,0)*0.475*44/12</f>
        <v>2.9139892466882724</v>
      </c>
      <c r="BR185" s="21">
        <f>EXP(-LN(2)/2)*BR184+(1-EXP(-LN(2)/2))/(LN(2)/2)*BL185*BO185*VLOOKUP('Données projet'!$B$11,Paramètres!$A$1:$I$89,3,0)*0.475*44/12</f>
        <v>2.3496636062862808E-16</v>
      </c>
      <c r="BS185" s="22">
        <f t="shared" si="169"/>
        <v>12.309213274790338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2.6602720026858149E-14</v>
      </c>
      <c r="CA185" s="13">
        <f t="shared" si="170"/>
        <v>4.6624771586320878E-13</v>
      </c>
      <c r="CB185" s="20">
        <f t="shared" si="171"/>
        <v>8.583811758418665E-13</v>
      </c>
      <c r="CC185" s="59">
        <f t="shared" si="119"/>
        <v>293.33333333333417</v>
      </c>
      <c r="CD185" s="59">
        <f ca="1">AVERAGE(OFFSET($CC$3,0,0,'Données projet'!$E$12+1,1))-AVERAGE(OFFSET($H$3,0,0,'Données projet'!$E$12+1,1))</f>
        <v>111.69585394603672</v>
      </c>
      <c r="CE185" s="59">
        <f t="shared" si="148"/>
        <v>162.6701214629764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5.1864491982087735</v>
      </c>
      <c r="CL185" s="21">
        <f>EXP(-LN(2)/25)*CL184+(1-EXP(-LN(2)/25))/(LN(2)/25)*Calculateur!CG185*Calculateur!CI185*VLOOKUP('Données projet'!$B$12,Paramètres!$A$1:$I$89,3,0)*0.475*44/12</f>
        <v>1.6282267626389069</v>
      </c>
      <c r="CM185" s="21">
        <f>EXP(-LN(2)/2)*CM184+(1-EXP(-LN(2)/2))/(LN(2)/2)*CG185*CJ185*VLOOKUP('Données projet'!$B$12,Paramètres!$A$1:$I$89,3,0)*0.475*44/12</f>
        <v>1.394231642486672E-17</v>
      </c>
      <c r="CN185" s="22">
        <f t="shared" si="172"/>
        <v>6.8146759608476799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-5.1431925385259088E-14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320.93171542656671</v>
      </c>
      <c r="T186" s="59">
        <f t="shared" si="142"/>
        <v>452.7298965816143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2.7718916317001159</v>
      </c>
      <c r="AA186" s="21">
        <f>EXP(-LN(2)/25)*AA185+(1-EXP(-LN(2)/25))/(LN(2)/25)*Calculateur!V186*Calculateur!X186*VLOOKUP('Données projet'!$B$9,Paramètres!$A$1:$I$89,3,0)*0.475*44/12</f>
        <v>0.46796941958067806</v>
      </c>
      <c r="AB186" s="21">
        <f>EXP(-LN(2)/2)*AB185+(1-EXP(-LN(2)/2))/(LN(2)/2)*V186*Y186*VLOOKUP('Données projet'!$B$9,Paramètres!$A$1:$I$89,3,0)*0.475*44/12</f>
        <v>9.0707172002724764E-20</v>
      </c>
      <c r="AC186" s="22">
        <f t="shared" si="163"/>
        <v>3.2398610512807942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2.8421709430404007E-14</v>
      </c>
      <c r="AJ186" s="13">
        <f>AI186*VLOOKUP('Données projet'!$B$10,Paramètres!$A$1:$I$89,3,0)*VLOOKUP('Données projet'!$B$10,Paramètres!$A$1:$I$89,5,0)</f>
        <v>2.4829205358400945E-14</v>
      </c>
      <c r="AK186" s="13">
        <f t="shared" si="164"/>
        <v>4.3867331143352915E-13</v>
      </c>
      <c r="AL186" s="20">
        <f t="shared" si="165"/>
        <v>8.0726688341261168E-13</v>
      </c>
      <c r="AM186" s="59">
        <f t="shared" si="113"/>
        <v>293.33333333333411</v>
      </c>
      <c r="AN186" s="59">
        <f ca="1">AVERAGE(OFFSET($AM$3,0,0,'Données projet'!$E$10+1,1))-AVERAGE(OFFSET($H$3,0,0,'Données projet'!$E$10+1,1))</f>
        <v>201.61452816909701</v>
      </c>
      <c r="AO186" s="59">
        <f t="shared" si="144"/>
        <v>287.77679930887746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4.6554902491144192</v>
      </c>
      <c r="AV186" s="21">
        <f>EXP(-LN(2)/25)*AV185+(1-EXP(-LN(2)/25))/(LN(2)/25)*Calculateur!AQ186*Calculateur!AS186*VLOOKUP('Données projet'!$B$10,Paramètres!$A$1:$I$89,3,0)*0.475*44/12</f>
        <v>1.4111174068115246</v>
      </c>
      <c r="AW186" s="21">
        <f>EXP(-LN(2)/2)*AW185+(1-EXP(-LN(2)/2))/(LN(2)/2)*AQ186*AT186*VLOOKUP('Données projet'!$B$10,Paramètres!$A$1:$I$89,3,0)*0.475*44/12</f>
        <v>1.1422433204200301E-17</v>
      </c>
      <c r="AX186" s="21">
        <f t="shared" si="166"/>
        <v>6.0666076559259441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-3.3992364478763198E-14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225.63994281336028</v>
      </c>
      <c r="BJ186" s="59">
        <f t="shared" si="146"/>
        <v>231.19476400361157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9.2109894154317988</v>
      </c>
      <c r="BQ186" s="21">
        <f>EXP(-LN(2)/25)*BQ185+(1-EXP(-LN(2)/25))/(LN(2)/25)*Calculateur!BL186*Calculateur!BN186*VLOOKUP('Données projet'!$B$11,Paramètres!$A$1:$I$89,3,0)*0.475*44/12</f>
        <v>2.8343060574975469</v>
      </c>
      <c r="BR186" s="21">
        <f>EXP(-LN(2)/2)*BR185+(1-EXP(-LN(2)/2))/(LN(2)/2)*BL186*BO186*VLOOKUP('Données projet'!$B$11,Paramètres!$A$1:$I$89,3,0)*0.475*44/12</f>
        <v>1.6614630695122674E-16</v>
      </c>
      <c r="BS186" s="22">
        <f t="shared" si="169"/>
        <v>12.045295472929347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2.6602720026858149E-14</v>
      </c>
      <c r="CA186" s="13">
        <f t="shared" si="170"/>
        <v>4.6624771586320878E-13</v>
      </c>
      <c r="CB186" s="20">
        <f t="shared" si="171"/>
        <v>8.583811758418665E-13</v>
      </c>
      <c r="CC186" s="59">
        <f t="shared" si="119"/>
        <v>293.33333333333417</v>
      </c>
      <c r="CD186" s="59">
        <f ca="1">AVERAGE(OFFSET($CC$3,0,0,'Données projet'!$E$12+1,1))-AVERAGE(OFFSET($H$3,0,0,'Données projet'!$E$12+1,1))</f>
        <v>111.69585394603672</v>
      </c>
      <c r="CE186" s="59">
        <f t="shared" si="148"/>
        <v>162.6701214629764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5.0847460928535488</v>
      </c>
      <c r="CL186" s="21">
        <f>EXP(-LN(2)/25)*CL185+(1-EXP(-LN(2)/25))/(LN(2)/25)*Calculateur!CG186*Calculateur!CI186*VLOOKUP('Données projet'!$B$12,Paramètres!$A$1:$I$89,3,0)*0.475*44/12</f>
        <v>1.5837028161898219</v>
      </c>
      <c r="CM186" s="21">
        <f>EXP(-LN(2)/2)*CM185+(1-EXP(-LN(2)/2))/(LN(2)/2)*CG186*CJ186*VLOOKUP('Données projet'!$B$12,Paramètres!$A$1:$I$89,3,0)*0.475*44/12</f>
        <v>9.8587064894718397E-18</v>
      </c>
      <c r="CN186" s="22">
        <f t="shared" si="172"/>
        <v>6.668448909043371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-5.1431925385259088E-14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320.93171542656671</v>
      </c>
      <c r="T187" s="59">
        <f t="shared" si="142"/>
        <v>452.7298965816143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2.7175365274894303</v>
      </c>
      <c r="AA187" s="21">
        <f>EXP(-LN(2)/25)*AA186+(1-EXP(-LN(2)/25))/(LN(2)/25)*Calculateur!V187*Calculateur!X187*VLOOKUP('Données projet'!$B$9,Paramètres!$A$1:$I$89,3,0)*0.475*44/12</f>
        <v>0.45517277119280219</v>
      </c>
      <c r="AB187" s="21">
        <f>EXP(-LN(2)/2)*AB186+(1-EXP(-LN(2)/2))/(LN(2)/2)*V187*Y187*VLOOKUP('Données projet'!$B$9,Paramètres!$A$1:$I$89,3,0)*0.475*44/12</f>
        <v>6.4139656425381229E-20</v>
      </c>
      <c r="AC187" s="22">
        <f t="shared" si="163"/>
        <v>3.1727092986822325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2.8421709430404007E-14</v>
      </c>
      <c r="AJ187" s="13">
        <f>AI187*VLOOKUP('Données projet'!$B$10,Paramètres!$A$1:$I$89,3,0)*VLOOKUP('Données projet'!$B$10,Paramètres!$A$1:$I$89,5,0)</f>
        <v>2.4829205358400945E-14</v>
      </c>
      <c r="AK187" s="13">
        <f t="shared" si="164"/>
        <v>4.3867331143352915E-13</v>
      </c>
      <c r="AL187" s="20">
        <f t="shared" si="165"/>
        <v>8.0726688341261168E-13</v>
      </c>
      <c r="AM187" s="59">
        <f t="shared" si="113"/>
        <v>293.33333333333411</v>
      </c>
      <c r="AN187" s="59">
        <f ca="1">AVERAGE(OFFSET($AM$3,0,0,'Données projet'!$E$10+1,1))-AVERAGE(OFFSET($H$3,0,0,'Données projet'!$E$10+1,1))</f>
        <v>201.61452816909701</v>
      </c>
      <c r="AO187" s="59">
        <f t="shared" si="144"/>
        <v>287.77679930887746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4.5641989248979531</v>
      </c>
      <c r="AV187" s="21">
        <f>EXP(-LN(2)/25)*AV186+(1-EXP(-LN(2)/25))/(LN(2)/25)*Calculateur!AQ187*Calculateur!AS187*VLOOKUP('Données projet'!$B$10,Paramètres!$A$1:$I$89,3,0)*0.475*44/12</f>
        <v>1.3725303271148241</v>
      </c>
      <c r="AW187" s="21">
        <f>EXP(-LN(2)/2)*AW186+(1-EXP(-LN(2)/2))/(LN(2)/2)*AQ187*AT187*VLOOKUP('Données projet'!$B$10,Paramètres!$A$1:$I$89,3,0)*0.475*44/12</f>
        <v>8.076879976340417E-18</v>
      </c>
      <c r="AX187" s="21">
        <f t="shared" si="166"/>
        <v>5.9367292520127775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-3.3992364478763198E-14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225.63994281336028</v>
      </c>
      <c r="BJ187" s="59">
        <f t="shared" si="146"/>
        <v>231.19476400361157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9.0303675311439786</v>
      </c>
      <c r="BQ187" s="21">
        <f>EXP(-LN(2)/25)*BQ186+(1-EXP(-LN(2)/25))/(LN(2)/25)*Calculateur!BL187*Calculateur!BN187*VLOOKUP('Données projet'!$B$11,Paramètres!$A$1:$I$89,3,0)*0.475*44/12</f>
        <v>2.7568018093055988</v>
      </c>
      <c r="BR187" s="21">
        <f>EXP(-LN(2)/2)*BR186+(1-EXP(-LN(2)/2))/(LN(2)/2)*BL187*BO187*VLOOKUP('Données projet'!$B$11,Paramètres!$A$1:$I$89,3,0)*0.475*44/12</f>
        <v>1.1748318031431404E-16</v>
      </c>
      <c r="BS187" s="22">
        <f t="shared" si="169"/>
        <v>11.787169340449577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2.6602720026858149E-14</v>
      </c>
      <c r="CA187" s="13">
        <f t="shared" si="170"/>
        <v>4.6624771586320878E-13</v>
      </c>
      <c r="CB187" s="20">
        <f t="shared" si="171"/>
        <v>8.583811758418665E-13</v>
      </c>
      <c r="CC187" s="59">
        <f t="shared" si="119"/>
        <v>293.33333333333417</v>
      </c>
      <c r="CD187" s="59">
        <f ca="1">AVERAGE(OFFSET($CC$3,0,0,'Données projet'!$E$12+1,1))-AVERAGE(OFFSET($H$3,0,0,'Données projet'!$E$12+1,1))</f>
        <v>111.69585394603672</v>
      </c>
      <c r="CE187" s="59">
        <f t="shared" si="148"/>
        <v>162.6701214629764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4.9850373233615706</v>
      </c>
      <c r="CL187" s="21">
        <f>EXP(-LN(2)/25)*CL186+(1-EXP(-LN(2)/25))/(LN(2)/25)*Calculateur!CG187*Calculateur!CI187*VLOOKUP('Données projet'!$B$12,Paramètres!$A$1:$I$89,3,0)*0.475*44/12</f>
        <v>1.5403963793977997</v>
      </c>
      <c r="CM187" s="21">
        <f>EXP(-LN(2)/2)*CM186+(1-EXP(-LN(2)/2))/(LN(2)/2)*CG187*CJ187*VLOOKUP('Données projet'!$B$12,Paramètres!$A$1:$I$89,3,0)*0.475*44/12</f>
        <v>6.9711582124333601E-18</v>
      </c>
      <c r="CN187" s="22">
        <f t="shared" si="172"/>
        <v>6.5254337027593703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-5.1431925385259088E-14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320.93171542656671</v>
      </c>
      <c r="T188" s="59">
        <f t="shared" si="142"/>
        <v>452.7298965816143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2.6642472937189763</v>
      </c>
      <c r="AA188" s="21">
        <f>EXP(-LN(2)/25)*AA187+(1-EXP(-LN(2)/25))/(LN(2)/25)*Calculateur!V188*Calculateur!X188*VLOOKUP('Données projet'!$B$9,Paramètres!$A$1:$I$89,3,0)*0.475*44/12</f>
        <v>0.44272604782803932</v>
      </c>
      <c r="AB188" s="21">
        <f>EXP(-LN(2)/2)*AB187+(1-EXP(-LN(2)/2))/(LN(2)/2)*V188*Y188*VLOOKUP('Données projet'!$B$9,Paramètres!$A$1:$I$89,3,0)*0.475*44/12</f>
        <v>4.5353586001362382E-20</v>
      </c>
      <c r="AC188" s="22">
        <f t="shared" si="163"/>
        <v>3.1069733415470155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2.8421709430404007E-14</v>
      </c>
      <c r="AJ188" s="13">
        <f>AI188*VLOOKUP('Données projet'!$B$10,Paramètres!$A$1:$I$89,3,0)*VLOOKUP('Données projet'!$B$10,Paramètres!$A$1:$I$89,5,0)</f>
        <v>2.4829205358400945E-14</v>
      </c>
      <c r="AK188" s="13">
        <f t="shared" si="164"/>
        <v>4.3867331143352915E-13</v>
      </c>
      <c r="AL188" s="20">
        <f t="shared" si="165"/>
        <v>8.0726688341261168E-13</v>
      </c>
      <c r="AM188" s="59">
        <f t="shared" si="113"/>
        <v>293.33333333333411</v>
      </c>
      <c r="AN188" s="59">
        <f ca="1">AVERAGE(OFFSET($AM$3,0,0,'Données projet'!$E$10+1,1))-AVERAGE(OFFSET($H$3,0,0,'Données projet'!$E$10+1,1))</f>
        <v>201.61452816909701</v>
      </c>
      <c r="AO188" s="59">
        <f t="shared" si="144"/>
        <v>287.77679930887746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4.4746977678671627</v>
      </c>
      <c r="AV188" s="21">
        <f>EXP(-LN(2)/25)*AV187+(1-EXP(-LN(2)/25))/(LN(2)/25)*Calculateur!AQ188*Calculateur!AS188*VLOOKUP('Données projet'!$B$10,Paramètres!$A$1:$I$89,3,0)*0.475*44/12</f>
        <v>1.3349984131416364</v>
      </c>
      <c r="AW188" s="21">
        <f>EXP(-LN(2)/2)*AW187+(1-EXP(-LN(2)/2))/(LN(2)/2)*AQ188*AT188*VLOOKUP('Données projet'!$B$10,Paramètres!$A$1:$I$89,3,0)*0.475*44/12</f>
        <v>5.7112166021001505E-18</v>
      </c>
      <c r="AX188" s="21">
        <f t="shared" si="166"/>
        <v>5.8096961810087988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-3.3992364478763198E-14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225.63994281336028</v>
      </c>
      <c r="BJ188" s="59">
        <f t="shared" si="146"/>
        <v>231.19476400361157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8.8532875318385713</v>
      </c>
      <c r="BQ188" s="21">
        <f>EXP(-LN(2)/25)*BQ187+(1-EXP(-LN(2)/25))/(LN(2)/25)*Calculateur!BL188*Calculateur!BN188*VLOOKUP('Données projet'!$B$11,Paramètres!$A$1:$I$89,3,0)*0.475*44/12</f>
        <v>2.6814169188562307</v>
      </c>
      <c r="BR188" s="21">
        <f>EXP(-LN(2)/2)*BR187+(1-EXP(-LN(2)/2))/(LN(2)/2)*BL188*BO188*VLOOKUP('Données projet'!$B$11,Paramètres!$A$1:$I$89,3,0)*0.475*44/12</f>
        <v>8.307315347561337E-17</v>
      </c>
      <c r="BS188" s="22">
        <f t="shared" si="169"/>
        <v>11.534704450694802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2.6602720026858149E-14</v>
      </c>
      <c r="CA188" s="13">
        <f t="shared" si="170"/>
        <v>4.6624771586320878E-13</v>
      </c>
      <c r="CB188" s="20">
        <f t="shared" si="171"/>
        <v>8.583811758418665E-13</v>
      </c>
      <c r="CC188" s="59">
        <f t="shared" si="119"/>
        <v>293.33333333333417</v>
      </c>
      <c r="CD188" s="59">
        <f ca="1">AVERAGE(OFFSET($CC$3,0,0,'Données projet'!$E$12+1,1))-AVERAGE(OFFSET($H$3,0,0,'Données projet'!$E$12+1,1))</f>
        <v>111.69585394603672</v>
      </c>
      <c r="CE188" s="59">
        <f t="shared" si="148"/>
        <v>162.6701214629764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4.887283782022986</v>
      </c>
      <c r="CL188" s="21">
        <f>EXP(-LN(2)/25)*CL187+(1-EXP(-LN(2)/25))/(LN(2)/25)*Calculateur!CG188*Calculateur!CI188*VLOOKUP('Données projet'!$B$12,Paramètres!$A$1:$I$89,3,0)*0.475*44/12</f>
        <v>1.498274159397242</v>
      </c>
      <c r="CM188" s="21">
        <f>EXP(-LN(2)/2)*CM187+(1-EXP(-LN(2)/2))/(LN(2)/2)*CG188*CJ188*VLOOKUP('Données projet'!$B$12,Paramètres!$A$1:$I$89,3,0)*0.475*44/12</f>
        <v>4.9293532447359199E-18</v>
      </c>
      <c r="CN188" s="22">
        <f t="shared" si="172"/>
        <v>6.3855579414202275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-5.1431925385259088E-14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320.93171542656671</v>
      </c>
      <c r="T189" s="59">
        <f t="shared" si="142"/>
        <v>452.7298965816143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2.612003029319538</v>
      </c>
      <c r="AA189" s="21">
        <f>EXP(-LN(2)/25)*AA188+(1-EXP(-LN(2)/25))/(LN(2)/25)*Calculateur!V189*Calculateur!X189*VLOOKUP('Données projet'!$B$9,Paramètres!$A$1:$I$89,3,0)*0.475*44/12</f>
        <v>0.43061968076823059</v>
      </c>
      <c r="AB189" s="21">
        <f>EXP(-LN(2)/2)*AB188+(1-EXP(-LN(2)/2))/(LN(2)/2)*V189*Y189*VLOOKUP('Données projet'!$B$9,Paramètres!$A$1:$I$89,3,0)*0.475*44/12</f>
        <v>3.2069828212690614E-20</v>
      </c>
      <c r="AC189" s="22">
        <f t="shared" si="163"/>
        <v>3.0426227100877687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2.8421709430404007E-14</v>
      </c>
      <c r="AJ189" s="13">
        <f>AI189*VLOOKUP('Données projet'!$B$10,Paramètres!$A$1:$I$89,3,0)*VLOOKUP('Données projet'!$B$10,Paramètres!$A$1:$I$89,5,0)</f>
        <v>2.4829205358400945E-14</v>
      </c>
      <c r="AK189" s="13">
        <f t="shared" si="164"/>
        <v>4.3867331143352915E-13</v>
      </c>
      <c r="AL189" s="20">
        <f t="shared" si="165"/>
        <v>8.0726688341261168E-13</v>
      </c>
      <c r="AM189" s="59">
        <f t="shared" si="113"/>
        <v>293.33333333333411</v>
      </c>
      <c r="AN189" s="59">
        <f ca="1">AVERAGE(OFFSET($AM$3,0,0,'Données projet'!$E$10+1,1))-AVERAGE(OFFSET($H$3,0,0,'Données projet'!$E$10+1,1))</f>
        <v>201.61452816909701</v>
      </c>
      <c r="AO189" s="59">
        <f t="shared" si="144"/>
        <v>287.77679930887746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4.3869516739354308</v>
      </c>
      <c r="AV189" s="21">
        <f>EXP(-LN(2)/25)*AV188+(1-EXP(-LN(2)/25))/(LN(2)/25)*Calculateur!AQ189*Calculateur!AS189*VLOOKUP('Données projet'!$B$10,Paramètres!$A$1:$I$89,3,0)*0.475*44/12</f>
        <v>1.2984928113297629</v>
      </c>
      <c r="AW189" s="21">
        <f>EXP(-LN(2)/2)*AW188+(1-EXP(-LN(2)/2))/(LN(2)/2)*AQ189*AT189*VLOOKUP('Données projet'!$B$10,Paramètres!$A$1:$I$89,3,0)*0.475*44/12</f>
        <v>4.0384399881702085E-18</v>
      </c>
      <c r="AX189" s="21">
        <f t="shared" si="166"/>
        <v>5.6854444852651937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-3.3992364478763198E-14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225.63994281336028</v>
      </c>
      <c r="BJ189" s="59">
        <f t="shared" si="146"/>
        <v>231.19476400361157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8.6796799633114077</v>
      </c>
      <c r="BQ189" s="21">
        <f>EXP(-LN(2)/25)*BQ188+(1-EXP(-LN(2)/25))/(LN(2)/25)*Calculateur!BL189*Calculateur!BN189*VLOOKUP('Données projet'!$B$11,Paramètres!$A$1:$I$89,3,0)*0.475*44/12</f>
        <v>2.6080934322005196</v>
      </c>
      <c r="BR189" s="21">
        <f>EXP(-LN(2)/2)*BR188+(1-EXP(-LN(2)/2))/(LN(2)/2)*BL189*BO189*VLOOKUP('Données projet'!$B$11,Paramètres!$A$1:$I$89,3,0)*0.475*44/12</f>
        <v>5.8741590157157021E-17</v>
      </c>
      <c r="BS189" s="22">
        <f t="shared" si="169"/>
        <v>11.287773395511927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2.6602720026858149E-14</v>
      </c>
      <c r="CA189" s="13">
        <f t="shared" si="170"/>
        <v>4.6624771586320878E-13</v>
      </c>
      <c r="CB189" s="20">
        <f t="shared" si="171"/>
        <v>8.583811758418665E-13</v>
      </c>
      <c r="CC189" s="59">
        <f t="shared" si="119"/>
        <v>293.33333333333417</v>
      </c>
      <c r="CD189" s="59">
        <f ca="1">AVERAGE(OFFSET($CC$3,0,0,'Données projet'!$E$12+1,1))-AVERAGE(OFFSET($H$3,0,0,'Données projet'!$E$12+1,1))</f>
        <v>111.69585394603672</v>
      </c>
      <c r="CE189" s="59">
        <f t="shared" si="148"/>
        <v>162.6701214629764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4.7914471280062783</v>
      </c>
      <c r="CL189" s="21">
        <f>EXP(-LN(2)/25)*CL188+(1-EXP(-LN(2)/25))/(LN(2)/25)*Calculateur!CG189*Calculateur!CI189*VLOOKUP('Données projet'!$B$12,Paramètres!$A$1:$I$89,3,0)*0.475*44/12</f>
        <v>1.4573037737177106</v>
      </c>
      <c r="CM189" s="21">
        <f>EXP(-LN(2)/2)*CM188+(1-EXP(-LN(2)/2))/(LN(2)/2)*CG189*CJ189*VLOOKUP('Données projet'!$B$12,Paramètres!$A$1:$I$89,3,0)*0.475*44/12</f>
        <v>3.48557910621668E-18</v>
      </c>
      <c r="CN189" s="22">
        <f t="shared" si="172"/>
        <v>6.2487509017239891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-5.1431925385259088E-14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320.93171542656671</v>
      </c>
      <c r="T190" s="59">
        <f t="shared" si="142"/>
        <v>452.7298965816143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2.560783243079118</v>
      </c>
      <c r="AA190" s="21">
        <f>EXP(-LN(2)/25)*AA189+(1-EXP(-LN(2)/25))/(LN(2)/25)*Calculateur!V190*Calculateur!X190*VLOOKUP('Données projet'!$B$9,Paramètres!$A$1:$I$89,3,0)*0.475*44/12</f>
        <v>0.41884436295231853</v>
      </c>
      <c r="AB190" s="21">
        <f>EXP(-LN(2)/2)*AB189+(1-EXP(-LN(2)/2))/(LN(2)/2)*V190*Y190*VLOOKUP('Données projet'!$B$9,Paramètres!$A$1:$I$89,3,0)*0.475*44/12</f>
        <v>2.2676793000681191E-20</v>
      </c>
      <c r="AC190" s="22">
        <f t="shared" si="163"/>
        <v>2.9796276060314364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2.8421709430404007E-14</v>
      </c>
      <c r="AJ190" s="13">
        <f>AI190*VLOOKUP('Données projet'!$B$10,Paramètres!$A$1:$I$89,3,0)*VLOOKUP('Données projet'!$B$10,Paramètres!$A$1:$I$89,5,0)</f>
        <v>2.4829205358400945E-14</v>
      </c>
      <c r="AK190" s="13">
        <f t="shared" si="164"/>
        <v>4.3867331143352915E-13</v>
      </c>
      <c r="AL190" s="20">
        <f t="shared" si="165"/>
        <v>8.0726688341261168E-13</v>
      </c>
      <c r="AM190" s="59">
        <f t="shared" si="113"/>
        <v>293.33333333333411</v>
      </c>
      <c r="AN190" s="59">
        <f ca="1">AVERAGE(OFFSET($AM$3,0,0,'Données projet'!$E$10+1,1))-AVERAGE(OFFSET($H$3,0,0,'Données projet'!$E$10+1,1))</f>
        <v>201.61452816909701</v>
      </c>
      <c r="AO190" s="59">
        <f t="shared" si="144"/>
        <v>287.77679930887746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4.3009262273858671</v>
      </c>
      <c r="AV190" s="21">
        <f>EXP(-LN(2)/25)*AV189+(1-EXP(-LN(2)/25))/(LN(2)/25)*Calculateur!AQ190*Calculateur!AS190*VLOOKUP('Données projet'!$B$10,Paramètres!$A$1:$I$89,3,0)*0.475*44/12</f>
        <v>1.2629854571191814</v>
      </c>
      <c r="AW190" s="21">
        <f>EXP(-LN(2)/2)*AW189+(1-EXP(-LN(2)/2))/(LN(2)/2)*AQ190*AT190*VLOOKUP('Données projet'!$B$10,Paramètres!$A$1:$I$89,3,0)*0.475*44/12</f>
        <v>2.8556083010500752E-18</v>
      </c>
      <c r="AX190" s="21">
        <f t="shared" si="166"/>
        <v>5.5639116845050482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-3.3992364478763198E-14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225.63994281336028</v>
      </c>
      <c r="BJ190" s="59">
        <f t="shared" si="146"/>
        <v>231.19476400361157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8.5094767333129013</v>
      </c>
      <c r="BQ190" s="21">
        <f>EXP(-LN(2)/25)*BQ189+(1-EXP(-LN(2)/25))/(LN(2)/25)*Calculateur!BL190*Calculateur!BN190*VLOOKUP('Données projet'!$B$11,Paramètres!$A$1:$I$89,3,0)*0.475*44/12</f>
        <v>2.5367749801433237</v>
      </c>
      <c r="BR190" s="21">
        <f>EXP(-LN(2)/2)*BR189+(1-EXP(-LN(2)/2))/(LN(2)/2)*BL190*BO190*VLOOKUP('Données projet'!$B$11,Paramètres!$A$1:$I$89,3,0)*0.475*44/12</f>
        <v>4.1536576737806685E-17</v>
      </c>
      <c r="BS190" s="22">
        <f t="shared" si="169"/>
        <v>11.046251713456225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2.6602720026858149E-14</v>
      </c>
      <c r="CA190" s="13">
        <f t="shared" si="170"/>
        <v>4.6624771586320878E-13</v>
      </c>
      <c r="CB190" s="20">
        <f t="shared" si="171"/>
        <v>8.583811758418665E-13</v>
      </c>
      <c r="CC190" s="59">
        <f t="shared" si="119"/>
        <v>293.33333333333417</v>
      </c>
      <c r="CD190" s="59">
        <f ca="1">AVERAGE(OFFSET($CC$3,0,0,'Données projet'!$E$12+1,1))-AVERAGE(OFFSET($H$3,0,0,'Données projet'!$E$12+1,1))</f>
        <v>111.69585394603672</v>
      </c>
      <c r="CE190" s="59">
        <f t="shared" si="148"/>
        <v>162.6701214629764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4.6974897723202513</v>
      </c>
      <c r="CL190" s="21">
        <f>EXP(-LN(2)/25)*CL189+(1-EXP(-LN(2)/25))/(LN(2)/25)*Calculateur!CG190*Calculateur!CI190*VLOOKUP('Données projet'!$B$12,Paramètres!$A$1:$I$89,3,0)*0.475*44/12</f>
        <v>1.4174537253891251</v>
      </c>
      <c r="CM190" s="21">
        <f>EXP(-LN(2)/2)*CM189+(1-EXP(-LN(2)/2))/(LN(2)/2)*CG190*CJ190*VLOOKUP('Données projet'!$B$12,Paramètres!$A$1:$I$89,3,0)*0.475*44/12</f>
        <v>2.4646766223679599E-18</v>
      </c>
      <c r="CN190" s="22">
        <f t="shared" si="172"/>
        <v>6.1149434977093762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-5.1431925385259088E-14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320.93171542656671</v>
      </c>
      <c r="T191" s="59">
        <f t="shared" si="142"/>
        <v>452.7298965816143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2.5105678456058875</v>
      </c>
      <c r="AA191" s="21">
        <f>EXP(-LN(2)/25)*AA190+(1-EXP(-LN(2)/25))/(LN(2)/25)*Calculateur!V191*Calculateur!X191*VLOOKUP('Données projet'!$B$9,Paramètres!$A$1:$I$89,3,0)*0.475*44/12</f>
        <v>0.40739104182131963</v>
      </c>
      <c r="AB191" s="21">
        <f>EXP(-LN(2)/2)*AB190+(1-EXP(-LN(2)/2))/(LN(2)/2)*V191*Y191*VLOOKUP('Données projet'!$B$9,Paramètres!$A$1:$I$89,3,0)*0.475*44/12</f>
        <v>1.6034914106345307E-20</v>
      </c>
      <c r="AC191" s="22">
        <f t="shared" si="163"/>
        <v>2.9179588874272073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2.8421709430404007E-14</v>
      </c>
      <c r="AJ191" s="13">
        <f>AI191*VLOOKUP('Données projet'!$B$10,Paramètres!$A$1:$I$89,3,0)*VLOOKUP('Données projet'!$B$10,Paramètres!$A$1:$I$89,5,0)</f>
        <v>2.4829205358400945E-14</v>
      </c>
      <c r="AK191" s="13">
        <f t="shared" si="164"/>
        <v>4.3867331143352915E-13</v>
      </c>
      <c r="AL191" s="20">
        <f t="shared" si="165"/>
        <v>8.0726688341261168E-13</v>
      </c>
      <c r="AM191" s="59">
        <f t="shared" si="113"/>
        <v>293.33333333333411</v>
      </c>
      <c r="AN191" s="59">
        <f ca="1">AVERAGE(OFFSET($AM$3,0,0,'Données projet'!$E$10+1,1))-AVERAGE(OFFSET($H$3,0,0,'Données projet'!$E$10+1,1))</f>
        <v>201.61452816909701</v>
      </c>
      <c r="AO191" s="59">
        <f t="shared" si="144"/>
        <v>287.77679930887746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4.2165876873727992</v>
      </c>
      <c r="AV191" s="21">
        <f>EXP(-LN(2)/25)*AV190+(1-EXP(-LN(2)/25))/(LN(2)/25)*Calculateur!AQ191*Calculateur!AS191*VLOOKUP('Données projet'!$B$10,Paramètres!$A$1:$I$89,3,0)*0.475*44/12</f>
        <v>1.2284490533767387</v>
      </c>
      <c r="AW191" s="21">
        <f>EXP(-LN(2)/2)*AW190+(1-EXP(-LN(2)/2))/(LN(2)/2)*AQ191*AT191*VLOOKUP('Données projet'!$B$10,Paramètres!$A$1:$I$89,3,0)*0.475*44/12</f>
        <v>2.0192199940851042E-18</v>
      </c>
      <c r="AX191" s="21">
        <f t="shared" si="166"/>
        <v>5.4450367407495381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-3.3992364478763198E-14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225.63994281336028</v>
      </c>
      <c r="BJ191" s="59">
        <f t="shared" si="146"/>
        <v>231.19476400361157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8.3426110848409465</v>
      </c>
      <c r="BQ191" s="21">
        <f>EXP(-LN(2)/25)*BQ190+(1-EXP(-LN(2)/25))/(LN(2)/25)*Calculateur!BL191*Calculateur!BN191*VLOOKUP('Données projet'!$B$11,Paramètres!$A$1:$I$89,3,0)*0.475*44/12</f>
        <v>2.4674067349081064</v>
      </c>
      <c r="BR191" s="21">
        <f>EXP(-LN(2)/2)*BR190+(1-EXP(-LN(2)/2))/(LN(2)/2)*BL191*BO191*VLOOKUP('Données projet'!$B$11,Paramètres!$A$1:$I$89,3,0)*0.475*44/12</f>
        <v>2.9370795078578511E-17</v>
      </c>
      <c r="BS191" s="22">
        <f t="shared" si="169"/>
        <v>10.810017819749053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2.6602720026858149E-14</v>
      </c>
      <c r="CA191" s="13">
        <f t="shared" si="170"/>
        <v>4.6624771586320878E-13</v>
      </c>
      <c r="CB191" s="20">
        <f t="shared" si="171"/>
        <v>8.583811758418665E-13</v>
      </c>
      <c r="CC191" s="59">
        <f t="shared" si="119"/>
        <v>293.33333333333417</v>
      </c>
      <c r="CD191" s="59">
        <f ca="1">AVERAGE(OFFSET($CC$3,0,0,'Données projet'!$E$12+1,1))-AVERAGE(OFFSET($H$3,0,0,'Données projet'!$E$12+1,1))</f>
        <v>111.69585394603672</v>
      </c>
      <c r="CE191" s="59">
        <f t="shared" si="148"/>
        <v>162.6701214629764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4.6053748630708986</v>
      </c>
      <c r="CL191" s="21">
        <f>EXP(-LN(2)/25)*CL190+(1-EXP(-LN(2)/25))/(LN(2)/25)*Calculateur!CG191*Calculateur!CI191*VLOOKUP('Données projet'!$B$12,Paramètres!$A$1:$I$89,3,0)*0.475*44/12</f>
        <v>1.3786933787277076</v>
      </c>
      <c r="CM191" s="21">
        <f>EXP(-LN(2)/2)*CM190+(1-EXP(-LN(2)/2))/(LN(2)/2)*CG191*CJ191*VLOOKUP('Données projet'!$B$12,Paramètres!$A$1:$I$89,3,0)*0.475*44/12</f>
        <v>1.74278955310834E-18</v>
      </c>
      <c r="CN191" s="22">
        <f t="shared" si="172"/>
        <v>5.9840682417986066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-5.1431925385259088E-14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320.93171542656671</v>
      </c>
      <c r="T192" s="59">
        <f t="shared" si="142"/>
        <v>452.7298965816143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2.4613371414487388</v>
      </c>
      <c r="AA192" s="21">
        <f>EXP(-LN(2)/25)*AA191+(1-EXP(-LN(2)/25))/(LN(2)/25)*Calculateur!V192*Calculateur!X192*VLOOKUP('Données projet'!$B$9,Paramètres!$A$1:$I$89,3,0)*0.475*44/12</f>
        <v>0.39625091235895188</v>
      </c>
      <c r="AB192" s="21">
        <f>EXP(-LN(2)/2)*AB191+(1-EXP(-LN(2)/2))/(LN(2)/2)*V192*Y192*VLOOKUP('Données projet'!$B$9,Paramètres!$A$1:$I$89,3,0)*0.475*44/12</f>
        <v>1.1338396500340596E-20</v>
      </c>
      <c r="AC192" s="22">
        <f t="shared" si="163"/>
        <v>2.8575880538076905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2.8421709430404007E-14</v>
      </c>
      <c r="AJ192" s="13">
        <f>AI192*VLOOKUP('Données projet'!$B$10,Paramètres!$A$1:$I$89,3,0)*VLOOKUP('Données projet'!$B$10,Paramètres!$A$1:$I$89,5,0)</f>
        <v>2.4829205358400945E-14</v>
      </c>
      <c r="AK192" s="13">
        <f t="shared" si="164"/>
        <v>4.3867331143352915E-13</v>
      </c>
      <c r="AL192" s="20">
        <f t="shared" si="165"/>
        <v>8.0726688341261168E-13</v>
      </c>
      <c r="AM192" s="59">
        <f t="shared" si="113"/>
        <v>293.33333333333411</v>
      </c>
      <c r="AN192" s="59">
        <f ca="1">AVERAGE(OFFSET($AM$3,0,0,'Données projet'!$E$10+1,1))-AVERAGE(OFFSET($H$3,0,0,'Données projet'!$E$10+1,1))</f>
        <v>201.61452816909701</v>
      </c>
      <c r="AO192" s="59">
        <f t="shared" si="144"/>
        <v>287.77679930887746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4.133902974687957</v>
      </c>
      <c r="AV192" s="21">
        <f>EXP(-LN(2)/25)*AV191+(1-EXP(-LN(2)/25))/(LN(2)/25)*Calculateur!AQ192*Calculateur!AS192*VLOOKUP('Données projet'!$B$10,Paramètres!$A$1:$I$89,3,0)*0.475*44/12</f>
        <v>1.1948570494108237</v>
      </c>
      <c r="AW192" s="21">
        <f>EXP(-LN(2)/2)*AW191+(1-EXP(-LN(2)/2))/(LN(2)/2)*AQ192*AT192*VLOOKUP('Données projet'!$B$10,Paramètres!$A$1:$I$89,3,0)*0.475*44/12</f>
        <v>1.4278041505250376E-18</v>
      </c>
      <c r="AX192" s="21">
        <f t="shared" si="166"/>
        <v>5.3287600240987807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-3.3992364478763198E-14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225.63994281336028</v>
      </c>
      <c r="BJ192" s="59">
        <f t="shared" si="146"/>
        <v>231.19476400361157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8.17901756995753</v>
      </c>
      <c r="BQ192" s="21">
        <f>EXP(-LN(2)/25)*BQ191+(1-EXP(-LN(2)/25))/(LN(2)/25)*Calculateur!BL192*Calculateur!BN192*VLOOKUP('Données projet'!$B$11,Paramètres!$A$1:$I$89,3,0)*0.475*44/12</f>
        <v>2.3999353679867634</v>
      </c>
      <c r="BR192" s="21">
        <f>EXP(-LN(2)/2)*BR191+(1-EXP(-LN(2)/2))/(LN(2)/2)*BL192*BO192*VLOOKUP('Données projet'!$B$11,Paramètres!$A$1:$I$89,3,0)*0.475*44/12</f>
        <v>2.0768288368903342E-17</v>
      </c>
      <c r="BS192" s="22">
        <f t="shared" si="169"/>
        <v>10.578952937944294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2.6602720026858149E-14</v>
      </c>
      <c r="CA192" s="13">
        <f t="shared" si="170"/>
        <v>4.6624771586320878E-13</v>
      </c>
      <c r="CB192" s="20">
        <f t="shared" si="171"/>
        <v>8.583811758418665E-13</v>
      </c>
      <c r="CC192" s="59">
        <f t="shared" si="119"/>
        <v>293.33333333333417</v>
      </c>
      <c r="CD192" s="59">
        <f ca="1">AVERAGE(OFFSET($CC$3,0,0,'Données projet'!$E$12+1,1))-AVERAGE(OFFSET($H$3,0,0,'Données projet'!$E$12+1,1))</f>
        <v>111.69585394603672</v>
      </c>
      <c r="CE192" s="59">
        <f t="shared" si="148"/>
        <v>162.6701214629764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4.5150662710073792</v>
      </c>
      <c r="CL192" s="21">
        <f>EXP(-LN(2)/25)*CL191+(1-EXP(-LN(2)/25))/(LN(2)/25)*Calculateur!CG192*Calculateur!CI192*VLOOKUP('Données projet'!$B$12,Paramètres!$A$1:$I$89,3,0)*0.475*44/12</f>
        <v>1.3409929357840646</v>
      </c>
      <c r="CM192" s="21">
        <f>EXP(-LN(2)/2)*CM191+(1-EXP(-LN(2)/2))/(LN(2)/2)*CG192*CJ192*VLOOKUP('Données projet'!$B$12,Paramètres!$A$1:$I$89,3,0)*0.475*44/12</f>
        <v>1.23233831118398E-18</v>
      </c>
      <c r="CN192" s="22">
        <f t="shared" si="172"/>
        <v>5.8560592067914436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-5.1431925385259088E-14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320.93171542656671</v>
      </c>
      <c r="T193" s="59">
        <f t="shared" si="142"/>
        <v>452.7298965816143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2.4130718213723474</v>
      </c>
      <c r="AA193" s="21">
        <f>EXP(-LN(2)/25)*AA192+(1-EXP(-LN(2)/25))/(LN(2)/25)*Calculateur!V193*Calculateur!X193*VLOOKUP('Données projet'!$B$9,Paramètres!$A$1:$I$89,3,0)*0.475*44/12</f>
        <v>0.38541541032256649</v>
      </c>
      <c r="AB193" s="21">
        <f>EXP(-LN(2)/2)*AB192+(1-EXP(-LN(2)/2))/(LN(2)/2)*V193*Y193*VLOOKUP('Données projet'!$B$9,Paramètres!$A$1:$I$89,3,0)*0.475*44/12</f>
        <v>8.0174570531726536E-21</v>
      </c>
      <c r="AC193" s="22">
        <f t="shared" si="163"/>
        <v>2.7984872316949141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2.8421709430404007E-14</v>
      </c>
      <c r="AJ193" s="13">
        <f>AI193*VLOOKUP('Données projet'!$B$10,Paramètres!$A$1:$I$89,3,0)*VLOOKUP('Données projet'!$B$10,Paramètres!$A$1:$I$89,5,0)</f>
        <v>2.4829205358400945E-14</v>
      </c>
      <c r="AK193" s="13">
        <f t="shared" si="164"/>
        <v>4.3867331143352915E-13</v>
      </c>
      <c r="AL193" s="20">
        <f t="shared" si="165"/>
        <v>8.0726688341261168E-13</v>
      </c>
      <c r="AM193" s="59">
        <f t="shared" si="113"/>
        <v>293.33333333333411</v>
      </c>
      <c r="AN193" s="59">
        <f ca="1">AVERAGE(OFFSET($AM$3,0,0,'Données projet'!$E$10+1,1))-AVERAGE(OFFSET($H$3,0,0,'Données projet'!$E$10+1,1))</f>
        <v>201.61452816909701</v>
      </c>
      <c r="AO193" s="59">
        <f t="shared" si="144"/>
        <v>287.77679930887746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4.0528396587861701</v>
      </c>
      <c r="AV193" s="21">
        <f>EXP(-LN(2)/25)*AV192+(1-EXP(-LN(2)/25))/(LN(2)/25)*Calculateur!AQ193*Calculateur!AS193*VLOOKUP('Données projet'!$B$10,Paramètres!$A$1:$I$89,3,0)*0.475*44/12</f>
        <v>1.1621836205598834</v>
      </c>
      <c r="AW193" s="21">
        <f>EXP(-LN(2)/2)*AW192+(1-EXP(-LN(2)/2))/(LN(2)/2)*AQ193*AT193*VLOOKUP('Données projet'!$B$10,Paramètres!$A$1:$I$89,3,0)*0.475*44/12</f>
        <v>1.0096099970425521E-18</v>
      </c>
      <c r="AX193" s="21">
        <f t="shared" si="166"/>
        <v>5.2150232793460534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-3.3992364478763198E-14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225.63994281336028</v>
      </c>
      <c r="BJ193" s="59">
        <f t="shared" si="146"/>
        <v>231.19476400361157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8.0186320241187872</v>
      </c>
      <c r="BQ193" s="21">
        <f>EXP(-LN(2)/25)*BQ192+(1-EXP(-LN(2)/25))/(LN(2)/25)*Calculateur!BL193*Calculateur!BN193*VLOOKUP('Données projet'!$B$11,Paramètres!$A$1:$I$89,3,0)*0.475*44/12</f>
        <v>2.3343090091420495</v>
      </c>
      <c r="BR193" s="21">
        <f>EXP(-LN(2)/2)*BR192+(1-EXP(-LN(2)/2))/(LN(2)/2)*BL193*BO193*VLOOKUP('Données projet'!$B$11,Paramètres!$A$1:$I$89,3,0)*0.475*44/12</f>
        <v>1.4685397539289255E-17</v>
      </c>
      <c r="BS193" s="22">
        <f t="shared" si="169"/>
        <v>10.352941033260837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2.6602720026858149E-14</v>
      </c>
      <c r="CA193" s="13">
        <f t="shared" si="170"/>
        <v>4.6624771586320878E-13</v>
      </c>
      <c r="CB193" s="20">
        <f t="shared" si="171"/>
        <v>8.583811758418665E-13</v>
      </c>
      <c r="CC193" s="59">
        <f t="shared" si="119"/>
        <v>293.33333333333417</v>
      </c>
      <c r="CD193" s="59">
        <f ca="1">AVERAGE(OFFSET($CC$3,0,0,'Données projet'!$E$12+1,1))-AVERAGE(OFFSET($H$3,0,0,'Données projet'!$E$12+1,1))</f>
        <v>111.69585394603672</v>
      </c>
      <c r="CE193" s="59">
        <f t="shared" si="148"/>
        <v>162.6701214629764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4.4265285753514227</v>
      </c>
      <c r="CL193" s="21">
        <f>EXP(-LN(2)/25)*CL192+(1-EXP(-LN(2)/25))/(LN(2)/25)*Calculateur!CG193*Calculateur!CI193*VLOOKUP('Données projet'!$B$12,Paramètres!$A$1:$I$89,3,0)*0.475*44/12</f>
        <v>1.3043234134352957</v>
      </c>
      <c r="CM193" s="21">
        <f>EXP(-LN(2)/2)*CM192+(1-EXP(-LN(2)/2))/(LN(2)/2)*CG193*CJ193*VLOOKUP('Données projet'!$B$12,Paramètres!$A$1:$I$89,3,0)*0.475*44/12</f>
        <v>8.7139477655417001E-19</v>
      </c>
      <c r="CN193" s="22">
        <f t="shared" si="172"/>
        <v>5.7308519887867186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-5.1431925385259088E-14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320.93171542656671</v>
      </c>
      <c r="T194" s="59">
        <f t="shared" si="142"/>
        <v>452.7298965816143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2.3657529547837157</v>
      </c>
      <c r="AA194" s="21">
        <f>EXP(-LN(2)/25)*AA193+(1-EXP(-LN(2)/25))/(LN(2)/25)*Calculateur!V194*Calculateur!X194*VLOOKUP('Données projet'!$B$9,Paramètres!$A$1:$I$89,3,0)*0.475*44/12</f>
        <v>0.37487620565918034</v>
      </c>
      <c r="AB194" s="21">
        <f>EXP(-LN(2)/2)*AB193+(1-EXP(-LN(2)/2))/(LN(2)/2)*V194*Y194*VLOOKUP('Données projet'!$B$9,Paramètres!$A$1:$I$89,3,0)*0.475*44/12</f>
        <v>5.6691982501702978E-21</v>
      </c>
      <c r="AC194" s="22">
        <f t="shared" si="163"/>
        <v>2.7406291604428961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2.8421709430404007E-14</v>
      </c>
      <c r="AJ194" s="13">
        <f>AI194*VLOOKUP('Données projet'!$B$10,Paramètres!$A$1:$I$89,3,0)*VLOOKUP('Données projet'!$B$10,Paramètres!$A$1:$I$89,5,0)</f>
        <v>2.4829205358400945E-14</v>
      </c>
      <c r="AK194" s="13">
        <f t="shared" si="164"/>
        <v>4.3867331143352915E-13</v>
      </c>
      <c r="AL194" s="20">
        <f t="shared" si="165"/>
        <v>8.0726688341261168E-13</v>
      </c>
      <c r="AM194" s="59">
        <f t="shared" si="113"/>
        <v>293.33333333333411</v>
      </c>
      <c r="AN194" s="59">
        <f ca="1">AVERAGE(OFFSET($AM$3,0,0,'Données projet'!$E$10+1,1))-AVERAGE(OFFSET($H$3,0,0,'Données projet'!$E$10+1,1))</f>
        <v>201.61452816909701</v>
      </c>
      <c r="AO194" s="59">
        <f t="shared" si="144"/>
        <v>287.77679930887746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3.9733659450654768</v>
      </c>
      <c r="AV194" s="21">
        <f>EXP(-LN(2)/25)*AV193+(1-EXP(-LN(2)/25))/(LN(2)/25)*Calculateur!AQ194*Calculateur!AS194*VLOOKUP('Données projet'!$B$10,Paramètres!$A$1:$I$89,3,0)*0.475*44/12</f>
        <v>1.1304036483390931</v>
      </c>
      <c r="AW194" s="21">
        <f>EXP(-LN(2)/2)*AW193+(1-EXP(-LN(2)/2))/(LN(2)/2)*AQ194*AT194*VLOOKUP('Données projet'!$B$10,Paramètres!$A$1:$I$89,3,0)*0.475*44/12</f>
        <v>7.1390207526251881E-19</v>
      </c>
      <c r="AX194" s="21">
        <f t="shared" si="166"/>
        <v>5.1037695934045697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-3.3992364478763198E-14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225.63994281336028</v>
      </c>
      <c r="BJ194" s="59">
        <f t="shared" si="146"/>
        <v>231.19476400361157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7.8613915410084179</v>
      </c>
      <c r="BQ194" s="21">
        <f>EXP(-LN(2)/25)*BQ193+(1-EXP(-LN(2)/25))/(LN(2)/25)*Calculateur!BL194*Calculateur!BN194*VLOOKUP('Données projet'!$B$11,Paramètres!$A$1:$I$89,3,0)*0.475*44/12</f>
        <v>2.2704772065310843</v>
      </c>
      <c r="BR194" s="21">
        <f>EXP(-LN(2)/2)*BR193+(1-EXP(-LN(2)/2))/(LN(2)/2)*BL194*BO194*VLOOKUP('Données projet'!$B$11,Paramètres!$A$1:$I$89,3,0)*0.475*44/12</f>
        <v>1.0384144184451671E-17</v>
      </c>
      <c r="BS194" s="22">
        <f t="shared" si="169"/>
        <v>10.131868747539503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2.6602720026858149E-14</v>
      </c>
      <c r="CA194" s="13">
        <f t="shared" si="170"/>
        <v>4.6624771586320878E-13</v>
      </c>
      <c r="CB194" s="20">
        <f t="shared" si="171"/>
        <v>8.583811758418665E-13</v>
      </c>
      <c r="CC194" s="59">
        <f t="shared" si="119"/>
        <v>293.33333333333417</v>
      </c>
      <c r="CD194" s="59">
        <f ca="1">AVERAGE(OFFSET($CC$3,0,0,'Données projet'!$E$12+1,1))-AVERAGE(OFFSET($H$3,0,0,'Données projet'!$E$12+1,1))</f>
        <v>111.69585394603672</v>
      </c>
      <c r="CE194" s="59">
        <f t="shared" si="148"/>
        <v>162.6701214629764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4.3397270499046181</v>
      </c>
      <c r="CL194" s="21">
        <f>EXP(-LN(2)/25)*CL193+(1-EXP(-LN(2)/25))/(LN(2)/25)*Calculateur!CG194*Calculateur!CI194*VLOOKUP('Données projet'!$B$12,Paramètres!$A$1:$I$89,3,0)*0.475*44/12</f>
        <v>1.2686566211035202</v>
      </c>
      <c r="CM194" s="21">
        <f>EXP(-LN(2)/2)*CM193+(1-EXP(-LN(2)/2))/(LN(2)/2)*CG194*CJ194*VLOOKUP('Données projet'!$B$12,Paramètres!$A$1:$I$89,3,0)*0.475*44/12</f>
        <v>6.1616915559198998E-19</v>
      </c>
      <c r="CN194" s="22">
        <f t="shared" si="172"/>
        <v>5.6083836710081378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-5.1431925385259088E-14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320.93171542656671</v>
      </c>
      <c r="T195" s="59">
        <f t="shared" si="142"/>
        <v>452.7298965816143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2.3193619823072282</v>
      </c>
      <c r="AA195" s="21">
        <f>EXP(-LN(2)/25)*AA194+(1-EXP(-LN(2)/25))/(LN(2)/25)*Calculateur!V195*Calculateur!X195*VLOOKUP('Données projet'!$B$9,Paramètres!$A$1:$I$89,3,0)*0.475*44/12</f>
        <v>0.3646251961015472</v>
      </c>
      <c r="AB195" s="21">
        <f>EXP(-LN(2)/2)*AB194+(1-EXP(-LN(2)/2))/(LN(2)/2)*V195*Y195*VLOOKUP('Données projet'!$B$9,Paramètres!$A$1:$I$89,3,0)*0.475*44/12</f>
        <v>4.0087285265863268E-21</v>
      </c>
      <c r="AC195" s="22">
        <f t="shared" si="163"/>
        <v>2.6839871784087754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2.8421709430404007E-14</v>
      </c>
      <c r="AJ195" s="13">
        <f>AI195*VLOOKUP('Données projet'!$B$10,Paramètres!$A$1:$I$89,3,0)*VLOOKUP('Données projet'!$B$10,Paramètres!$A$1:$I$89,5,0)</f>
        <v>2.4829205358400945E-14</v>
      </c>
      <c r="AK195" s="13">
        <f t="shared" si="164"/>
        <v>4.3867331143352915E-13</v>
      </c>
      <c r="AL195" s="20">
        <f t="shared" si="165"/>
        <v>8.0726688341261168E-13</v>
      </c>
      <c r="AM195" s="59">
        <f t="shared" si="113"/>
        <v>293.33333333333411</v>
      </c>
      <c r="AN195" s="59">
        <f ca="1">AVERAGE(OFFSET($AM$3,0,0,'Données projet'!$E$10+1,1))-AVERAGE(OFFSET($H$3,0,0,'Données projet'!$E$10+1,1))</f>
        <v>201.61452816909701</v>
      </c>
      <c r="AO195" s="59">
        <f t="shared" si="144"/>
        <v>287.77679930887746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3.8954506623966672</v>
      </c>
      <c r="AV195" s="21">
        <f>EXP(-LN(2)/25)*AV194+(1-EXP(-LN(2)/25))/(LN(2)/25)*Calculateur!AQ195*Calculateur!AS195*VLOOKUP('Données projet'!$B$10,Paramètres!$A$1:$I$89,3,0)*0.475*44/12</f>
        <v>1.0994927011299163</v>
      </c>
      <c r="AW195" s="21">
        <f>EXP(-LN(2)/2)*AW194+(1-EXP(-LN(2)/2))/(LN(2)/2)*AQ195*AT195*VLOOKUP('Données projet'!$B$10,Paramètres!$A$1:$I$89,3,0)*0.475*44/12</f>
        <v>5.0480499852127606E-19</v>
      </c>
      <c r="AX195" s="21">
        <f t="shared" si="166"/>
        <v>4.9949433635265832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-3.3992364478763198E-14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225.63994281336028</v>
      </c>
      <c r="BJ195" s="59">
        <f t="shared" si="146"/>
        <v>231.19476400361157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7.707234447864618</v>
      </c>
      <c r="BQ195" s="21">
        <f>EXP(-LN(2)/25)*BQ194+(1-EXP(-LN(2)/25))/(LN(2)/25)*Calculateur!BL195*Calculateur!BN195*VLOOKUP('Données projet'!$B$11,Paramètres!$A$1:$I$89,3,0)*0.475*44/12</f>
        <v>2.2083908879192848</v>
      </c>
      <c r="BR195" s="21">
        <f>EXP(-LN(2)/2)*BR194+(1-EXP(-LN(2)/2))/(LN(2)/2)*BL195*BO195*VLOOKUP('Données projet'!$B$11,Paramètres!$A$1:$I$89,3,0)*0.475*44/12</f>
        <v>7.3426987696446276E-18</v>
      </c>
      <c r="BS195" s="22">
        <f t="shared" si="169"/>
        <v>9.9156253357839024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2.6602720026858149E-14</v>
      </c>
      <c r="CA195" s="13">
        <f t="shared" si="170"/>
        <v>4.6624771586320878E-13</v>
      </c>
      <c r="CB195" s="20">
        <f t="shared" si="171"/>
        <v>8.583811758418665E-13</v>
      </c>
      <c r="CC195" s="59">
        <f t="shared" si="119"/>
        <v>293.33333333333417</v>
      </c>
      <c r="CD195" s="59">
        <f ca="1">AVERAGE(OFFSET($CC$3,0,0,'Données projet'!$E$12+1,1))-AVERAGE(OFFSET($H$3,0,0,'Données projet'!$E$12+1,1))</f>
        <v>111.69585394603672</v>
      </c>
      <c r="CE195" s="59">
        <f t="shared" si="148"/>
        <v>162.6701214629764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4.2546276494281221</v>
      </c>
      <c r="CL195" s="21">
        <f>EXP(-LN(2)/25)*CL194+(1-EXP(-LN(2)/25))/(LN(2)/25)*Calculateur!CG195*Calculateur!CI195*VLOOKUP('Données projet'!$B$12,Paramètres!$A$1:$I$89,3,0)*0.475*44/12</f>
        <v>1.2339651390836923</v>
      </c>
      <c r="CM195" s="21">
        <f>EXP(-LN(2)/2)*CM194+(1-EXP(-LN(2)/2))/(LN(2)/2)*CG195*CJ195*VLOOKUP('Données projet'!$B$12,Paramètres!$A$1:$I$89,3,0)*0.475*44/12</f>
        <v>4.35697388277085E-19</v>
      </c>
      <c r="CN195" s="22">
        <f t="shared" si="172"/>
        <v>5.4885927885118146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-5.1431925385259088E-14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320.93171542656671</v>
      </c>
      <c r="T196" s="59">
        <f t="shared" si="142"/>
        <v>452.7298965816143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2.2738807085053057</v>
      </c>
      <c r="AA196" s="21">
        <f>EXP(-LN(2)/25)*AA195+(1-EXP(-LN(2)/25))/(LN(2)/25)*Calculateur!V196*Calculateur!X196*VLOOKUP('Données projet'!$B$9,Paramètres!$A$1:$I$89,3,0)*0.475*44/12</f>
        <v>0.3546545009393447</v>
      </c>
      <c r="AB196" s="21">
        <f>EXP(-LN(2)/2)*AB195+(1-EXP(-LN(2)/2))/(LN(2)/2)*V196*Y196*VLOOKUP('Données projet'!$B$9,Paramètres!$A$1:$I$89,3,0)*0.475*44/12</f>
        <v>2.8345991250851489E-21</v>
      </c>
      <c r="AC196" s="22">
        <f t="shared" si="163"/>
        <v>2.6285352094446504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2.8421709430404007E-14</v>
      </c>
      <c r="AJ196" s="13">
        <f>AI196*VLOOKUP('Données projet'!$B$10,Paramètres!$A$1:$I$89,3,0)*VLOOKUP('Données projet'!$B$10,Paramètres!$A$1:$I$89,5,0)</f>
        <v>2.4829205358400945E-14</v>
      </c>
      <c r="AK196" s="13">
        <f t="shared" si="164"/>
        <v>4.3867331143352915E-13</v>
      </c>
      <c r="AL196" s="20">
        <f t="shared" si="165"/>
        <v>8.0726688341261168E-13</v>
      </c>
      <c r="AM196" s="59">
        <f t="shared" ref="AM196:AM203" si="193">AL196+(AD196+AE196)*44/12</f>
        <v>293.33333333333411</v>
      </c>
      <c r="AN196" s="59">
        <f ca="1">AVERAGE(OFFSET($AM$3,0,0,'Données projet'!$E$10+1,1))-AVERAGE(OFFSET($H$3,0,0,'Données projet'!$E$10+1,1))</f>
        <v>201.61452816909701</v>
      </c>
      <c r="AO196" s="59">
        <f t="shared" si="144"/>
        <v>287.77679930887746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3.8190632508973632</v>
      </c>
      <c r="AV196" s="21">
        <f>EXP(-LN(2)/25)*AV195+(1-EXP(-LN(2)/25))/(LN(2)/25)*Calculateur!AQ196*Calculateur!AS196*VLOOKUP('Données projet'!$B$10,Paramètres!$A$1:$I$89,3,0)*0.475*44/12</f>
        <v>1.0694270153977106</v>
      </c>
      <c r="AW196" s="21">
        <f>EXP(-LN(2)/2)*AW195+(1-EXP(-LN(2)/2))/(LN(2)/2)*AQ196*AT196*VLOOKUP('Données projet'!$B$10,Paramètres!$A$1:$I$89,3,0)*0.475*44/12</f>
        <v>3.5695103763125941E-19</v>
      </c>
      <c r="AX196" s="21">
        <f t="shared" si="166"/>
        <v>4.888490266295074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-3.3992364478763198E-14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225.63994281336028</v>
      </c>
      <c r="BJ196" s="59">
        <f t="shared" si="146"/>
        <v>231.19476400361157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7.556100281290826</v>
      </c>
      <c r="BQ196" s="21">
        <f>EXP(-LN(2)/25)*BQ195+(1-EXP(-LN(2)/25))/(LN(2)/25)*Calculateur!BL196*Calculateur!BN196*VLOOKUP('Données projet'!$B$11,Paramètres!$A$1:$I$89,3,0)*0.475*44/12</f>
        <v>2.1480023229549023</v>
      </c>
      <c r="BR196" s="21">
        <f>EXP(-LN(2)/2)*BR195+(1-EXP(-LN(2)/2))/(LN(2)/2)*BL196*BO196*VLOOKUP('Données projet'!$B$11,Paramètres!$A$1:$I$89,3,0)*0.475*44/12</f>
        <v>5.1920720922258356E-18</v>
      </c>
      <c r="BS196" s="22">
        <f t="shared" si="169"/>
        <v>9.7041026042457279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2.6602720026858149E-14</v>
      </c>
      <c r="CA196" s="13">
        <f t="shared" si="170"/>
        <v>4.6624771586320878E-13</v>
      </c>
      <c r="CB196" s="20">
        <f t="shared" si="171"/>
        <v>8.583811758418665E-13</v>
      </c>
      <c r="CC196" s="59">
        <f t="shared" ref="CC196:CC203" si="195">CB196+(BT196+BU196)*44/12</f>
        <v>293.33333333333417</v>
      </c>
      <c r="CD196" s="59">
        <f ca="1">AVERAGE(OFFSET($CC$3,0,0,'Données projet'!$E$12+1,1))-AVERAGE(OFFSET($H$3,0,0,'Données projet'!$E$12+1,1))</f>
        <v>111.69585394603672</v>
      </c>
      <c r="CE196" s="59">
        <f t="shared" si="148"/>
        <v>162.6701214629764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4.1711969962894608</v>
      </c>
      <c r="CL196" s="21">
        <f>EXP(-LN(2)/25)*CL195+(1-EXP(-LN(2)/25))/(LN(2)/25)*Calculateur!CG196*Calculateur!CI196*VLOOKUP('Données projet'!$B$12,Paramètres!$A$1:$I$89,3,0)*0.475*44/12</f>
        <v>1.2002222974640424</v>
      </c>
      <c r="CM196" s="21">
        <f>EXP(-LN(2)/2)*CM195+(1-EXP(-LN(2)/2))/(LN(2)/2)*CG196*CJ196*VLOOKUP('Données projet'!$B$12,Paramètres!$A$1:$I$89,3,0)*0.475*44/12</f>
        <v>3.0808457779599499E-19</v>
      </c>
      <c r="CN196" s="22">
        <f t="shared" si="172"/>
        <v>5.3714192937535028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-5.1431925385259088E-14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320.93171542656671</v>
      </c>
      <c r="T197" s="59">
        <f t="shared" ref="T197:T203" si="204">$T$3</f>
        <v>452.7298965816143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2.2292912947418007</v>
      </c>
      <c r="AA197" s="21">
        <f>EXP(-LN(2)/25)*AA196+(1-EXP(-LN(2)/25))/(LN(2)/25)*Calculateur!V197*Calculateur!X197*VLOOKUP('Données projet'!$B$9,Paramètres!$A$1:$I$89,3,0)*0.475*44/12</f>
        <v>0.34495645496068866</v>
      </c>
      <c r="AB197" s="21">
        <f>EXP(-LN(2)/2)*AB196+(1-EXP(-LN(2)/2))/(LN(2)/2)*V197*Y197*VLOOKUP('Données projet'!$B$9,Paramètres!$A$1:$I$89,3,0)*0.475*44/12</f>
        <v>2.0043642632931634E-21</v>
      </c>
      <c r="AC197" s="22">
        <f t="shared" si="163"/>
        <v>2.5742477497024892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2.8421709430404007E-14</v>
      </c>
      <c r="AJ197" s="13">
        <f>AI197*VLOOKUP('Données projet'!$B$10,Paramètres!$A$1:$I$89,3,0)*VLOOKUP('Données projet'!$B$10,Paramètres!$A$1:$I$89,5,0)</f>
        <v>2.4829205358400945E-14</v>
      </c>
      <c r="AK197" s="13">
        <f t="shared" si="164"/>
        <v>4.3867331143352915E-13</v>
      </c>
      <c r="AL197" s="20">
        <f t="shared" si="165"/>
        <v>8.0726688341261168E-13</v>
      </c>
      <c r="AM197" s="59">
        <f t="shared" si="193"/>
        <v>293.33333333333411</v>
      </c>
      <c r="AN197" s="59">
        <f ca="1">AVERAGE(OFFSET($AM$3,0,0,'Données projet'!$E$10+1,1))-AVERAGE(OFFSET($H$3,0,0,'Données projet'!$E$10+1,1))</f>
        <v>201.61452816909701</v>
      </c>
      <c r="AO197" s="59">
        <f t="shared" ref="AO197:AO203" si="205">$AO$3</f>
        <v>287.77679930887746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3.7441737499458401</v>
      </c>
      <c r="AV197" s="21">
        <f>EXP(-LN(2)/25)*AV196+(1-EXP(-LN(2)/25))/(LN(2)/25)*Calculateur!AQ197*Calculateur!AS197*VLOOKUP('Données projet'!$B$10,Paramètres!$A$1:$I$89,3,0)*0.475*44/12</f>
        <v>1.0401834774229377</v>
      </c>
      <c r="AW197" s="21">
        <f>EXP(-LN(2)/2)*AW196+(1-EXP(-LN(2)/2))/(LN(2)/2)*AQ197*AT197*VLOOKUP('Données projet'!$B$10,Paramètres!$A$1:$I$89,3,0)*0.475*44/12</f>
        <v>2.5240249926063803E-19</v>
      </c>
      <c r="AX197" s="21">
        <f t="shared" si="166"/>
        <v>4.784357227368778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-3.3992364478763198E-14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225.63994281336028</v>
      </c>
      <c r="BJ197" s="59">
        <f t="shared" ref="BJ197:BJ203" si="206">$BJ$3</f>
        <v>231.19476400361157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7.4079297635408068</v>
      </c>
      <c r="BQ197" s="21">
        <f>EXP(-LN(2)/25)*BQ196+(1-EXP(-LN(2)/25))/(LN(2)/25)*Calculateur!BL197*Calculateur!BN197*VLOOKUP('Données projet'!$B$11,Paramètres!$A$1:$I$89,3,0)*0.475*44/12</f>
        <v>2.0892650864751676</v>
      </c>
      <c r="BR197" s="21">
        <f>EXP(-LN(2)/2)*BR196+(1-EXP(-LN(2)/2))/(LN(2)/2)*BL197*BO197*VLOOKUP('Données projet'!$B$11,Paramètres!$A$1:$I$89,3,0)*0.475*44/12</f>
        <v>3.6713493848223138E-18</v>
      </c>
      <c r="BS197" s="22">
        <f t="shared" si="169"/>
        <v>9.4971948500159744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2.6602720026858149E-14</v>
      </c>
      <c r="CA197" s="13">
        <f t="shared" si="170"/>
        <v>4.6624771586320878E-13</v>
      </c>
      <c r="CB197" s="20">
        <f t="shared" si="171"/>
        <v>8.583811758418665E-13</v>
      </c>
      <c r="CC197" s="59">
        <f t="shared" si="195"/>
        <v>293.33333333333417</v>
      </c>
      <c r="CD197" s="59">
        <f ca="1">AVERAGE(OFFSET($CC$3,0,0,'Données projet'!$E$12+1,1))-AVERAGE(OFFSET($H$3,0,0,'Données projet'!$E$12+1,1))</f>
        <v>111.69585394603672</v>
      </c>
      <c r="CE197" s="59">
        <f t="shared" ref="CE197:CE203" si="207">$CE$3</f>
        <v>162.6701214629764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4.089402367371175</v>
      </c>
      <c r="CL197" s="21">
        <f>EXP(-LN(2)/25)*CL196+(1-EXP(-LN(2)/25))/(LN(2)/25)*Calculateur!CG197*Calculateur!CI197*VLOOKUP('Données projet'!$B$12,Paramètres!$A$1:$I$89,3,0)*0.475*44/12</f>
        <v>1.1674021556229406</v>
      </c>
      <c r="CM197" s="21">
        <f>EXP(-LN(2)/2)*CM196+(1-EXP(-LN(2)/2))/(LN(2)/2)*CG197*CJ197*VLOOKUP('Données projet'!$B$12,Paramètres!$A$1:$I$89,3,0)*0.475*44/12</f>
        <v>2.178486941385425E-19</v>
      </c>
      <c r="CN197" s="22">
        <f t="shared" si="172"/>
        <v>5.2568045229941154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-5.1431925385259088E-14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320.93171542656671</v>
      </c>
      <c r="T198" s="59">
        <f t="shared" si="204"/>
        <v>452.7298965816143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2.1855762521853412</v>
      </c>
      <c r="AA198" s="21">
        <f>EXP(-LN(2)/25)*AA197+(1-EXP(-LN(2)/25))/(LN(2)/25)*Calculateur!V198*Calculateur!X198*VLOOKUP('Données projet'!$B$9,Paramètres!$A$1:$I$89,3,0)*0.475*44/12</f>
        <v>0.33552360255931707</v>
      </c>
      <c r="AB198" s="21">
        <f>EXP(-LN(2)/2)*AB197+(1-EXP(-LN(2)/2))/(LN(2)/2)*V198*Y198*VLOOKUP('Données projet'!$B$9,Paramètres!$A$1:$I$89,3,0)*0.475*44/12</f>
        <v>1.4172995625425744E-21</v>
      </c>
      <c r="AC198" s="22">
        <f t="shared" si="163"/>
        <v>2.5210998547446581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2.8421709430404007E-14</v>
      </c>
      <c r="AJ198" s="13">
        <f>AI198*VLOOKUP('Données projet'!$B$10,Paramètres!$A$1:$I$89,3,0)*VLOOKUP('Données projet'!$B$10,Paramètres!$A$1:$I$89,5,0)</f>
        <v>2.4829205358400945E-14</v>
      </c>
      <c r="AK198" s="13">
        <f t="shared" si="164"/>
        <v>4.3867331143352915E-13</v>
      </c>
      <c r="AL198" s="20">
        <f t="shared" si="165"/>
        <v>8.0726688341261168E-13</v>
      </c>
      <c r="AM198" s="59">
        <f t="shared" si="193"/>
        <v>293.33333333333411</v>
      </c>
      <c r="AN198" s="59">
        <f ca="1">AVERAGE(OFFSET($AM$3,0,0,'Données projet'!$E$10+1,1))-AVERAGE(OFFSET($H$3,0,0,'Données projet'!$E$10+1,1))</f>
        <v>201.61452816909701</v>
      </c>
      <c r="AO198" s="59">
        <f t="shared" si="205"/>
        <v>287.77679930887746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3.6707527864298908</v>
      </c>
      <c r="AV198" s="21">
        <f>EXP(-LN(2)/25)*AV197+(1-EXP(-LN(2)/25))/(LN(2)/25)*Calculateur!AQ198*Calculateur!AS198*VLOOKUP('Données projet'!$B$10,Paramètres!$A$1:$I$89,3,0)*0.475*44/12</f>
        <v>1.0117396055319359</v>
      </c>
      <c r="AW198" s="21">
        <f>EXP(-LN(2)/2)*AW197+(1-EXP(-LN(2)/2))/(LN(2)/2)*AQ198*AT198*VLOOKUP('Données projet'!$B$10,Paramètres!$A$1:$I$89,3,0)*0.475*44/12</f>
        <v>1.784755188156297E-19</v>
      </c>
      <c r="AX198" s="21">
        <f t="shared" si="166"/>
        <v>4.6824923919618264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-3.3992364478763198E-14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225.63994281336028</v>
      </c>
      <c r="BJ198" s="59">
        <f t="shared" si="206"/>
        <v>231.19476400361157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7.2626647792687731</v>
      </c>
      <c r="BQ198" s="21">
        <f>EXP(-LN(2)/25)*BQ197+(1-EXP(-LN(2)/25))/(LN(2)/25)*Calculateur!BL198*Calculateur!BN198*VLOOKUP('Données projet'!$B$11,Paramètres!$A$1:$I$89,3,0)*0.475*44/12</f>
        <v>2.0321340228158284</v>
      </c>
      <c r="BR198" s="21">
        <f>EXP(-LN(2)/2)*BR197+(1-EXP(-LN(2)/2))/(LN(2)/2)*BL198*BO198*VLOOKUP('Données projet'!$B$11,Paramètres!$A$1:$I$89,3,0)*0.475*44/12</f>
        <v>2.5960360461129178E-18</v>
      </c>
      <c r="BS198" s="22">
        <f t="shared" si="169"/>
        <v>9.2947988020846015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2.6602720026858149E-14</v>
      </c>
      <c r="CA198" s="13">
        <f t="shared" si="170"/>
        <v>4.6624771586320878E-13</v>
      </c>
      <c r="CB198" s="20">
        <f t="shared" si="171"/>
        <v>8.583811758418665E-13</v>
      </c>
      <c r="CC198" s="59">
        <f t="shared" si="195"/>
        <v>293.33333333333417</v>
      </c>
      <c r="CD198" s="59">
        <f ca="1">AVERAGE(OFFSET($CC$3,0,0,'Données projet'!$E$12+1,1))-AVERAGE(OFFSET($H$3,0,0,'Données projet'!$E$12+1,1))</f>
        <v>111.69585394603672</v>
      </c>
      <c r="CE198" s="59">
        <f t="shared" si="207"/>
        <v>162.6701214629764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4.00921168123618</v>
      </c>
      <c r="CL198" s="21">
        <f>EXP(-LN(2)/25)*CL197+(1-EXP(-LN(2)/25))/(LN(2)/25)*Calculateur!CG198*Calculateur!CI198*VLOOKUP('Données projet'!$B$12,Paramètres!$A$1:$I$89,3,0)*0.475*44/12</f>
        <v>1.13547948228642</v>
      </c>
      <c r="CM198" s="21">
        <f>EXP(-LN(2)/2)*CM197+(1-EXP(-LN(2)/2))/(LN(2)/2)*CG198*CJ198*VLOOKUP('Données projet'!$B$12,Paramètres!$A$1:$I$89,3,0)*0.475*44/12</f>
        <v>1.540422888979975E-19</v>
      </c>
      <c r="CN198" s="22">
        <f t="shared" si="172"/>
        <v>5.1446911635225998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-5.1431925385259088E-14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320.93171542656671</v>
      </c>
      <c r="T199" s="59">
        <f t="shared" si="204"/>
        <v>452.7298965816143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2.1427184349498707</v>
      </c>
      <c r="AA199" s="21">
        <f>EXP(-LN(2)/25)*AA198+(1-EXP(-LN(2)/25))/(LN(2)/25)*Calculateur!V199*Calculateur!X199*VLOOKUP('Données projet'!$B$9,Paramètres!$A$1:$I$89,3,0)*0.475*44/12</f>
        <v>0.32634869200291311</v>
      </c>
      <c r="AB199" s="21">
        <f>EXP(-LN(2)/2)*AB198+(1-EXP(-LN(2)/2))/(LN(2)/2)*V199*Y199*VLOOKUP('Données projet'!$B$9,Paramètres!$A$1:$I$89,3,0)*0.475*44/12</f>
        <v>1.0021821316465817E-21</v>
      </c>
      <c r="AC199" s="22">
        <f t="shared" si="163"/>
        <v>2.4690671269527837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2.8421709430404007E-14</v>
      </c>
      <c r="AJ199" s="13">
        <f>AI199*VLOOKUP('Données projet'!$B$10,Paramètres!$A$1:$I$89,3,0)*VLOOKUP('Données projet'!$B$10,Paramètres!$A$1:$I$89,5,0)</f>
        <v>2.4829205358400945E-14</v>
      </c>
      <c r="AK199" s="13">
        <f t="shared" si="164"/>
        <v>4.3867331143352915E-13</v>
      </c>
      <c r="AL199" s="20">
        <f t="shared" si="165"/>
        <v>8.0726688341261168E-13</v>
      </c>
      <c r="AM199" s="59">
        <f t="shared" si="193"/>
        <v>293.33333333333411</v>
      </c>
      <c r="AN199" s="59">
        <f ca="1">AVERAGE(OFFSET($AM$3,0,0,'Données projet'!$E$10+1,1))-AVERAGE(OFFSET($H$3,0,0,'Données projet'!$E$10+1,1))</f>
        <v>201.61452816909701</v>
      </c>
      <c r="AO199" s="59">
        <f t="shared" si="205"/>
        <v>287.77679930887746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3.5987715632261237</v>
      </c>
      <c r="AV199" s="21">
        <f>EXP(-LN(2)/25)*AV198+(1-EXP(-LN(2)/25))/(LN(2)/25)*Calculateur!AQ199*Calculateur!AS199*VLOOKUP('Données projet'!$B$10,Paramètres!$A$1:$I$89,3,0)*0.475*44/12</f>
        <v>0.98407353281359156</v>
      </c>
      <c r="AW199" s="21">
        <f>EXP(-LN(2)/2)*AW198+(1-EXP(-LN(2)/2))/(LN(2)/2)*AQ199*AT199*VLOOKUP('Données projet'!$B$10,Paramètres!$A$1:$I$89,3,0)*0.475*44/12</f>
        <v>1.2620124963031902E-19</v>
      </c>
      <c r="AX199" s="21">
        <f t="shared" si="166"/>
        <v>4.5828450960397156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-3.3992364478763198E-14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225.63994281336028</v>
      </c>
      <c r="BJ199" s="59">
        <f t="shared" si="206"/>
        <v>231.19476400361157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7.1202483527354223</v>
      </c>
      <c r="BQ199" s="21">
        <f>EXP(-LN(2)/25)*BQ198+(1-EXP(-LN(2)/25))/(LN(2)/25)*Calculateur!BL199*Calculateur!BN199*VLOOKUP('Données projet'!$B$11,Paramètres!$A$1:$I$89,3,0)*0.475*44/12</f>
        <v>1.9765652110966458</v>
      </c>
      <c r="BR199" s="21">
        <f>EXP(-LN(2)/2)*BR198+(1-EXP(-LN(2)/2))/(LN(2)/2)*BL199*BO199*VLOOKUP('Données projet'!$B$11,Paramètres!$A$1:$I$89,3,0)*0.475*44/12</f>
        <v>1.8356746924111569E-18</v>
      </c>
      <c r="BS199" s="22">
        <f t="shared" si="169"/>
        <v>9.0968135638320682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2.6602720026858149E-14</v>
      </c>
      <c r="CA199" s="13">
        <f t="shared" si="170"/>
        <v>4.6624771586320878E-13</v>
      </c>
      <c r="CB199" s="20">
        <f t="shared" si="171"/>
        <v>8.583811758418665E-13</v>
      </c>
      <c r="CC199" s="59">
        <f t="shared" si="195"/>
        <v>293.33333333333417</v>
      </c>
      <c r="CD199" s="59">
        <f ca="1">AVERAGE(OFFSET($CC$3,0,0,'Données projet'!$E$12+1,1))-AVERAGE(OFFSET($H$3,0,0,'Données projet'!$E$12+1,1))</f>
        <v>111.69585394603672</v>
      </c>
      <c r="CE199" s="59">
        <f t="shared" si="207"/>
        <v>162.6701214629764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3.930593485544803</v>
      </c>
      <c r="CL199" s="21">
        <f>EXP(-LN(2)/25)*CL198+(1-EXP(-LN(2)/25))/(LN(2)/25)*Calculateur!CG199*Calculateur!CI199*VLOOKUP('Données projet'!$B$12,Paramètres!$A$1:$I$89,3,0)*0.475*44/12</f>
        <v>1.1044297361310271</v>
      </c>
      <c r="CM199" s="21">
        <f>EXP(-LN(2)/2)*CM198+(1-EXP(-LN(2)/2))/(LN(2)/2)*CG199*CJ199*VLOOKUP('Données projet'!$B$12,Paramètres!$A$1:$I$89,3,0)*0.475*44/12</f>
        <v>1.0892434706927125E-19</v>
      </c>
      <c r="CN199" s="22">
        <f t="shared" si="172"/>
        <v>5.0350232216758304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-5.1431925385259088E-14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320.93171542656671</v>
      </c>
      <c r="T200" s="59">
        <f t="shared" si="204"/>
        <v>452.7298965816143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2.1007010333697007</v>
      </c>
      <c r="AA200" s="21">
        <f>EXP(-LN(2)/25)*AA199+(1-EXP(-LN(2)/25))/(LN(2)/25)*Calculateur!V200*Calculateur!X200*VLOOKUP('Données projet'!$B$9,Paramètres!$A$1:$I$89,3,0)*0.475*44/12</f>
        <v>0.31742466985816165</v>
      </c>
      <c r="AB200" s="21">
        <f>EXP(-LN(2)/2)*AB199+(1-EXP(-LN(2)/2))/(LN(2)/2)*V200*Y200*VLOOKUP('Données projet'!$B$9,Paramètres!$A$1:$I$89,3,0)*0.475*44/12</f>
        <v>7.0864978127128722E-22</v>
      </c>
      <c r="AC200" s="22">
        <f t="shared" si="163"/>
        <v>2.4181257032278625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2.8421709430404007E-14</v>
      </c>
      <c r="AJ200" s="13">
        <f>AI200*VLOOKUP('Données projet'!$B$10,Paramètres!$A$1:$I$89,3,0)*VLOOKUP('Données projet'!$B$10,Paramètres!$A$1:$I$89,5,0)</f>
        <v>2.4829205358400945E-14</v>
      </c>
      <c r="AK200" s="13">
        <f t="shared" si="164"/>
        <v>4.3867331143352915E-13</v>
      </c>
      <c r="AL200" s="20">
        <f t="shared" si="165"/>
        <v>8.0726688341261168E-13</v>
      </c>
      <c r="AM200" s="59">
        <f t="shared" si="193"/>
        <v>293.33333333333411</v>
      </c>
      <c r="AN200" s="59">
        <f ca="1">AVERAGE(OFFSET($AM$3,0,0,'Données projet'!$E$10+1,1))-AVERAGE(OFFSET($H$3,0,0,'Données projet'!$E$10+1,1))</f>
        <v>201.61452816909701</v>
      </c>
      <c r="AO200" s="59">
        <f t="shared" si="205"/>
        <v>287.77679930887746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3.5282018479051716</v>
      </c>
      <c r="AV200" s="21">
        <f>EXP(-LN(2)/25)*AV199+(1-EXP(-LN(2)/25))/(LN(2)/25)*Calculateur!AQ200*Calculateur!AS200*VLOOKUP('Données projet'!$B$10,Paramètres!$A$1:$I$89,3,0)*0.475*44/12</f>
        <v>0.95716399030862598</v>
      </c>
      <c r="AW200" s="21">
        <f>EXP(-LN(2)/2)*AW199+(1-EXP(-LN(2)/2))/(LN(2)/2)*AQ200*AT200*VLOOKUP('Données projet'!$B$10,Paramètres!$A$1:$I$89,3,0)*0.475*44/12</f>
        <v>8.9237759407814851E-20</v>
      </c>
      <c r="AX200" s="21">
        <f t="shared" si="166"/>
        <v>4.4853658382137978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-3.3992364478763198E-14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225.63994281336028</v>
      </c>
      <c r="BJ200" s="59">
        <f t="shared" si="206"/>
        <v>231.19476400361157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6.9806246254609476</v>
      </c>
      <c r="BQ200" s="21">
        <f>EXP(-LN(2)/25)*BQ199+(1-EXP(-LN(2)/25))/(LN(2)/25)*Calculateur!BL200*Calculateur!BN200*VLOOKUP('Données projet'!$B$11,Paramètres!$A$1:$I$89,3,0)*0.475*44/12</f>
        <v>1.9225159314561611</v>
      </c>
      <c r="BR200" s="21">
        <f>EXP(-LN(2)/2)*BR199+(1-EXP(-LN(2)/2))/(LN(2)/2)*BL200*BO200*VLOOKUP('Données projet'!$B$11,Paramètres!$A$1:$I$89,3,0)*0.475*44/12</f>
        <v>1.2980180230564589E-18</v>
      </c>
      <c r="BS200" s="22">
        <f t="shared" si="169"/>
        <v>8.9031405569171085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2.6602720026858149E-14</v>
      </c>
      <c r="CA200" s="13">
        <f t="shared" si="170"/>
        <v>4.6624771586320878E-13</v>
      </c>
      <c r="CB200" s="20">
        <f t="shared" si="171"/>
        <v>8.583811758418665E-13</v>
      </c>
      <c r="CC200" s="59">
        <f t="shared" si="195"/>
        <v>293.33333333333417</v>
      </c>
      <c r="CD200" s="59">
        <f ca="1">AVERAGE(OFFSET($CC$3,0,0,'Données projet'!$E$12+1,1))-AVERAGE(OFFSET($H$3,0,0,'Données projet'!$E$12+1,1))</f>
        <v>111.69585394603672</v>
      </c>
      <c r="CE200" s="59">
        <f t="shared" si="207"/>
        <v>162.6701214629764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3.8535169447185695</v>
      </c>
      <c r="CL200" s="21">
        <f>EXP(-LN(2)/25)*CL199+(1-EXP(-LN(2)/25))/(LN(2)/25)*Calculateur!CG200*Calculateur!CI200*VLOOKUP('Données projet'!$B$12,Paramètres!$A$1:$I$89,3,0)*0.475*44/12</f>
        <v>1.0742290469170885</v>
      </c>
      <c r="CM200" s="21">
        <f>EXP(-LN(2)/2)*CM199+(1-EXP(-LN(2)/2))/(LN(2)/2)*CG200*CJ200*VLOOKUP('Données projet'!$B$12,Paramètres!$A$1:$I$89,3,0)*0.475*44/12</f>
        <v>7.7021144448998748E-20</v>
      </c>
      <c r="CN200" s="22">
        <f t="shared" si="172"/>
        <v>4.9277459916356579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-5.1431925385259088E-14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320.93171542656671</v>
      </c>
      <c r="T201" s="59">
        <f t="shared" si="204"/>
        <v>452.7298965816143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2.0595075674064334</v>
      </c>
      <c r="AA201" s="21">
        <f>EXP(-LN(2)/25)*AA200+(1-EXP(-LN(2)/25))/(LN(2)/25)*Calculateur!V201*Calculateur!X201*VLOOKUP('Données projet'!$B$9,Paramètres!$A$1:$I$89,3,0)*0.475*44/12</f>
        <v>0.3087446755682523</v>
      </c>
      <c r="AB201" s="21">
        <f>EXP(-LN(2)/2)*AB200+(1-EXP(-LN(2)/2))/(LN(2)/2)*V201*Y201*VLOOKUP('Données projet'!$B$9,Paramètres!$A$1:$I$89,3,0)*0.475*44/12</f>
        <v>5.0109106582329085E-22</v>
      </c>
      <c r="AC201" s="22">
        <f t="shared" si="163"/>
        <v>2.3682522429746857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2.8421709430404007E-14</v>
      </c>
      <c r="AJ201" s="13">
        <f>AI201*VLOOKUP('Données projet'!$B$10,Paramètres!$A$1:$I$89,3,0)*VLOOKUP('Données projet'!$B$10,Paramètres!$A$1:$I$89,5,0)</f>
        <v>2.4829205358400945E-14</v>
      </c>
      <c r="AK201" s="13">
        <f t="shared" si="164"/>
        <v>4.3867331143352915E-13</v>
      </c>
      <c r="AL201" s="20">
        <f t="shared" si="165"/>
        <v>8.0726688341261168E-13</v>
      </c>
      <c r="AM201" s="59">
        <f t="shared" si="193"/>
        <v>293.33333333333411</v>
      </c>
      <c r="AN201" s="59">
        <f ca="1">AVERAGE(OFFSET($AM$3,0,0,'Données projet'!$E$10+1,1))-AVERAGE(OFFSET($H$3,0,0,'Données projet'!$E$10+1,1))</f>
        <v>201.61452816909701</v>
      </c>
      <c r="AO201" s="59">
        <f t="shared" si="205"/>
        <v>287.77679930887746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3.4590159616583871</v>
      </c>
      <c r="AV201" s="21">
        <f>EXP(-LN(2)/25)*AV200+(1-EXP(-LN(2)/25))/(LN(2)/25)*Calculateur!AQ201*Calculateur!AS201*VLOOKUP('Données projet'!$B$10,Paramètres!$A$1:$I$89,3,0)*0.475*44/12</f>
        <v>0.93099029065856997</v>
      </c>
      <c r="AW201" s="21">
        <f>EXP(-LN(2)/2)*AW200+(1-EXP(-LN(2)/2))/(LN(2)/2)*AQ201*AT201*VLOOKUP('Données projet'!$B$10,Paramètres!$A$1:$I$89,3,0)*0.475*44/12</f>
        <v>6.3100624815159508E-20</v>
      </c>
      <c r="AX201" s="21">
        <f t="shared" si="166"/>
        <v>4.3900062523169572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-3.3992364478763198E-14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225.63994281336028</v>
      </c>
      <c r="BJ201" s="59">
        <f t="shared" si="206"/>
        <v>231.19476400361157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6.8437388343162606</v>
      </c>
      <c r="BQ201" s="21">
        <f>EXP(-LN(2)/25)*BQ200+(1-EXP(-LN(2)/25))/(LN(2)/25)*Calculateur!BL201*Calculateur!BN201*VLOOKUP('Données projet'!$B$11,Paramètres!$A$1:$I$89,3,0)*0.475*44/12</f>
        <v>1.8699446322097735</v>
      </c>
      <c r="BR201" s="21">
        <f>EXP(-LN(2)/2)*BR200+(1-EXP(-LN(2)/2))/(LN(2)/2)*BL201*BO201*VLOOKUP('Données projet'!$B$11,Paramètres!$A$1:$I$89,3,0)*0.475*44/12</f>
        <v>9.1783734620557845E-19</v>
      </c>
      <c r="BS201" s="22">
        <f t="shared" si="169"/>
        <v>8.7136834665260334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2.6602720026858149E-14</v>
      </c>
      <c r="CA201" s="13">
        <f t="shared" si="170"/>
        <v>4.6624771586320878E-13</v>
      </c>
      <c r="CB201" s="20">
        <f t="shared" si="171"/>
        <v>8.583811758418665E-13</v>
      </c>
      <c r="CC201" s="59">
        <f t="shared" si="195"/>
        <v>293.33333333333417</v>
      </c>
      <c r="CD201" s="59">
        <f ca="1">AVERAGE(OFFSET($CC$3,0,0,'Données projet'!$E$12+1,1))-AVERAGE(OFFSET($H$3,0,0,'Données projet'!$E$12+1,1))</f>
        <v>111.69585394603672</v>
      </c>
      <c r="CE201" s="59">
        <f t="shared" si="207"/>
        <v>162.6701214629764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3.7779518278458908</v>
      </c>
      <c r="CL201" s="21">
        <f>EXP(-LN(2)/25)*CL200+(1-EXP(-LN(2)/25))/(LN(2)/25)*Calculateur!CG201*Calculateur!CI201*VLOOKUP('Données projet'!$B$12,Paramètres!$A$1:$I$89,3,0)*0.475*44/12</f>
        <v>1.0448541971378904</v>
      </c>
      <c r="CM201" s="21">
        <f>EXP(-LN(2)/2)*CM200+(1-EXP(-LN(2)/2))/(LN(2)/2)*CG201*CJ201*VLOOKUP('Données projet'!$B$12,Paramètres!$A$1:$I$89,3,0)*0.475*44/12</f>
        <v>5.4462173534635625E-20</v>
      </c>
      <c r="CN201" s="22">
        <f t="shared" si="172"/>
        <v>4.8228060249837812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-5.1431925385259088E-14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320.93171542656671</v>
      </c>
      <c r="T202" s="59">
        <f t="shared" si="204"/>
        <v>452.7298965816143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2.0191218801851725</v>
      </c>
      <c r="AA202" s="21">
        <f>EXP(-LN(2)/25)*AA201+(1-EXP(-LN(2)/25))/(LN(2)/25)*Calculateur!V202*Calculateur!X202*VLOOKUP('Données projet'!$B$9,Paramètres!$A$1:$I$89,3,0)*0.475*44/12</f>
        <v>0.30030203617866158</v>
      </c>
      <c r="AB202" s="21">
        <f>EXP(-LN(2)/2)*AB201+(1-EXP(-LN(2)/2))/(LN(2)/2)*V202*Y202*VLOOKUP('Données projet'!$B$9,Paramètres!$A$1:$I$89,3,0)*0.475*44/12</f>
        <v>3.5432489063564361E-22</v>
      </c>
      <c r="AC202" s="22">
        <f t="shared" si="163"/>
        <v>2.3194239163638342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2.8421709430404007E-14</v>
      </c>
      <c r="AJ202" s="13">
        <f>AI202*VLOOKUP('Données projet'!$B$10,Paramètres!$A$1:$I$89,3,0)*VLOOKUP('Données projet'!$B$10,Paramètres!$A$1:$I$89,5,0)</f>
        <v>2.4829205358400945E-14</v>
      </c>
      <c r="AK202" s="13">
        <f t="shared" si="164"/>
        <v>4.3867331143352915E-13</v>
      </c>
      <c r="AL202" s="20">
        <f t="shared" si="165"/>
        <v>8.0726688341261168E-13</v>
      </c>
      <c r="AM202" s="59">
        <f t="shared" si="193"/>
        <v>293.33333333333411</v>
      </c>
      <c r="AN202" s="59">
        <f ca="1">AVERAGE(OFFSET($AM$3,0,0,'Données projet'!$E$10+1,1))-AVERAGE(OFFSET($H$3,0,0,'Données projet'!$E$10+1,1))</f>
        <v>201.61452816909701</v>
      </c>
      <c r="AO202" s="59">
        <f t="shared" si="205"/>
        <v>287.77679930887746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3.3911867684416781</v>
      </c>
      <c r="AV202" s="21">
        <f>EXP(-LN(2)/25)*AV201+(1-EXP(-LN(2)/25))/(LN(2)/25)*Calculateur!AQ202*Calculateur!AS202*VLOOKUP('Données projet'!$B$10,Paramètres!$A$1:$I$89,3,0)*0.475*44/12</f>
        <v>0.90553231220185981</v>
      </c>
      <c r="AW202" s="21">
        <f>EXP(-LN(2)/2)*AW201+(1-EXP(-LN(2)/2))/(LN(2)/2)*AQ202*AT202*VLOOKUP('Données projet'!$B$10,Paramètres!$A$1:$I$89,3,0)*0.475*44/12</f>
        <v>4.4618879703907426E-20</v>
      </c>
      <c r="AX202" s="21">
        <f t="shared" si="166"/>
        <v>4.2967190806435376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-3.3992364478763198E-14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225.63994281336028</v>
      </c>
      <c r="BJ202" s="59">
        <f t="shared" si="206"/>
        <v>231.19476400361157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6.7095372900438326</v>
      </c>
      <c r="BQ202" s="21">
        <f>EXP(-LN(2)/25)*BQ201+(1-EXP(-LN(2)/25))/(LN(2)/25)*Calculateur!BL202*Calculateur!BN202*VLOOKUP('Données projet'!$B$11,Paramètres!$A$1:$I$89,3,0)*0.475*44/12</f>
        <v>1.8188108979058828</v>
      </c>
      <c r="BR202" s="21">
        <f>EXP(-LN(2)/2)*BR201+(1-EXP(-LN(2)/2))/(LN(2)/2)*BL202*BO202*VLOOKUP('Données projet'!$B$11,Paramètres!$A$1:$I$89,3,0)*0.475*44/12</f>
        <v>6.4900901152822945E-19</v>
      </c>
      <c r="BS202" s="22">
        <f t="shared" si="169"/>
        <v>8.5283481879497156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2.6602720026858149E-14</v>
      </c>
      <c r="CA202" s="13">
        <f t="shared" si="170"/>
        <v>4.6624771586320878E-13</v>
      </c>
      <c r="CB202" s="20">
        <f t="shared" si="171"/>
        <v>8.583811758418665E-13</v>
      </c>
      <c r="CC202" s="59">
        <f t="shared" si="195"/>
        <v>293.33333333333417</v>
      </c>
      <c r="CD202" s="59">
        <f ca="1">AVERAGE(OFFSET($CC$3,0,0,'Données projet'!$E$12+1,1))-AVERAGE(OFFSET($H$3,0,0,'Données projet'!$E$12+1,1))</f>
        <v>111.69585394603672</v>
      </c>
      <c r="CE202" s="59">
        <f t="shared" si="207"/>
        <v>162.6701214629764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3.7038684968249149</v>
      </c>
      <c r="CL202" s="21">
        <f>EXP(-LN(2)/25)*CL201+(1-EXP(-LN(2)/25))/(LN(2)/25)*Calculateur!CG202*Calculateur!CI202*VLOOKUP('Données projet'!$B$12,Paramètres!$A$1:$I$89,3,0)*0.475*44/12</f>
        <v>1.0162826041706605</v>
      </c>
      <c r="CM202" s="21">
        <f>EXP(-LN(2)/2)*CM201+(1-EXP(-LN(2)/2))/(LN(2)/2)*CG202*CJ202*VLOOKUP('Données projet'!$B$12,Paramètres!$A$1:$I$89,3,0)*0.475*44/12</f>
        <v>3.8510572224499374E-20</v>
      </c>
      <c r="CN202" s="22">
        <f t="shared" si="172"/>
        <v>4.7201511009955759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-5.1431925385259088E-14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320.93171542656671</v>
      </c>
      <c r="T203" s="59">
        <f t="shared" si="204"/>
        <v>452.7298965816143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1.9795281316574833</v>
      </c>
      <c r="AA203" s="21">
        <f>EXP(-LN(2)/25)*AA202+(1-EXP(-LN(2)/25))/(LN(2)/25)*Calculateur!V203*Calculateur!X203*VLOOKUP('Données projet'!$B$9,Paramètres!$A$1:$I$89,3,0)*0.475*44/12</f>
        <v>0.29209026120715836</v>
      </c>
      <c r="AB203" s="21">
        <f>EXP(-LN(2)/2)*AB202+(1-EXP(-LN(2)/2))/(LN(2)/2)*V203*Y203*VLOOKUP('Données projet'!$B$9,Paramètres!$A$1:$I$89,3,0)*0.475*44/12</f>
        <v>2.5054553291164542E-22</v>
      </c>
      <c r="AC203" s="22">
        <f t="shared" si="163"/>
        <v>2.2716183928646418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2.8421709430404007E-14</v>
      </c>
      <c r="AJ203" s="13">
        <f>AI203*VLOOKUP('Données projet'!$B$10,Paramètres!$A$1:$I$89,3,0)*VLOOKUP('Données projet'!$B$10,Paramètres!$A$1:$I$89,5,0)</f>
        <v>2.4829205358400945E-14</v>
      </c>
      <c r="AK203" s="13">
        <f t="shared" si="164"/>
        <v>4.3867331143352915E-13</v>
      </c>
      <c r="AL203" s="20">
        <f t="shared" si="165"/>
        <v>8.0726688341261168E-13</v>
      </c>
      <c r="AM203" s="59">
        <f t="shared" si="193"/>
        <v>293.33333333333411</v>
      </c>
      <c r="AN203" s="59">
        <f ca="1">AVERAGE(OFFSET($AM$3,0,0,'Données projet'!$E$10+1,1))-AVERAGE(OFFSET($H$3,0,0,'Données projet'!$E$10+1,1))</f>
        <v>201.61452816909701</v>
      </c>
      <c r="AO203" s="59">
        <f t="shared" si="205"/>
        <v>287.77679930887746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3.3246876643322261</v>
      </c>
      <c r="AV203" s="21">
        <f>EXP(-LN(2)/25)*AV202+(1-EXP(-LN(2)/25))/(LN(2)/25)*Calculateur!AQ203*Calculateur!AS203*VLOOKUP('Données projet'!$B$10,Paramètres!$A$1:$I$89,3,0)*0.475*44/12</f>
        <v>0.88077048350482523</v>
      </c>
      <c r="AW203" s="21">
        <f>EXP(-LN(2)/2)*AW202+(1-EXP(-LN(2)/2))/(LN(2)/2)*AQ203*AT203*VLOOKUP('Données projet'!$B$10,Paramètres!$A$1:$I$89,3,0)*0.475*44/12</f>
        <v>3.1550312407579754E-20</v>
      </c>
      <c r="AX203" s="21">
        <f t="shared" si="166"/>
        <v>4.2054581478370512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-3.3992364478763198E-14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225.63994281336028</v>
      </c>
      <c r="BJ203" s="59">
        <f t="shared" si="206"/>
        <v>231.19476400361157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6.5779673561997276</v>
      </c>
      <c r="BQ203" s="21">
        <f>EXP(-LN(2)/25)*BQ202+(1-EXP(-LN(2)/25))/(LN(2)/25)*Calculateur!BL203*Calculateur!BN203*VLOOKUP('Données projet'!$B$11,Paramètres!$A$1:$I$89,3,0)*0.475*44/12</f>
        <v>1.7690754182555382</v>
      </c>
      <c r="BR203" s="21">
        <f>EXP(-LN(2)/2)*BR202+(1-EXP(-LN(2)/2))/(LN(2)/2)*BL203*BO203*VLOOKUP('Données projet'!$B$11,Paramètres!$A$1:$I$89,3,0)*0.475*44/12</f>
        <v>4.5891867310278923E-19</v>
      </c>
      <c r="BS203" s="22">
        <f t="shared" si="169"/>
        <v>8.3470427744552662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2.6602720026858149E-14</v>
      </c>
      <c r="CA203" s="13">
        <f t="shared" si="170"/>
        <v>4.6624771586320878E-13</v>
      </c>
      <c r="CB203" s="20">
        <f t="shared" si="171"/>
        <v>8.583811758418665E-13</v>
      </c>
      <c r="CC203" s="59">
        <f t="shared" si="195"/>
        <v>293.33333333333417</v>
      </c>
      <c r="CD203" s="59">
        <f ca="1">AVERAGE(OFFSET($CC$3,0,0,'Données projet'!$E$12+1,1))-AVERAGE(OFFSET($H$3,0,0,'Données projet'!$E$12+1,1))</f>
        <v>111.69585394603672</v>
      </c>
      <c r="CE203" s="59">
        <f t="shared" si="207"/>
        <v>162.6701214629764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3.6312378947388901</v>
      </c>
      <c r="CL203" s="21">
        <f>EXP(-LN(2)/25)*CL202+(1-EXP(-LN(2)/25))/(LN(2)/25)*Calculateur!CG203*Calculateur!CI203*VLOOKUP('Données projet'!$B$12,Paramètres!$A$1:$I$89,3,0)*0.475*44/12</f>
        <v>0.98849230291563439</v>
      </c>
      <c r="CM203" s="21">
        <f>EXP(-LN(2)/2)*CM202+(1-EXP(-LN(2)/2))/(LN(2)/2)*CG203*CJ203*VLOOKUP('Données projet'!$B$12,Paramètres!$A$1:$I$89,3,0)*0.475*44/12</f>
        <v>2.7231086767317813E-20</v>
      </c>
      <c r="CN203" s="22">
        <f t="shared" si="172"/>
        <v>4.6197301976545244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2.0243974584998852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1.2765231539157764</v>
      </c>
      <c r="BA205" s="82">
        <f>EXP(LN('Données projet'!B88)/'Données projet'!A88)</f>
        <v>1.244502252163008</v>
      </c>
      <c r="BV205" s="82">
        <f>EXP(LN('Données projet'!B114)/'Données projet'!A114)</f>
        <v>1.2880503926580862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10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Robinier faux-acacia</v>
      </c>
      <c r="B6" s="146">
        <f>'Données projet'!D9</f>
        <v>0.93719999999999992</v>
      </c>
      <c r="C6" s="147">
        <f ca="1">IF(OR('Données projet'!B9="",'Données projet'!C9="",'Données projet'!C9=0%),0,Calculateur!S3)</f>
        <v>320.93171542656671</v>
      </c>
      <c r="D6" s="147">
        <f>IF(OR('Données projet'!B9="",'Données projet'!C9="",'Données projet'!C9=0%),0,Calculateur!T3)</f>
        <v>452.7298965816143</v>
      </c>
      <c r="E6" s="147">
        <f ca="1">MIN(C6,D6)</f>
        <v>320.93171542656671</v>
      </c>
      <c r="F6" s="147">
        <f ca="1">E6*B6</f>
        <v>300.7772036977783</v>
      </c>
      <c r="G6" s="147">
        <f ca="1">F6*(100%-'Données projet'!$C$24)*(100%-'Données projet'!$C$25)*(100%-'Données projet'!$C$26)*(100%-'Données projet'!$C$27)</f>
        <v>270.6994833280005</v>
      </c>
      <c r="H6" s="148">
        <f>IF(OR('Données projet'!B9="",'Données projet'!C9="",'Données projet'!C9=0%),0,AVERAGE(Calculateur!$AC$3:$AC$33)*B6)</f>
        <v>3.5967440962459767</v>
      </c>
      <c r="I6" s="149">
        <f>H6*(100%-'Données projet'!$C$24)*(100%-'Données projet'!$C$25)*(100%-'Données projet'!$C$26)*(100%-'Données projet'!$C$27)</f>
        <v>3.2370696866213793</v>
      </c>
      <c r="J6" s="150">
        <f>IF(OR('Données projet'!B9="",'Données projet'!C9="",'Données projet'!C9=0%),0,SUM(Calculateur!$V$3:$V$33)*VLOOKUP('Données projet'!$B$9,Paramètres!$A$1:$I$89,9,0)*B6)</f>
        <v>23.43</v>
      </c>
      <c r="K6" s="151">
        <f>J6*(100%-'Données projet'!$C$24)*(100%-'Données projet'!$C$25)*(100%-'Données projet'!$C$26)*(100%-'Données projet'!$C$27)</f>
        <v>21.087</v>
      </c>
      <c r="L6" s="152">
        <f ca="1">G6+I6+K6</f>
        <v>295.02355301462188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0.44729999999999998</v>
      </c>
      <c r="C7" s="147">
        <f ca="1">IF(OR('Données projet'!B10="",'Données projet'!C10="",'Données projet'!C10=0%),0,Calculateur!AN3)</f>
        <v>201.61452816909701</v>
      </c>
      <c r="D7" s="147">
        <f>IF(OR('Données projet'!B10="",'Données projet'!C10="",'Données projet'!C10=0%),0,Calculateur!AO3)</f>
        <v>287.77679930887746</v>
      </c>
      <c r="E7" s="147">
        <f t="shared" ref="E7:E15" ca="1" si="0">MIN(C7,D7)</f>
        <v>201.61452816909701</v>
      </c>
      <c r="F7" s="147">
        <f t="shared" ref="F7:F15" ca="1" si="1">E7*B7</f>
        <v>90.182178450037085</v>
      </c>
      <c r="G7" s="147">
        <f ca="1">F7*(100%-'Données projet'!$C$24)*(100%-'Données projet'!$C$25)*(100%-'Données projet'!$C$26)*(100%-'Données projet'!$C$27)</f>
        <v>81.163960605033381</v>
      </c>
      <c r="H7" s="155">
        <f>IF(OR('Données projet'!B10="",'Données projet'!C10="",'Données projet'!C10=0%),0,AVERAGE(Calculateur!$AX$3:$AX$33)*B7)</f>
        <v>2.4000730615800534</v>
      </c>
      <c r="I7" s="149">
        <f>H7*(100%-'Données projet'!$C$24)*(100%-'Données projet'!$C$25)*(100%-'Données projet'!$C$26)*(100%-'Données projet'!$C$27)</f>
        <v>2.1600657554220479</v>
      </c>
      <c r="J7" s="150">
        <f>IF(OR('Données projet'!B10="",'Données projet'!C10="",'Données projet'!C10=0%),0,SUM(Calculateur!$AQ$3:$AQ$33)*VLOOKUP('Données projet'!$B$10,Paramètres!$A$1:$I$89,9,0)*B7)</f>
        <v>13.866299999999999</v>
      </c>
      <c r="K7" s="151">
        <f>J7*(100%-'Données projet'!$C$24)*(100%-'Données projet'!$C$25)*(100%-'Données projet'!$C$26)*(100%-'Données projet'!$C$27)</f>
        <v>12.479669999999999</v>
      </c>
      <c r="L7" s="152">
        <f t="shared" ref="L7:L15" ca="1" si="2">G7+I7+K7</f>
        <v>95.803696360455433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laricio</v>
      </c>
      <c r="B8" s="154">
        <f>'Données projet'!D11</f>
        <v>0.21299999999999999</v>
      </c>
      <c r="C8" s="147">
        <f ca="1">IF(OR('Données projet'!B11="",'Données projet'!C11="",'Données projet'!C11=0%),0,Calculateur!BI3)</f>
        <v>225.63994281336028</v>
      </c>
      <c r="D8" s="147">
        <f>IF(OR('Données projet'!B11="",'Données projet'!C11="",'Données projet'!C11=0%),0,Calculateur!BJ3)</f>
        <v>231.19476400361157</v>
      </c>
      <c r="E8" s="147">
        <f t="shared" ca="1" si="0"/>
        <v>225.63994281336028</v>
      </c>
      <c r="F8" s="147">
        <f t="shared" ca="1" si="1"/>
        <v>48.061307819245741</v>
      </c>
      <c r="G8" s="147">
        <f ca="1">F8*(100%-'Données projet'!$C$24)*(100%-'Données projet'!$C$25)*(100%-'Données projet'!$C$26)*(100%-'Données projet'!$C$27)</f>
        <v>43.255177037321168</v>
      </c>
      <c r="H8" s="155">
        <f>IF(OR('Données projet'!B11="",'Données projet'!C11="",'Données projet'!C11=0%),0,AVERAGE(Calculateur!$BS$3:$BS$33)*B8)</f>
        <v>0.38900029751136822</v>
      </c>
      <c r="I8" s="149">
        <f>H8*(100%-'Données projet'!$C$24)*(100%-'Données projet'!$C$25)*(100%-'Données projet'!$C$26)*(100%-'Données projet'!$C$27)</f>
        <v>0.3501002677602314</v>
      </c>
      <c r="J8" s="150">
        <f>IF(OR('Données projet'!B11="",'Données projet'!C11="",'Données projet'!C11=0%),0,SUM(Calculateur!$BL$3:$BL$33)*VLOOKUP('Données projet'!$B$11,Paramètres!$A$1:$I$89,9,0)*B8)</f>
        <v>6.1365299999999996</v>
      </c>
      <c r="K8" s="151">
        <f>J8*(100%-'Données projet'!$C$24)*(100%-'Données projet'!$C$25)*(100%-'Données projet'!$C$26)*(100%-'Données projet'!$C$27)</f>
        <v>5.5228769999999994</v>
      </c>
      <c r="L8" s="152">
        <f t="shared" ca="1" si="2"/>
        <v>49.128154305081402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Cèdre de l'Atlas</v>
      </c>
      <c r="B9" s="154">
        <f>'Données projet'!D12</f>
        <v>0.53249999999999997</v>
      </c>
      <c r="C9" s="147">
        <f ca="1">IF(OR('Données projet'!B12="",'Données projet'!C12="",'Données projet'!C12=0%),0,Calculateur!CD3)</f>
        <v>111.69585394603672</v>
      </c>
      <c r="D9" s="147">
        <f>IF(OR('Données projet'!B12="",'Données projet'!C12="",'Données projet'!C12=0%),0,Calculateur!CE3)</f>
        <v>162.6701214629764</v>
      </c>
      <c r="E9" s="147">
        <f t="shared" ca="1" si="0"/>
        <v>111.69585394603672</v>
      </c>
      <c r="F9" s="147">
        <f t="shared" ca="1" si="1"/>
        <v>59.478042226264549</v>
      </c>
      <c r="G9" s="147">
        <f ca="1">F9*(100%-'Données projet'!$C$24)*(100%-'Données projet'!$C$25)*(100%-'Données projet'!$C$26)*(100%-'Données projet'!$C$27)</f>
        <v>53.530238003638097</v>
      </c>
      <c r="H9" s="155">
        <f>IF(OR('Données projet'!B12="",'Données projet'!C12="",'Données projet'!C12=0%),0,AVERAGE(Calculateur!$CN$3:$CN$33)*B9)</f>
        <v>2.1347697727844825</v>
      </c>
      <c r="I9" s="149">
        <f>H9*(100%-'Données projet'!$C$24)*(100%-'Données projet'!$C$25)*(100%-'Données projet'!$C$26)*(100%-'Données projet'!$C$27)</f>
        <v>1.9212927955060344</v>
      </c>
      <c r="J9" s="150">
        <f>IF(OR('Données projet'!B12="",'Données projet'!C12="",'Données projet'!C12=0%),0,SUM(Calculateur!$CG$3:$CG$33)*VLOOKUP('Données projet'!$B$12,Paramètres!$A$1:$I$89,9,0)*B9)</f>
        <v>27.477</v>
      </c>
      <c r="K9" s="151">
        <f>J9*(100%-'Données projet'!$C$24)*(100%-'Données projet'!$C$25)*(100%-'Données projet'!$C$26)*(100%-'Données projet'!$C$27)</f>
        <v>24.729300000000002</v>
      </c>
      <c r="L9" s="152">
        <f t="shared" ca="1" si="2"/>
        <v>80.180830799144132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498.49873219332568</v>
      </c>
      <c r="G16" s="166">
        <f t="shared" ca="1" si="3"/>
        <v>448.64885897399313</v>
      </c>
      <c r="H16" s="167">
        <f t="shared" si="3"/>
        <v>8.5205872281218795</v>
      </c>
      <c r="I16" s="167">
        <f t="shared" si="3"/>
        <v>7.668528505309693</v>
      </c>
      <c r="J16" s="168">
        <f t="shared" si="3"/>
        <v>70.909829999999999</v>
      </c>
      <c r="K16" s="168">
        <f t="shared" si="3"/>
        <v>63.818847000000005</v>
      </c>
      <c r="L16" s="169">
        <f t="shared" ca="1" si="3"/>
        <v>520.13623447930286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80" zoomScaleNormal="80" workbookViewId="0">
      <selection activeCell="N20" sqref="N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Robinier faux-acacia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57.760249087328475</v>
      </c>
      <c r="U10" s="178">
        <f>'Données projet'!D9</f>
        <v>0.93719999999999992</v>
      </c>
      <c r="V10" s="177">
        <f>U10*T10</f>
        <v>54.132905444644244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-720.88186239523748</v>
      </c>
      <c r="U11" s="178">
        <f>'Données projet'!D10</f>
        <v>0.44729999999999998</v>
      </c>
      <c r="V11" s="177">
        <f t="shared" ref="V11" si="0">U11*T11</f>
        <v>-322.45045704938968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358.90163829250469</v>
      </c>
      <c r="U12" s="178">
        <f>'Données projet'!D11</f>
        <v>0.21299999999999999</v>
      </c>
      <c r="V12" s="177">
        <f t="shared" ref="V12:V19" si="1">U12*T12</f>
        <v>76.4460489563035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-215.62708789024282</v>
      </c>
      <c r="U13" s="178">
        <f>'Données projet'!D12</f>
        <v>0.53249999999999997</v>
      </c>
      <c r="V13" s="177">
        <f t="shared" si="1"/>
        <v>-114.8214243015543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Robinier faux-acacia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150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1582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150.0000000000002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1"/>
      <c r="F18" s="230"/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1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1500.000000000002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1"/>
      <c r="F20" s="230"/>
      <c r="G20" s="303"/>
      <c r="H20" s="190">
        <v>0</v>
      </c>
      <c r="I20" s="191">
        <v>3911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5</v>
      </c>
      <c r="B23" s="181">
        <f>'Données projet'!D36</f>
        <v>6</v>
      </c>
      <c r="C23" s="193">
        <v>2</v>
      </c>
      <c r="D23" s="182">
        <f>B23*C23</f>
        <v>12</v>
      </c>
      <c r="E23" s="193"/>
      <c r="F23" s="230"/>
      <c r="H23" s="190">
        <v>3</v>
      </c>
      <c r="I23" s="191">
        <v>800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-12913.702684345089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10</v>
      </c>
      <c r="B24" s="181">
        <f>'Données projet'!D37</f>
        <v>28</v>
      </c>
      <c r="C24" s="193">
        <v>2</v>
      </c>
      <c r="D24" s="182">
        <f t="shared" ref="D24:D42" si="2">B24*C24</f>
        <v>56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4.3353812542773866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15</v>
      </c>
      <c r="B25" s="181">
        <f>'Données projet'!D38</f>
        <v>23</v>
      </c>
      <c r="C25" s="193">
        <v>2</v>
      </c>
      <c r="D25" s="182">
        <f t="shared" si="2"/>
        <v>46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-12918.038065599367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20</v>
      </c>
      <c r="B26" s="181">
        <f>'Données projet'!D39</f>
        <v>18</v>
      </c>
      <c r="C26" s="193">
        <v>10</v>
      </c>
      <c r="D26" s="182">
        <f t="shared" si="2"/>
        <v>180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25</v>
      </c>
      <c r="B27" s="181">
        <f>'Données projet'!D40</f>
        <v>14</v>
      </c>
      <c r="C27" s="193">
        <v>10</v>
      </c>
      <c r="D27" s="182">
        <f t="shared" si="2"/>
        <v>140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30</v>
      </c>
      <c r="B28" s="181">
        <f>'Données projet'!D41</f>
        <v>11</v>
      </c>
      <c r="C28" s="193">
        <v>25</v>
      </c>
      <c r="D28" s="182">
        <f t="shared" si="2"/>
        <v>275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35</v>
      </c>
      <c r="B29" s="181">
        <f>'Données projet'!D42</f>
        <v>9</v>
      </c>
      <c r="C29" s="193">
        <v>25</v>
      </c>
      <c r="D29" s="182">
        <f t="shared" si="2"/>
        <v>225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40</v>
      </c>
      <c r="B30" s="181">
        <f>'Données projet'!D43</f>
        <v>7</v>
      </c>
      <c r="C30" s="193">
        <v>30</v>
      </c>
      <c r="D30" s="182">
        <f t="shared" si="2"/>
        <v>210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45</v>
      </c>
      <c r="B31" s="181">
        <f>'Données projet'!D44</f>
        <v>312</v>
      </c>
      <c r="C31" s="193">
        <v>30</v>
      </c>
      <c r="D31" s="182">
        <f t="shared" si="2"/>
        <v>9360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1974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1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1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1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50</v>
      </c>
      <c r="C54" s="191">
        <v>2</v>
      </c>
      <c r="D54" s="179">
        <f>B54*C54</f>
        <v>100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37</v>
      </c>
      <c r="C55" s="191">
        <v>2</v>
      </c>
      <c r="D55" s="179">
        <f t="shared" ref="D55:D73" si="4">B55*C55</f>
        <v>74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37</v>
      </c>
      <c r="C56" s="191">
        <v>10</v>
      </c>
      <c r="D56" s="179">
        <f t="shared" si="4"/>
        <v>370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36</v>
      </c>
      <c r="C57" s="191">
        <v>10</v>
      </c>
      <c r="D57" s="179">
        <f t="shared" si="4"/>
        <v>360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33</v>
      </c>
      <c r="C58" s="191">
        <v>25</v>
      </c>
      <c r="D58" s="179">
        <f t="shared" si="4"/>
        <v>825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31</v>
      </c>
      <c r="C59" s="191">
        <v>25</v>
      </c>
      <c r="D59" s="179">
        <f t="shared" si="4"/>
        <v>775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28</v>
      </c>
      <c r="C60" s="191">
        <v>30</v>
      </c>
      <c r="D60" s="179">
        <f t="shared" si="4"/>
        <v>840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25</v>
      </c>
      <c r="C61" s="191">
        <v>30</v>
      </c>
      <c r="D61" s="179">
        <f t="shared" si="4"/>
        <v>750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220</v>
      </c>
      <c r="C62" s="191">
        <v>40</v>
      </c>
      <c r="D62" s="179">
        <f t="shared" si="4"/>
        <v>8800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1344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1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1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1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22</v>
      </c>
      <c r="B85" s="181">
        <f>'Données projet'!D88</f>
        <v>16</v>
      </c>
      <c r="C85" s="191">
        <v>2</v>
      </c>
      <c r="D85" s="179">
        <f>B85*C85</f>
        <v>32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17</v>
      </c>
      <c r="C86" s="191">
        <v>2</v>
      </c>
      <c r="D86" s="179">
        <f t="shared" ref="D86:D104" si="6">B86*C86</f>
        <v>34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34</v>
      </c>
      <c r="C87" s="191">
        <v>10</v>
      </c>
      <c r="D87" s="179">
        <f t="shared" si="6"/>
        <v>340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41</v>
      </c>
      <c r="C88" s="191">
        <v>10</v>
      </c>
      <c r="D88" s="179">
        <f t="shared" si="6"/>
        <v>410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41</v>
      </c>
      <c r="C89" s="191">
        <v>25</v>
      </c>
      <c r="D89" s="179">
        <f t="shared" si="6"/>
        <v>1025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53</v>
      </c>
      <c r="C90" s="191">
        <v>25</v>
      </c>
      <c r="D90" s="179">
        <f t="shared" si="6"/>
        <v>1325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53</v>
      </c>
      <c r="C91" s="191">
        <v>25</v>
      </c>
      <c r="D91" s="179">
        <f t="shared" si="6"/>
        <v>1325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58</v>
      </c>
      <c r="B92" s="181">
        <f>'Données projet'!D95</f>
        <v>78</v>
      </c>
      <c r="C92" s="191">
        <v>30</v>
      </c>
      <c r="D92" s="179">
        <f t="shared" si="6"/>
        <v>2340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66</v>
      </c>
      <c r="B93" s="181">
        <f>'Données projet'!D96</f>
        <v>495</v>
      </c>
      <c r="C93" s="191">
        <v>30</v>
      </c>
      <c r="D93" s="179">
        <f t="shared" si="6"/>
        <v>14850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2380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1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1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1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35</v>
      </c>
      <c r="C116" s="191">
        <v>2</v>
      </c>
      <c r="D116" s="179">
        <f>B116*C116</f>
        <v>70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35</v>
      </c>
      <c r="C117" s="191">
        <v>5</v>
      </c>
      <c r="D117" s="179">
        <f t="shared" ref="D117:D135" si="8">B117*C117</f>
        <v>175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50</v>
      </c>
      <c r="C118" s="191">
        <v>25</v>
      </c>
      <c r="D118" s="179">
        <f t="shared" si="8"/>
        <v>1250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37</v>
      </c>
      <c r="B119" s="181">
        <f>'Données projet'!D117</f>
        <v>50</v>
      </c>
      <c r="C119" s="191">
        <v>25</v>
      </c>
      <c r="D119" s="179">
        <f t="shared" si="8"/>
        <v>1250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44</v>
      </c>
      <c r="B120" s="181">
        <f>'Données projet'!D118</f>
        <v>60</v>
      </c>
      <c r="C120" s="191">
        <v>40</v>
      </c>
      <c r="D120" s="179">
        <f t="shared" si="8"/>
        <v>2400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51</v>
      </c>
      <c r="B121" s="181">
        <f>'Données projet'!D119</f>
        <v>70</v>
      </c>
      <c r="C121" s="191">
        <v>40</v>
      </c>
      <c r="D121" s="179">
        <f t="shared" si="8"/>
        <v>2800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60</v>
      </c>
      <c r="B122" s="181">
        <f>'Données projet'!D120</f>
        <v>300</v>
      </c>
      <c r="C122" s="191">
        <v>40</v>
      </c>
      <c r="D122" s="179">
        <f t="shared" si="8"/>
        <v>12000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2022-09-20T07:54:53Z</dcterms:modified>
</cp:coreProperties>
</file>