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Desktop/79-8212121/"/>
    </mc:Choice>
  </mc:AlternateContent>
  <xr:revisionPtr revIDLastSave="0" documentId="13_ncr:1_{F3205E58-2581-8E47-9504-06BC48636D1D}" xr6:coauthVersionLast="47" xr6:coauthVersionMax="47" xr10:uidLastSave="{00000000-0000-0000-0000-000000000000}"/>
  <bookViews>
    <workbookView xWindow="-10680" yWindow="-28300" windowWidth="51200" windowHeight="28300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6" l="1"/>
  <c r="I24" i="6"/>
  <c r="I23" i="6"/>
  <c r="I22" i="6"/>
  <c r="I21" i="6"/>
  <c r="I20" i="6"/>
  <c r="E265" i="6"/>
  <c r="E234" i="6"/>
  <c r="E203" i="6"/>
  <c r="E172" i="6"/>
  <c r="E141" i="6"/>
  <c r="E110" i="6"/>
  <c r="E79" i="6"/>
  <c r="E48" i="6"/>
  <c r="E17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71" i="6"/>
  <c r="C225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47" i="6"/>
  <c r="C123" i="6"/>
  <c r="C117" i="6"/>
  <c r="C118" i="6"/>
  <c r="C119" i="6"/>
  <c r="C120" i="6"/>
  <c r="C121" i="6"/>
  <c r="C122" i="6"/>
  <c r="C124" i="6"/>
  <c r="C125" i="6"/>
  <c r="C126" i="6"/>
  <c r="C127" i="6"/>
  <c r="C128" i="6"/>
  <c r="C129" i="6"/>
  <c r="C130" i="6"/>
  <c r="C131" i="6"/>
  <c r="C132" i="6"/>
  <c r="C116" i="6"/>
  <c r="C88" i="6"/>
  <c r="C89" i="6"/>
  <c r="C90" i="6"/>
  <c r="C91" i="6"/>
  <c r="C92" i="6"/>
  <c r="C87" i="6"/>
  <c r="C85" i="6"/>
  <c r="C86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23" i="6"/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89" i="6"/>
  <c r="C29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26" i="6"/>
  <c r="C227" i="6"/>
  <c r="C228" i="6"/>
  <c r="C161" i="6"/>
  <c r="C162" i="6"/>
  <c r="C163" i="6"/>
  <c r="C164" i="6"/>
  <c r="C165" i="6"/>
  <c r="C166" i="6"/>
  <c r="C133" i="6"/>
  <c r="C134" i="6"/>
  <c r="C135" i="6"/>
  <c r="C93" i="6"/>
  <c r="C94" i="6"/>
  <c r="C95" i="6"/>
  <c r="C96" i="6"/>
  <c r="C97" i="6"/>
  <c r="C98" i="6"/>
  <c r="C99" i="6"/>
  <c r="C100" i="6"/>
  <c r="C101" i="6"/>
  <c r="C102" i="6"/>
  <c r="C103" i="6"/>
  <c r="C104" i="6"/>
  <c r="C41" i="6"/>
  <c r="C42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B33" i="2"/>
  <c r="EA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A38" i="2"/>
  <c r="EW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D154" i="2"/>
  <c r="DI154" i="2"/>
  <c r="AC154" i="2"/>
  <c r="EY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D159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B161" i="2"/>
  <c r="EA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DI161" i="2"/>
  <c r="EY161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V164" i="2" l="1"/>
  <c r="EY163" i="2"/>
  <c r="EA164" i="2"/>
  <c r="ED163" i="2"/>
  <c r="FS164" i="2"/>
  <c r="DI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C166" i="2"/>
  <c r="ED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C168" i="2"/>
  <c r="DI167" i="2"/>
  <c r="DG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B172" i="2"/>
  <c r="EA172" i="2"/>
  <c r="ED171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W173" i="2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EB175" i="2"/>
  <c r="ED174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ED177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EV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A183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FR186" i="2"/>
  <c r="EW186" i="2"/>
  <c r="HH186" i="2"/>
  <c r="HG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HH189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D189" i="2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W192" i="2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DI192" i="2"/>
  <c r="EX193" i="2"/>
  <c r="FQ193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EA195" i="2"/>
  <c r="ED194" i="2"/>
  <c r="EY194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V199" i="2"/>
  <c r="EW199" i="2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 l="1"/>
  <c r="ED200" i="2"/>
  <c r="EB201" i="2"/>
  <c r="FS201" i="2"/>
  <c r="DI200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D201" i="2" l="1"/>
  <c r="FS202" i="2"/>
  <c r="EW202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52" i="2" a="1"/>
  <c r="CS52" i="2" s="1"/>
  <c r="CS129" i="2" a="1"/>
  <c r="CS129" i="2" s="1"/>
  <c r="EI195" i="2" a="1"/>
  <c r="EI195" i="2" s="1"/>
  <c r="CS137" i="2" a="1"/>
  <c r="CS137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DN6" i="2" a="1"/>
  <c r="DN6" i="2" s="1"/>
  <c r="DO6" i="2" s="1"/>
  <c r="FD82" i="2" a="1"/>
  <c r="FD82" i="2" s="1"/>
  <c r="HJ202" i="2"/>
  <c r="AX200" i="2"/>
  <c r="DN41" i="2" l="1" a="1"/>
  <c r="DN41" i="2" s="1"/>
  <c r="FY47" i="2" a="1"/>
  <c r="FY47" i="2" s="1"/>
  <c r="FY146" i="2" a="1"/>
  <c r="FY146" i="2" s="1"/>
  <c r="FY32" i="2" a="1"/>
  <c r="FY32" i="2" s="1"/>
  <c r="CS72" i="2" a="1"/>
  <c r="CS72" i="2" s="1"/>
  <c r="BX107" i="2" a="1"/>
  <c r="BX107" i="2" s="1"/>
  <c r="BP203" i="2"/>
  <c r="AH163" i="2" a="1"/>
  <c r="AH163" i="2" s="1"/>
  <c r="AH62" i="2" a="1"/>
  <c r="AH62" i="2" s="1"/>
  <c r="AH166" i="2" a="1"/>
  <c r="AH166" i="2" s="1"/>
  <c r="AH151" i="2" a="1"/>
  <c r="AH151" i="2" s="1"/>
  <c r="EY202" i="2"/>
  <c r="FD48" i="2" a="1"/>
  <c r="FD48" i="2" s="1"/>
  <c r="FD59" i="2" a="1"/>
  <c r="FD59" i="2" s="1"/>
  <c r="FD144" i="2" a="1"/>
  <c r="FD144" i="2" s="1"/>
  <c r="FD21" i="2" a="1"/>
  <c r="FD21" i="2" s="1"/>
  <c r="FS203" i="2"/>
  <c r="DN46" i="2" a="1"/>
  <c r="DN46" i="2" s="1"/>
  <c r="DN16" i="2" a="1"/>
  <c r="DN16" i="2" s="1"/>
  <c r="DN187" i="2" a="1"/>
  <c r="DN187" i="2" s="1"/>
  <c r="DN135" i="2" a="1"/>
  <c r="DN135" i="2" s="1"/>
  <c r="DN45" i="2" a="1"/>
  <c r="DN45" i="2" s="1"/>
  <c r="DN132" i="2" a="1"/>
  <c r="DN132" i="2" s="1"/>
  <c r="DN176" i="2" a="1"/>
  <c r="DN176" i="2" s="1"/>
  <c r="DN30" i="2" a="1"/>
  <c r="DN30" i="2" s="1"/>
  <c r="DN70" i="2" a="1"/>
  <c r="DN70" i="2" s="1"/>
  <c r="DN168" i="2" a="1"/>
  <c r="DN168" i="2" s="1"/>
  <c r="DN63" i="2" a="1"/>
  <c r="DN63" i="2" s="1"/>
  <c r="DN190" i="2" a="1"/>
  <c r="DN190" i="2" s="1"/>
  <c r="DN55" i="2" a="1"/>
  <c r="DN55" i="2" s="1"/>
  <c r="DN162" i="2" a="1"/>
  <c r="DN162" i="2" s="1"/>
  <c r="DN38" i="2" a="1"/>
  <c r="DN38" i="2" s="1"/>
  <c r="DN177" i="2" a="1"/>
  <c r="DN177" i="2" s="1"/>
  <c r="DN133" i="2" a="1"/>
  <c r="DN133" i="2" s="1"/>
  <c r="DN31" i="2" a="1"/>
  <c r="DN31" i="2" s="1"/>
  <c r="DN49" i="2" a="1"/>
  <c r="DN49" i="2" s="1"/>
  <c r="DN80" i="2" a="1"/>
  <c r="DN80" i="2" s="1"/>
  <c r="DN115" i="2" a="1"/>
  <c r="DN115" i="2" s="1"/>
  <c r="DN65" i="2" a="1"/>
  <c r="DN65" i="2" s="1"/>
  <c r="DN167" i="2" a="1"/>
  <c r="DN167" i="2" s="1"/>
  <c r="DN164" i="2" a="1"/>
  <c r="DN164" i="2" s="1"/>
  <c r="DN29" i="2" a="1"/>
  <c r="DN29" i="2" s="1"/>
  <c r="CS134" i="2" a="1"/>
  <c r="CS134" i="2" s="1"/>
  <c r="CS114" i="2" a="1"/>
  <c r="CS114" i="2" s="1"/>
  <c r="CS120" i="2" a="1"/>
  <c r="CS120" i="2" s="1"/>
  <c r="CS105" i="2" a="1"/>
  <c r="CS105" i="2" s="1"/>
  <c r="CS66" i="2" a="1"/>
  <c r="CS66" i="2" s="1"/>
  <c r="CS24" i="2" a="1"/>
  <c r="CS24" i="2" s="1"/>
  <c r="CS56" i="2" a="1"/>
  <c r="CS56" i="2" s="1"/>
  <c r="CS161" i="2" a="1"/>
  <c r="CS161" i="2" s="1"/>
  <c r="CS77" i="2" a="1"/>
  <c r="CS77" i="2" s="1"/>
  <c r="CS116" i="2" a="1"/>
  <c r="CS116" i="2" s="1"/>
  <c r="BC126" i="2" a="1"/>
  <c r="BC126" i="2" s="1"/>
  <c r="BC55" i="2" a="1"/>
  <c r="BC55" i="2" s="1"/>
  <c r="BC18" i="2" a="1"/>
  <c r="BC18" i="2" s="1"/>
  <c r="BC58" i="2" a="1"/>
  <c r="BC58" i="2" s="1"/>
  <c r="BC7" i="2" a="1"/>
  <c r="BC7" i="2" s="1"/>
  <c r="BC84" i="2" a="1"/>
  <c r="BC84" i="2" s="1"/>
  <c r="BC117" i="2" a="1"/>
  <c r="BC117" i="2" s="1"/>
  <c r="BC185" i="2" a="1"/>
  <c r="BC185" i="2" s="1"/>
  <c r="BC32" i="2" a="1"/>
  <c r="BC32" i="2" s="1"/>
  <c r="BC130" i="2" a="1"/>
  <c r="BC130" i="2" s="1"/>
  <c r="BC181" i="2" a="1"/>
  <c r="BC181" i="2" s="1"/>
  <c r="BC82" i="2" a="1"/>
  <c r="BC82" i="2" s="1"/>
  <c r="BC34" i="2" a="1"/>
  <c r="BC34" i="2" s="1"/>
  <c r="BC38" i="2" a="1"/>
  <c r="BC38" i="2" s="1"/>
  <c r="BC83" i="2" a="1"/>
  <c r="BC83" i="2" s="1"/>
  <c r="BC143" i="2" a="1"/>
  <c r="BC143" i="2" s="1"/>
  <c r="BC164" i="2" a="1"/>
  <c r="BC164" i="2" s="1"/>
  <c r="BC65" i="2" a="1"/>
  <c r="BC65" i="2" s="1"/>
  <c r="BC47" i="2" a="1"/>
  <c r="BC47" i="2" s="1"/>
  <c r="BC151" i="2" a="1"/>
  <c r="BC151" i="2" s="1"/>
  <c r="BC31" i="2" a="1"/>
  <c r="BC31" i="2" s="1"/>
  <c r="BC192" i="2" a="1"/>
  <c r="BC192" i="2" s="1"/>
  <c r="BC114" i="2" a="1"/>
  <c r="BC114" i="2" s="1"/>
  <c r="BC68" i="2" a="1"/>
  <c r="BC68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ED203" i="2"/>
  <c r="FZ9" i="2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GE11" i="2" l="1"/>
  <c r="GE133" i="2"/>
  <c r="GE40" i="2"/>
  <c r="GE195" i="2"/>
  <c r="GE8" i="2"/>
  <c r="GE17" i="2"/>
  <c r="GE98" i="2"/>
  <c r="GE84" i="2"/>
  <c r="GE114" i="2"/>
  <c r="GE89" i="2"/>
  <c r="GE64" i="2"/>
  <c r="GE151" i="2"/>
  <c r="GE199" i="2"/>
  <c r="GE52" i="2"/>
  <c r="GE96" i="2"/>
  <c r="GE5" i="2"/>
  <c r="GE184" i="2"/>
  <c r="GE70" i="2"/>
  <c r="GE177" i="2"/>
  <c r="GE161" i="2"/>
  <c r="GE164" i="2"/>
  <c r="GE178" i="2"/>
  <c r="GE102" i="2"/>
  <c r="GE108" i="2"/>
  <c r="GE87" i="2"/>
  <c r="GE30" i="2"/>
  <c r="GE200" i="2"/>
  <c r="GE136" i="2"/>
  <c r="GE97" i="2"/>
  <c r="GE91" i="2"/>
  <c r="GE54" i="2"/>
  <c r="GE25" i="2"/>
  <c r="GE33" i="2"/>
  <c r="GE113" i="2"/>
  <c r="GE14" i="2"/>
  <c r="GE22" i="2"/>
  <c r="GE83" i="2"/>
  <c r="GE99" i="2"/>
  <c r="GE140" i="2"/>
  <c r="GE66" i="2"/>
  <c r="GE62" i="2"/>
  <c r="GE171" i="2"/>
  <c r="GE150" i="2"/>
  <c r="GE121" i="2"/>
  <c r="GE79" i="2"/>
  <c r="GE77" i="2"/>
  <c r="GE48" i="2"/>
  <c r="GE116" i="2"/>
  <c r="GE185" i="2"/>
  <c r="GE168" i="2"/>
  <c r="GE49" i="2"/>
  <c r="GE203" i="2"/>
  <c r="GE122" i="2"/>
  <c r="GE18" i="2"/>
  <c r="GE31" i="2"/>
  <c r="GE47" i="2"/>
  <c r="GE106" i="2"/>
  <c r="GE172" i="2"/>
  <c r="GE189" i="2"/>
  <c r="GE146" i="2"/>
  <c r="GE71" i="2"/>
  <c r="GE109" i="2"/>
  <c r="GE81" i="2"/>
  <c r="GE39" i="2"/>
  <c r="GE135" i="2"/>
  <c r="GE65" i="2"/>
  <c r="GE125" i="2"/>
  <c r="GE55" i="2"/>
  <c r="GE13" i="2"/>
  <c r="GE10" i="2"/>
  <c r="GE137" i="2"/>
  <c r="GE19" i="2"/>
  <c r="GE110" i="2"/>
  <c r="GE32" i="2"/>
  <c r="GE117" i="2"/>
  <c r="GE142" i="2"/>
  <c r="GE34" i="2"/>
  <c r="GE57" i="2"/>
  <c r="GE75" i="2"/>
  <c r="GE43" i="2"/>
  <c r="GE139" i="2"/>
  <c r="GE95" i="2"/>
  <c r="GE103" i="2"/>
  <c r="GE74" i="2"/>
  <c r="GE186" i="2"/>
  <c r="GE27" i="2"/>
  <c r="GE124" i="2"/>
  <c r="GE138" i="2"/>
  <c r="GE76" i="2"/>
  <c r="GE123" i="2"/>
  <c r="GE193" i="2"/>
  <c r="GE131" i="2"/>
  <c r="GE46" i="2"/>
  <c r="GE58" i="2"/>
  <c r="GE165" i="2"/>
  <c r="GE50" i="2"/>
  <c r="GE163" i="2"/>
  <c r="GE41" i="2"/>
  <c r="GE21" i="2"/>
  <c r="GE59" i="2"/>
  <c r="GE182" i="2"/>
  <c r="GE191" i="2"/>
  <c r="GE3" i="2"/>
  <c r="C14" i="4" s="1"/>
  <c r="E14" i="4" s="1"/>
  <c r="F14" i="4" s="1"/>
  <c r="G14" i="4" s="1"/>
  <c r="L14" i="4" s="1"/>
  <c r="GE153" i="2"/>
  <c r="GE28" i="2"/>
  <c r="GE111" i="2"/>
  <c r="GE148" i="2"/>
  <c r="GE143" i="2"/>
  <c r="GE128" i="2"/>
  <c r="GE60" i="2"/>
  <c r="GE118" i="2"/>
  <c r="GE100" i="2"/>
  <c r="GE155" i="2"/>
  <c r="GE23" i="2"/>
  <c r="GE160" i="2"/>
  <c r="GE130" i="2"/>
  <c r="GE176" i="2"/>
  <c r="GE119" i="2"/>
  <c r="GE16" i="2"/>
  <c r="GE90" i="2"/>
  <c r="GE141" i="2"/>
  <c r="GE38" i="2"/>
  <c r="GE53" i="2"/>
  <c r="GE7" i="2"/>
  <c r="GE42" i="2"/>
  <c r="GE192" i="2"/>
  <c r="GE88" i="2"/>
  <c r="GE80" i="2"/>
  <c r="GE170" i="2"/>
  <c r="GE196" i="2"/>
  <c r="GE37" i="2"/>
  <c r="GE85" i="2"/>
  <c r="GE92" i="2"/>
  <c r="GE187" i="2"/>
  <c r="GE6" i="2"/>
  <c r="GE154" i="2"/>
  <c r="GE4" i="2"/>
  <c r="GE15" i="2"/>
  <c r="GE9" i="2"/>
  <c r="GE132" i="2"/>
  <c r="GE159" i="2"/>
  <c r="GE93" i="2"/>
  <c r="GE126" i="2"/>
  <c r="GE82" i="2"/>
  <c r="GE120" i="2"/>
  <c r="GE67" i="2"/>
  <c r="GE127" i="2"/>
  <c r="GE69" i="2"/>
  <c r="GE12" i="2"/>
  <c r="GE144" i="2"/>
  <c r="GE68" i="2"/>
  <c r="GE61" i="2"/>
  <c r="GE198" i="2"/>
  <c r="GE197" i="2"/>
  <c r="GE179" i="2"/>
  <c r="GE26" i="2"/>
  <c r="GE35" i="2"/>
  <c r="GE73" i="2"/>
  <c r="GE162" i="2"/>
  <c r="GE201" i="2"/>
  <c r="GE175" i="2"/>
  <c r="GE112" i="2"/>
  <c r="GE44" i="2"/>
  <c r="GE194" i="2"/>
  <c r="GE20" i="2"/>
  <c r="GE129" i="2"/>
  <c r="GE51" i="2"/>
  <c r="GE188" i="2"/>
  <c r="GE180" i="2"/>
  <c r="GE145" i="2"/>
  <c r="GE101" i="2"/>
  <c r="GE181" i="2"/>
  <c r="GE63" i="2"/>
  <c r="GE202" i="2"/>
  <c r="GE158" i="2"/>
  <c r="GE152" i="2"/>
  <c r="GE78" i="2"/>
  <c r="GE156" i="2"/>
  <c r="GE107" i="2"/>
  <c r="GE169" i="2"/>
  <c r="GE24" i="2"/>
  <c r="GE72" i="2"/>
  <c r="GE86" i="2"/>
  <c r="GE105" i="2"/>
  <c r="GE173" i="2"/>
  <c r="GE104" i="2"/>
  <c r="GE115" i="2"/>
  <c r="GE190" i="2"/>
  <c r="GE174" i="2"/>
  <c r="GE157" i="2"/>
  <c r="GE29" i="2"/>
  <c r="GE166" i="2"/>
  <c r="GE134" i="2"/>
  <c r="GE147" i="2"/>
  <c r="GE36" i="2"/>
  <c r="GE56" i="2"/>
  <c r="GE149" i="2"/>
  <c r="GE45" i="2"/>
  <c r="GE94" i="2"/>
  <c r="GE183" i="2"/>
  <c r="GE167" i="2"/>
  <c r="FJ203" i="2"/>
  <c r="FJ18" i="2"/>
  <c r="FJ152" i="2"/>
  <c r="FJ156" i="2"/>
  <c r="FJ133" i="2"/>
  <c r="FJ94" i="2"/>
  <c r="FJ51" i="2"/>
  <c r="FJ114" i="2"/>
  <c r="FJ44" i="2"/>
  <c r="FJ74" i="2"/>
  <c r="FJ8" i="2"/>
  <c r="FJ194" i="2"/>
  <c r="FJ30" i="2"/>
  <c r="FJ39" i="2"/>
  <c r="FJ192" i="2"/>
  <c r="FJ87" i="2"/>
  <c r="FJ103" i="2"/>
  <c r="FJ143" i="2"/>
  <c r="FJ181" i="2"/>
  <c r="FJ88" i="2"/>
  <c r="FJ126" i="2"/>
  <c r="FJ140" i="2"/>
  <c r="FJ16" i="2"/>
  <c r="FJ91" i="2"/>
  <c r="FJ112" i="2"/>
  <c r="FJ149" i="2"/>
  <c r="FJ175" i="2"/>
  <c r="FJ64" i="2"/>
  <c r="FJ188" i="2"/>
  <c r="FJ121" i="2"/>
  <c r="FJ27" i="2"/>
  <c r="FJ23" i="2"/>
  <c r="FJ172" i="2"/>
  <c r="FJ24" i="2"/>
  <c r="FJ17" i="2"/>
  <c r="FJ97" i="2"/>
  <c r="FJ167" i="2"/>
  <c r="FJ118" i="2"/>
  <c r="FJ200" i="2"/>
  <c r="FJ73" i="2"/>
  <c r="FJ36" i="2"/>
  <c r="FJ163" i="2"/>
  <c r="FJ41" i="2"/>
  <c r="FJ22" i="2"/>
  <c r="FJ47" i="2"/>
  <c r="FJ120" i="2"/>
  <c r="FJ125" i="2"/>
  <c r="FJ130" i="2"/>
  <c r="FJ77" i="2"/>
  <c r="FJ187" i="2"/>
  <c r="FJ166" i="2"/>
  <c r="FJ20" i="2"/>
  <c r="FJ93" i="2"/>
  <c r="FJ98" i="2"/>
  <c r="FJ49" i="2"/>
  <c r="FJ124" i="2"/>
  <c r="FJ95" i="2"/>
  <c r="FJ40" i="2"/>
  <c r="FJ55" i="2"/>
  <c r="FJ90" i="2"/>
  <c r="FJ79" i="2"/>
  <c r="FJ102" i="2"/>
  <c r="FJ70" i="2"/>
  <c r="FJ129" i="2"/>
  <c r="FJ42" i="2"/>
  <c r="FJ89" i="2"/>
  <c r="FJ197" i="2"/>
  <c r="FJ201" i="2"/>
  <c r="FJ132" i="2"/>
  <c r="FJ26" i="2"/>
  <c r="FJ80" i="2"/>
  <c r="FJ195" i="2"/>
  <c r="FJ148" i="2"/>
  <c r="FJ151" i="2"/>
  <c r="FJ33" i="2"/>
  <c r="FJ171" i="2"/>
  <c r="FJ25" i="2"/>
  <c r="FJ59" i="2"/>
  <c r="FJ153" i="2"/>
  <c r="FJ92" i="2"/>
  <c r="FJ105" i="2"/>
  <c r="FJ191" i="2"/>
  <c r="FJ146" i="2"/>
  <c r="FJ53" i="2"/>
  <c r="FJ199" i="2"/>
  <c r="FJ6" i="2"/>
  <c r="FJ183" i="2"/>
  <c r="FJ137" i="2"/>
  <c r="FJ104" i="2"/>
  <c r="FJ135" i="2"/>
  <c r="FJ75" i="2"/>
  <c r="FJ31" i="2"/>
  <c r="FJ134" i="2"/>
  <c r="FJ4" i="2"/>
  <c r="FJ161" i="2"/>
  <c r="FJ100" i="2"/>
  <c r="FJ72" i="2"/>
  <c r="FJ9" i="2"/>
  <c r="FJ69" i="2"/>
  <c r="FJ111" i="2"/>
  <c r="FJ43" i="2"/>
  <c r="FJ164" i="2"/>
  <c r="FJ35" i="2"/>
  <c r="FJ57" i="2"/>
  <c r="FJ84" i="2"/>
  <c r="FJ110" i="2"/>
  <c r="FJ50" i="2"/>
  <c r="FJ168" i="2"/>
  <c r="FJ138" i="2"/>
  <c r="FJ32" i="2"/>
  <c r="FJ61" i="2"/>
  <c r="FJ174" i="2"/>
  <c r="FJ113" i="2"/>
  <c r="FJ202" i="2"/>
  <c r="FJ65" i="2"/>
  <c r="FJ186" i="2"/>
  <c r="FJ154" i="2"/>
  <c r="FJ157" i="2"/>
  <c r="FJ45" i="2"/>
  <c r="FJ190" i="2"/>
  <c r="FJ60" i="2"/>
  <c r="FJ155" i="2"/>
  <c r="FJ173" i="2"/>
  <c r="FJ19" i="2"/>
  <c r="FJ99" i="2"/>
  <c r="FJ38" i="2"/>
  <c r="FJ123" i="2"/>
  <c r="FJ150" i="2"/>
  <c r="FJ185" i="2"/>
  <c r="FJ144" i="2"/>
  <c r="FJ37" i="2"/>
  <c r="FJ29" i="2"/>
  <c r="FJ7" i="2"/>
  <c r="FJ21" i="2"/>
  <c r="FJ176" i="2"/>
  <c r="FJ162" i="2"/>
  <c r="FJ13" i="2"/>
  <c r="FJ76" i="2"/>
  <c r="FJ177" i="2"/>
  <c r="FJ14" i="2"/>
  <c r="FJ139" i="2"/>
  <c r="FJ62" i="2"/>
  <c r="FJ127" i="2"/>
  <c r="FJ160" i="2"/>
  <c r="FJ182" i="2"/>
  <c r="FJ15" i="2"/>
  <c r="FJ82" i="2"/>
  <c r="FJ141" i="2"/>
  <c r="FJ68" i="2"/>
  <c r="FJ48" i="2"/>
  <c r="FJ169" i="2"/>
  <c r="FJ115" i="2"/>
  <c r="FJ136" i="2"/>
  <c r="FJ28" i="2"/>
  <c r="FJ56" i="2"/>
  <c r="FJ107" i="2"/>
  <c r="FJ34" i="2"/>
  <c r="FJ54" i="2"/>
  <c r="FJ159" i="2"/>
  <c r="FJ189" i="2"/>
  <c r="FJ180" i="2"/>
  <c r="FJ196" i="2"/>
  <c r="FJ10" i="2"/>
  <c r="FJ81" i="2"/>
  <c r="FJ85" i="2"/>
  <c r="FJ101" i="2"/>
  <c r="FJ96" i="2"/>
  <c r="FJ83" i="2"/>
  <c r="FJ106" i="2"/>
  <c r="FJ193" i="2"/>
  <c r="FJ46" i="2"/>
  <c r="FJ71" i="2"/>
  <c r="FJ12" i="2"/>
  <c r="FJ5" i="2"/>
  <c r="FJ117" i="2"/>
  <c r="FJ63" i="2"/>
  <c r="FJ52" i="2"/>
  <c r="FJ142" i="2"/>
  <c r="FJ131" i="2"/>
  <c r="FJ11" i="2"/>
  <c r="FJ67" i="2"/>
  <c r="FJ109" i="2"/>
  <c r="FJ170" i="2"/>
  <c r="FJ165" i="2"/>
  <c r="FJ158" i="2"/>
  <c r="FJ184" i="2"/>
  <c r="FJ66" i="2"/>
  <c r="FJ122" i="2"/>
  <c r="FJ179" i="2"/>
  <c r="FJ145" i="2"/>
  <c r="FJ58" i="2"/>
  <c r="FJ108" i="2"/>
  <c r="FJ198" i="2"/>
  <c r="FJ116" i="2"/>
  <c r="FJ147" i="2"/>
  <c r="FJ86" i="2"/>
  <c r="FJ178" i="2"/>
  <c r="FJ128" i="2"/>
  <c r="FJ119" i="2"/>
  <c r="FJ3" i="2"/>
  <c r="C13" i="4" s="1"/>
  <c r="E13" i="4" s="1"/>
  <c r="F13" i="4" s="1"/>
  <c r="G13" i="4" s="1"/>
  <c r="L13" i="4" s="1"/>
  <c r="FJ78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<sst xmlns="http://schemas.openxmlformats.org/spreadsheetml/2006/main" count="1178" uniqueCount="324">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</sst>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152.31425123991514</c:v>
                </c:pt>
                <c:pt idx="27">
                  <c:v>162.93487032621877</c:v>
                </c:pt>
                <c:pt idx="28">
                  <c:v>173.53911854728722</c:v>
                </c:pt>
                <c:pt idx="29">
                  <c:v>184.12813820679631</c:v>
                </c:pt>
                <c:pt idx="30">
                  <c:v>194.7029293179402</c:v>
                </c:pt>
                <c:pt idx="31">
                  <c:v>202.13640047813931</c:v>
                </c:pt>
                <c:pt idx="32">
                  <c:v>209.5635422593634</c:v>
                </c:pt>
                <c:pt idx="33">
                  <c:v>216.98461093840606</c:v>
                </c:pt>
                <c:pt idx="34">
                  <c:v>224.39984380548495</c:v>
                </c:pt>
                <c:pt idx="35">
                  <c:v>231.8094611658297</c:v>
                </c:pt>
                <c:pt idx="36">
                  <c:v>207.2187969065412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503.59197136026643</c:v>
                </c:pt>
                <c:pt idx="92">
                  <c:v>508.95671334809748</c:v>
                </c:pt>
                <c:pt idx="93">
                  <c:v>514.32026043494204</c:v>
                </c:pt>
                <c:pt idx="94">
                  <c:v>519.68262684712829</c:v>
                </c:pt>
                <c:pt idx="95">
                  <c:v>525.04382649327329</c:v>
                </c:pt>
                <c:pt idx="96">
                  <c:v>530.40387297462291</c:v>
                </c:pt>
                <c:pt idx="97">
                  <c:v>535.76277959494882</c:v>
                </c:pt>
                <c:pt idx="98">
                  <c:v>541.12055937003311</c:v>
                </c:pt>
                <c:pt idx="99">
                  <c:v>546.47722503675357</c:v>
                </c:pt>
                <c:pt idx="100">
                  <c:v>551.83278906179714</c:v>
                </c:pt>
                <c:pt idx="101">
                  <c:v>516.23552610410309</c:v>
                </c:pt>
                <c:pt idx="102">
                  <c:v>520.83155309732092</c:v>
                </c:pt>
                <c:pt idx="103">
                  <c:v>525.42672503969095</c:v>
                </c:pt>
                <c:pt idx="104">
                  <c:v>530.02105046908639</c:v>
                </c:pt>
                <c:pt idx="105">
                  <c:v>534.61453776319513</c:v>
                </c:pt>
                <c:pt idx="106">
                  <c:v>539.20719514390589</c:v>
                </c:pt>
                <c:pt idx="107">
                  <c:v>543.7990306815376</c:v>
                </c:pt>
                <c:pt idx="108">
                  <c:v>548.39005229891814</c:v>
                </c:pt>
                <c:pt idx="109">
                  <c:v>552.98026777532004</c:v>
                </c:pt>
                <c:pt idx="110">
                  <c:v>557.56968475025735</c:v>
                </c:pt>
                <c:pt idx="111">
                  <c:v>524.85237501410757</c:v>
                </c:pt>
                <c:pt idx="112">
                  <c:v>528.48970219589626</c:v>
                </c:pt>
                <c:pt idx="113">
                  <c:v>532.12650235188346</c:v>
                </c:pt>
                <c:pt idx="114">
                  <c:v>535.76277959494826</c:v>
                </c:pt>
                <c:pt idx="115">
                  <c:v>539.39853797754631</c:v>
                </c:pt>
                <c:pt idx="116">
                  <c:v>543.03378149300579</c:v>
                </c:pt>
                <c:pt idx="117">
                  <c:v>546.66851407678973</c:v>
                </c:pt>
                <c:pt idx="118">
                  <c:v>550.30273960772229</c:v>
                </c:pt>
                <c:pt idx="119">
                  <c:v>553.93646190918116</c:v>
                </c:pt>
                <c:pt idx="120">
                  <c:v>557.5696847502569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82.357003551703173</c:v>
                </c:pt>
                <c:pt idx="17">
                  <c:v>97.435579235164482</c:v>
                </c:pt>
                <c:pt idx="18">
                  <c:v>112.45603690749546</c:v>
                </c:pt>
                <c:pt idx="19">
                  <c:v>127.42725117721011</c:v>
                </c:pt>
                <c:pt idx="20">
                  <c:v>142.35583160682572</c:v>
                </c:pt>
                <c:pt idx="21">
                  <c:v>154.47909951130922</c:v>
                </c:pt>
                <c:pt idx="22">
                  <c:v>166.57974956981329</c:v>
                </c:pt>
                <c:pt idx="23">
                  <c:v>178.65965761508951</c:v>
                </c:pt>
                <c:pt idx="24">
                  <c:v>190.7204247411147</c:v>
                </c:pt>
                <c:pt idx="25">
                  <c:v>202.7634327562281</c:v>
                </c:pt>
                <c:pt idx="26">
                  <c:v>213.41623704167003</c:v>
                </c:pt>
                <c:pt idx="27">
                  <c:v>224.05679616015803</c:v>
                </c:pt>
                <c:pt idx="28">
                  <c:v>234.68577405091659</c:v>
                </c:pt>
                <c:pt idx="29">
                  <c:v>245.3037695473474</c:v>
                </c:pt>
                <c:pt idx="30">
                  <c:v>255.91132536435109</c:v>
                </c:pt>
                <c:pt idx="31">
                  <c:v>264.80029706883334</c:v>
                </c:pt>
                <c:pt idx="32">
                  <c:v>273.68254154848717</c:v>
                </c:pt>
                <c:pt idx="33">
                  <c:v>282.55830811624332</c:v>
                </c:pt>
                <c:pt idx="34">
                  <c:v>291.42782912919938</c:v>
                </c:pt>
                <c:pt idx="35">
                  <c:v>300.29132163404557</c:v>
                </c:pt>
                <c:pt idx="36">
                  <c:v>268.90061493981995</c:v>
                </c:pt>
                <c:pt idx="37">
                  <c:v>285.28804634815083</c:v>
                </c:pt>
                <c:pt idx="38">
                  <c:v>301.65441391376027</c:v>
                </c:pt>
                <c:pt idx="39">
                  <c:v>318.00102122537891</c:v>
                </c:pt>
                <c:pt idx="40">
                  <c:v>334.32902690172881</c:v>
                </c:pt>
                <c:pt idx="41">
                  <c:v>300.63210759978858</c:v>
                </c:pt>
                <c:pt idx="42">
                  <c:v>314.59704855401958</c:v>
                </c:pt>
                <c:pt idx="43">
                  <c:v>328.5482515646342</c:v>
                </c:pt>
                <c:pt idx="44">
                  <c:v>342.4863822030199</c:v>
                </c:pt>
                <c:pt idx="45">
                  <c:v>356.41204743833833</c:v>
                </c:pt>
                <c:pt idx="46">
                  <c:v>331.26889354954545</c:v>
                </c:pt>
                <c:pt idx="47">
                  <c:v>343.50574897575672</c:v>
                </c:pt>
                <c:pt idx="48">
                  <c:v>355.73302732578941</c:v>
                </c:pt>
                <c:pt idx="49">
                  <c:v>367.95110424042485</c:v>
                </c:pt>
                <c:pt idx="50">
                  <c:v>380.16032837232183</c:v>
                </c:pt>
                <c:pt idx="51">
                  <c:v>361.50379946938693</c:v>
                </c:pt>
                <c:pt idx="52">
                  <c:v>371.68262431492604</c:v>
                </c:pt>
                <c:pt idx="53">
                  <c:v>381.85537235272403</c:v>
                </c:pt>
                <c:pt idx="54">
                  <c:v>392.02222835802269</c:v>
                </c:pt>
                <c:pt idx="55">
                  <c:v>402.18336673633172</c:v>
                </c:pt>
                <c:pt idx="56">
                  <c:v>388.97277965127978</c:v>
                </c:pt>
                <c:pt idx="57">
                  <c:v>397.78089798901959</c:v>
                </c:pt>
                <c:pt idx="58">
                  <c:v>406.5847929109529</c:v>
                </c:pt>
                <c:pt idx="59">
                  <c:v>415.38456880992288</c:v>
                </c:pt>
                <c:pt idx="60">
                  <c:v>424.18032529272574</c:v>
                </c:pt>
                <c:pt idx="61">
                  <c:v>411.32363915605612</c:v>
                </c:pt>
                <c:pt idx="62">
                  <c:v>418.76802245127919</c:v>
                </c:pt>
                <c:pt idx="63">
                  <c:v>426.20955457884048</c:v>
                </c:pt>
                <c:pt idx="64">
                  <c:v>433.64829237194959</c:v>
                </c:pt>
                <c:pt idx="65">
                  <c:v>441.0842905537574</c:v>
                </c:pt>
                <c:pt idx="66">
                  <c:v>428.91487052918575</c:v>
                </c:pt>
                <c:pt idx="67">
                  <c:v>435.33853059869881</c:v>
                </c:pt>
                <c:pt idx="68">
                  <c:v>441.76015637738448</c:v>
                </c:pt>
                <c:pt idx="69">
                  <c:v>448.17978162908145</c:v>
                </c:pt>
                <c:pt idx="70">
                  <c:v>454.59743907080389</c:v>
                </c:pt>
                <c:pt idx="71">
                  <c:v>443.44972404678077</c:v>
                </c:pt>
                <c:pt idx="72">
                  <c:v>449.19322596047908</c:v>
                </c:pt>
                <c:pt idx="73">
                  <c:v>454.9351566106414</c:v>
                </c:pt>
                <c:pt idx="74">
                  <c:v>460.6755386416105</c:v>
                </c:pt>
                <c:pt idx="75">
                  <c:v>466.41439408694322</c:v>
                </c:pt>
                <c:pt idx="76">
                  <c:v>455.94827709810392</c:v>
                </c:pt>
                <c:pt idx="77">
                  <c:v>460.6755386416105</c:v>
                </c:pt>
                <c:pt idx="78">
                  <c:v>465.40176486435229</c:v>
                </c:pt>
                <c:pt idx="79">
                  <c:v>470.12696777260265</c:v>
                </c:pt>
                <c:pt idx="80">
                  <c:v>474.85115911139513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2.1321839811965986</c:v>
                </c:pt>
                <c:pt idx="2">
                  <c:v>2.7479367770154899</c:v>
                </c:pt>
                <c:pt idx="3">
                  <c:v>3.5422292175122867</c:v>
                </c:pt>
                <c:pt idx="4">
                  <c:v>4.5670254608214265</c:v>
                </c:pt>
                <c:pt idx="5">
                  <c:v>5.8894672708071321</c:v>
                </c:pt>
                <c:pt idx="6">
                  <c:v>7.59632155267429</c:v>
                </c:pt>
                <c:pt idx="7">
                  <c:v>9.7997350791805271</c:v>
                </c:pt>
                <c:pt idx="8">
                  <c:v>12.644681664101343</c:v>
                </c:pt>
                <c:pt idx="9">
                  <c:v>16.318600866559915</c:v>
                </c:pt>
                <c:pt idx="10">
                  <c:v>21.063874843845038</c:v>
                </c:pt>
                <c:pt idx="11">
                  <c:v>27.193981213241127</c:v>
                </c:pt>
                <c:pt idx="12">
                  <c:v>35.114407710268239</c:v>
                </c:pt>
                <c:pt idx="13">
                  <c:v>45.349735875211401</c:v>
                </c:pt>
                <c:pt idx="14">
                  <c:v>58.578717803377664</c:v>
                </c:pt>
                <c:pt idx="15">
                  <c:v>75.679710498558791</c:v>
                </c:pt>
                <c:pt idx="16">
                  <c:v>73.130451935591296</c:v>
                </c:pt>
                <c:pt idx="17">
                  <c:v>81.902182666579122</c:v>
                </c:pt>
                <c:pt idx="18">
                  <c:v>90.650149406925621</c:v>
                </c:pt>
                <c:pt idx="19">
                  <c:v>99.376973672902466</c:v>
                </c:pt>
                <c:pt idx="20">
                  <c:v>108.08477741643141</c:v>
                </c:pt>
                <c:pt idx="21">
                  <c:v>103.59268653090744</c:v>
                </c:pt>
                <c:pt idx="22">
                  <c:v>113.13289684779728</c:v>
                </c:pt>
                <c:pt idx="23">
                  <c:v>122.65339037513688</c:v>
                </c:pt>
                <c:pt idx="24">
                  <c:v>132.15591555857335</c:v>
                </c:pt>
                <c:pt idx="25">
                  <c:v>141.64194831023977</c:v>
                </c:pt>
                <c:pt idx="26">
                  <c:v>134.94757704629254</c:v>
                </c:pt>
                <c:pt idx="27">
                  <c:v>144.98626404203807</c:v>
                </c:pt>
                <c:pt idx="28">
                  <c:v>155.00832523700953</c:v>
                </c:pt>
                <c:pt idx="29">
                  <c:v>165.01498831962564</c:v>
                </c:pt>
                <c:pt idx="30">
                  <c:v>175.00731968418424</c:v>
                </c:pt>
                <c:pt idx="31">
                  <c:v>165.84821630156759</c:v>
                </c:pt>
                <c:pt idx="32">
                  <c:v>176.11673577026261</c:v>
                </c:pt>
                <c:pt idx="33">
                  <c:v>186.3712050392503</c:v>
                </c:pt>
                <c:pt idx="34">
                  <c:v>196.61250688108245</c:v>
                </c:pt>
                <c:pt idx="35">
                  <c:v>206.84142448008961</c:v>
                </c:pt>
                <c:pt idx="36">
                  <c:v>195.78260234833928</c:v>
                </c:pt>
                <c:pt idx="37">
                  <c:v>205.45983582632172</c:v>
                </c:pt>
                <c:pt idx="38">
                  <c:v>215.1265334250069</c:v>
                </c:pt>
                <c:pt idx="39">
                  <c:v>224.78323576857281</c:v>
                </c:pt>
                <c:pt idx="40">
                  <c:v>234.43043318750142</c:v>
                </c:pt>
                <c:pt idx="41">
                  <c:v>222.30101036978098</c:v>
                </c:pt>
                <c:pt idx="42">
                  <c:v>232.22617357906168</c:v>
                </c:pt>
                <c:pt idx="43">
                  <c:v>242.14164904041604</c:v>
                </c:pt>
                <c:pt idx="44">
                  <c:v>252.04788971168671</c:v>
                </c:pt>
                <c:pt idx="45">
                  <c:v>261.94531000618412</c:v>
                </c:pt>
                <c:pt idx="46">
                  <c:v>247.92138431781052</c:v>
                </c:pt>
                <c:pt idx="47">
                  <c:v>257.27260245464487</c:v>
                </c:pt>
                <c:pt idx="48">
                  <c:v>266.61613595183945</c:v>
                </c:pt>
                <c:pt idx="49">
                  <c:v>275.95229231632032</c:v>
                </c:pt>
                <c:pt idx="50">
                  <c:v>285.28135653069421</c:v>
                </c:pt>
                <c:pt idx="51">
                  <c:v>6.1170785589788349E-13</c:v>
                </c:pt>
                <c:pt idx="52">
                  <c:v>6.1170785589788349E-13</c:v>
                </c:pt>
                <c:pt idx="53">
                  <c:v>6.1170785589788349E-13</c:v>
                </c:pt>
                <c:pt idx="54">
                  <c:v>6.1170785589788349E-13</c:v>
                </c:pt>
                <c:pt idx="55">
                  <c:v>6.1170785589788349E-13</c:v>
                </c:pt>
                <c:pt idx="56">
                  <c:v>6.1170785589788349E-13</c:v>
                </c:pt>
                <c:pt idx="57">
                  <c:v>6.1170785589788349E-13</c:v>
                </c:pt>
                <c:pt idx="58">
                  <c:v>6.1170785589788349E-13</c:v>
                </c:pt>
                <c:pt idx="59">
                  <c:v>6.1170785589788349E-13</c:v>
                </c:pt>
                <c:pt idx="60">
                  <c:v>6.1170785589788349E-13</c:v>
                </c:pt>
                <c:pt idx="61">
                  <c:v>6.1170785589788349E-13</c:v>
                </c:pt>
                <c:pt idx="62">
                  <c:v>6.1170785589788349E-13</c:v>
                </c:pt>
                <c:pt idx="63">
                  <c:v>6.1170785589788349E-13</c:v>
                </c:pt>
                <c:pt idx="64">
                  <c:v>6.1170785589788349E-13</c:v>
                </c:pt>
                <c:pt idx="65">
                  <c:v>6.1170785589788349E-13</c:v>
                </c:pt>
                <c:pt idx="66">
                  <c:v>6.1170785589788349E-13</c:v>
                </c:pt>
                <c:pt idx="67">
                  <c:v>6.1170785589788349E-13</c:v>
                </c:pt>
                <c:pt idx="68">
                  <c:v>6.1170785589788349E-13</c:v>
                </c:pt>
                <c:pt idx="69">
                  <c:v>6.1170785589788349E-13</c:v>
                </c:pt>
                <c:pt idx="70">
                  <c:v>6.1170785589788349E-13</c:v>
                </c:pt>
                <c:pt idx="71">
                  <c:v>6.1170785589788349E-13</c:v>
                </c:pt>
                <c:pt idx="72">
                  <c:v>6.1170785589788349E-13</c:v>
                </c:pt>
                <c:pt idx="73">
                  <c:v>6.1170785589788349E-13</c:v>
                </c:pt>
                <c:pt idx="74">
                  <c:v>6.1170785589788349E-13</c:v>
                </c:pt>
                <c:pt idx="75">
                  <c:v>6.1170785589788349E-13</c:v>
                </c:pt>
                <c:pt idx="76">
                  <c:v>6.1170785589788349E-13</c:v>
                </c:pt>
                <c:pt idx="77">
                  <c:v>6.1170785589788349E-13</c:v>
                </c:pt>
                <c:pt idx="78">
                  <c:v>6.1170785589788349E-13</c:v>
                </c:pt>
                <c:pt idx="79">
                  <c:v>6.1170785589788349E-13</c:v>
                </c:pt>
                <c:pt idx="80">
                  <c:v>6.1170785589788349E-13</c:v>
                </c:pt>
                <c:pt idx="81">
                  <c:v>6.1170785589788349E-13</c:v>
                </c:pt>
                <c:pt idx="82">
                  <c:v>6.1170785589788349E-13</c:v>
                </c:pt>
                <c:pt idx="83">
                  <c:v>6.1170785589788349E-13</c:v>
                </c:pt>
                <c:pt idx="84">
                  <c:v>6.1170785589788349E-13</c:v>
                </c:pt>
                <c:pt idx="85">
                  <c:v>6.1170785589788349E-13</c:v>
                </c:pt>
                <c:pt idx="86">
                  <c:v>6.1170785589788349E-13</c:v>
                </c:pt>
                <c:pt idx="87">
                  <c:v>6.1170785589788349E-13</c:v>
                </c:pt>
                <c:pt idx="88">
                  <c:v>6.1170785589788349E-13</c:v>
                </c:pt>
                <c:pt idx="89">
                  <c:v>6.1170785589788349E-13</c:v>
                </c:pt>
                <c:pt idx="90">
                  <c:v>6.1170785589788349E-13</c:v>
                </c:pt>
                <c:pt idx="91">
                  <c:v>6.1170785589788349E-13</c:v>
                </c:pt>
                <c:pt idx="92">
                  <c:v>6.1170785589788349E-13</c:v>
                </c:pt>
                <c:pt idx="93">
                  <c:v>6.1170785589788349E-13</c:v>
                </c:pt>
                <c:pt idx="94">
                  <c:v>6.1170785589788349E-13</c:v>
                </c:pt>
                <c:pt idx="95">
                  <c:v>6.1170785589788349E-13</c:v>
                </c:pt>
                <c:pt idx="96">
                  <c:v>6.1170785589788349E-13</c:v>
                </c:pt>
                <c:pt idx="97">
                  <c:v>6.1170785589788349E-13</c:v>
                </c:pt>
                <c:pt idx="98">
                  <c:v>6.1170785589788349E-13</c:v>
                </c:pt>
                <c:pt idx="99">
                  <c:v>6.1170785589788349E-13</c:v>
                </c:pt>
                <c:pt idx="100">
                  <c:v>6.1170785589788349E-13</c:v>
                </c:pt>
                <c:pt idx="101">
                  <c:v>6.1170785589788349E-13</c:v>
                </c:pt>
                <c:pt idx="102">
                  <c:v>6.1170785589788349E-13</c:v>
                </c:pt>
                <c:pt idx="103">
                  <c:v>6.1170785589788349E-13</c:v>
                </c:pt>
                <c:pt idx="104">
                  <c:v>6.1170785589788349E-13</c:v>
                </c:pt>
                <c:pt idx="105">
                  <c:v>6.1170785589788349E-13</c:v>
                </c:pt>
                <c:pt idx="106">
                  <c:v>6.1170785589788349E-13</c:v>
                </c:pt>
                <c:pt idx="107">
                  <c:v>6.1170785589788349E-13</c:v>
                </c:pt>
                <c:pt idx="108">
                  <c:v>6.1170785589788349E-13</c:v>
                </c:pt>
                <c:pt idx="109">
                  <c:v>6.1170785589788349E-13</c:v>
                </c:pt>
                <c:pt idx="110">
                  <c:v>6.1170785589788349E-13</c:v>
                </c:pt>
                <c:pt idx="111">
                  <c:v>6.1170785589788349E-13</c:v>
                </c:pt>
                <c:pt idx="112">
                  <c:v>6.1170785589788349E-13</c:v>
                </c:pt>
                <c:pt idx="113">
                  <c:v>6.1170785589788349E-13</c:v>
                </c:pt>
                <c:pt idx="114">
                  <c:v>6.1170785589788349E-13</c:v>
                </c:pt>
                <c:pt idx="115">
                  <c:v>6.1170785589788349E-13</c:v>
                </c:pt>
                <c:pt idx="116">
                  <c:v>6.1170785589788349E-13</c:v>
                </c:pt>
                <c:pt idx="117">
                  <c:v>6.1170785589788349E-13</c:v>
                </c:pt>
                <c:pt idx="118">
                  <c:v>6.1170785589788349E-13</c:v>
                </c:pt>
                <c:pt idx="119">
                  <c:v>6.1170785589788349E-13</c:v>
                </c:pt>
                <c:pt idx="120">
                  <c:v>6.1170785589788349E-13</c:v>
                </c:pt>
                <c:pt idx="121">
                  <c:v>6.1170785589788349E-13</c:v>
                </c:pt>
                <c:pt idx="122">
                  <c:v>6.1170785589788349E-13</c:v>
                </c:pt>
                <c:pt idx="123">
                  <c:v>6.1170785589788349E-13</c:v>
                </c:pt>
                <c:pt idx="124">
                  <c:v>6.1170785589788349E-13</c:v>
                </c:pt>
                <c:pt idx="125">
                  <c:v>6.1170785589788349E-13</c:v>
                </c:pt>
                <c:pt idx="126">
                  <c:v>6.1170785589788349E-13</c:v>
                </c:pt>
                <c:pt idx="127">
                  <c:v>6.1170785589788349E-13</c:v>
                </c:pt>
                <c:pt idx="128">
                  <c:v>6.1170785589788349E-13</c:v>
                </c:pt>
                <c:pt idx="129">
                  <c:v>6.1170785589788349E-13</c:v>
                </c:pt>
                <c:pt idx="130">
                  <c:v>6.1170785589788349E-13</c:v>
                </c:pt>
                <c:pt idx="131">
                  <c:v>6.1170785589788349E-13</c:v>
                </c:pt>
                <c:pt idx="132">
                  <c:v>6.1170785589788349E-13</c:v>
                </c:pt>
                <c:pt idx="133">
                  <c:v>6.1170785589788349E-13</c:v>
                </c:pt>
                <c:pt idx="134">
                  <c:v>6.1170785589788349E-13</c:v>
                </c:pt>
                <c:pt idx="135">
                  <c:v>6.1170785589788349E-13</c:v>
                </c:pt>
                <c:pt idx="136">
                  <c:v>6.1170785589788349E-13</c:v>
                </c:pt>
                <c:pt idx="137">
                  <c:v>6.1170785589788349E-13</c:v>
                </c:pt>
                <c:pt idx="138">
                  <c:v>6.1170785589788349E-13</c:v>
                </c:pt>
                <c:pt idx="139">
                  <c:v>6.1170785589788349E-13</c:v>
                </c:pt>
                <c:pt idx="140">
                  <c:v>6.1170785589788349E-13</c:v>
                </c:pt>
                <c:pt idx="141">
                  <c:v>6.1170785589788349E-13</c:v>
                </c:pt>
                <c:pt idx="142">
                  <c:v>6.1170785589788349E-13</c:v>
                </c:pt>
                <c:pt idx="143">
                  <c:v>6.1170785589788349E-13</c:v>
                </c:pt>
                <c:pt idx="144">
                  <c:v>6.1170785589788349E-13</c:v>
                </c:pt>
                <c:pt idx="145">
                  <c:v>6.1170785589788349E-13</c:v>
                </c:pt>
                <c:pt idx="146">
                  <c:v>6.1170785589788349E-13</c:v>
                </c:pt>
                <c:pt idx="147">
                  <c:v>6.1170785589788349E-13</c:v>
                </c:pt>
                <c:pt idx="148">
                  <c:v>6.1170785589788349E-13</c:v>
                </c:pt>
                <c:pt idx="149">
                  <c:v>6.1170785589788349E-13</c:v>
                </c:pt>
                <c:pt idx="150">
                  <c:v>6.1170785589788349E-13</c:v>
                </c:pt>
                <c:pt idx="151">
                  <c:v>6.1170785589788349E-13</c:v>
                </c:pt>
                <c:pt idx="152">
                  <c:v>6.1170785589788349E-13</c:v>
                </c:pt>
                <c:pt idx="153">
                  <c:v>6.1170785589788349E-13</c:v>
                </c:pt>
                <c:pt idx="154">
                  <c:v>6.1170785589788349E-13</c:v>
                </c:pt>
                <c:pt idx="155">
                  <c:v>6.1170785589788349E-13</c:v>
                </c:pt>
                <c:pt idx="156">
                  <c:v>6.1170785589788349E-13</c:v>
                </c:pt>
                <c:pt idx="157">
                  <c:v>6.1170785589788349E-13</c:v>
                </c:pt>
                <c:pt idx="158">
                  <c:v>6.1170785589788349E-13</c:v>
                </c:pt>
                <c:pt idx="159">
                  <c:v>6.1170785589788349E-13</c:v>
                </c:pt>
                <c:pt idx="160">
                  <c:v>6.1170785589788349E-13</c:v>
                </c:pt>
                <c:pt idx="161">
                  <c:v>6.1170785589788349E-13</c:v>
                </c:pt>
                <c:pt idx="162">
                  <c:v>6.1170785589788349E-13</c:v>
                </c:pt>
                <c:pt idx="163">
                  <c:v>6.1170785589788349E-13</c:v>
                </c:pt>
                <c:pt idx="164">
                  <c:v>6.1170785589788349E-13</c:v>
                </c:pt>
                <c:pt idx="165">
                  <c:v>6.1170785589788349E-13</c:v>
                </c:pt>
                <c:pt idx="166">
                  <c:v>6.1170785589788349E-13</c:v>
                </c:pt>
                <c:pt idx="167">
                  <c:v>6.1170785589788349E-13</c:v>
                </c:pt>
                <c:pt idx="168">
                  <c:v>6.1170785589788349E-13</c:v>
                </c:pt>
                <c:pt idx="169">
                  <c:v>6.1170785589788349E-13</c:v>
                </c:pt>
                <c:pt idx="170">
                  <c:v>6.1170785589788349E-13</c:v>
                </c:pt>
                <c:pt idx="171">
                  <c:v>6.1170785589788349E-13</c:v>
                </c:pt>
                <c:pt idx="172">
                  <c:v>6.1170785589788349E-13</c:v>
                </c:pt>
                <c:pt idx="173">
                  <c:v>6.1170785589788349E-13</c:v>
                </c:pt>
                <c:pt idx="174">
                  <c:v>6.1170785589788349E-13</c:v>
                </c:pt>
                <c:pt idx="175">
                  <c:v>6.1170785589788349E-13</c:v>
                </c:pt>
                <c:pt idx="176">
                  <c:v>6.1170785589788349E-13</c:v>
                </c:pt>
                <c:pt idx="177">
                  <c:v>6.1170785589788349E-13</c:v>
                </c:pt>
                <c:pt idx="178">
                  <c:v>6.1170785589788349E-13</c:v>
                </c:pt>
                <c:pt idx="179">
                  <c:v>6.1170785589788349E-13</c:v>
                </c:pt>
                <c:pt idx="180">
                  <c:v>6.1170785589788349E-13</c:v>
                </c:pt>
                <c:pt idx="181">
                  <c:v>6.1170785589788349E-13</c:v>
                </c:pt>
                <c:pt idx="182">
                  <c:v>6.1170785589788349E-13</c:v>
                </c:pt>
                <c:pt idx="183">
                  <c:v>6.1170785589788349E-13</c:v>
                </c:pt>
                <c:pt idx="184">
                  <c:v>6.1170785589788349E-13</c:v>
                </c:pt>
                <c:pt idx="185">
                  <c:v>6.1170785589788349E-13</c:v>
                </c:pt>
                <c:pt idx="186">
                  <c:v>6.1170785589788349E-13</c:v>
                </c:pt>
                <c:pt idx="187">
                  <c:v>6.1170785589788349E-13</c:v>
                </c:pt>
                <c:pt idx="188">
                  <c:v>6.1170785589788349E-13</c:v>
                </c:pt>
                <c:pt idx="189">
                  <c:v>6.1170785589788349E-13</c:v>
                </c:pt>
                <c:pt idx="190">
                  <c:v>6.1170785589788349E-13</c:v>
                </c:pt>
                <c:pt idx="191">
                  <c:v>6.1170785589788349E-13</c:v>
                </c:pt>
                <c:pt idx="192">
                  <c:v>6.1170785589788349E-13</c:v>
                </c:pt>
                <c:pt idx="193">
                  <c:v>6.1170785589788349E-13</c:v>
                </c:pt>
                <c:pt idx="194">
                  <c:v>6.1170785589788349E-13</c:v>
                </c:pt>
                <c:pt idx="195">
                  <c:v>6.1170785589788349E-13</c:v>
                </c:pt>
                <c:pt idx="196">
                  <c:v>6.1170785589788349E-13</c:v>
                </c:pt>
                <c:pt idx="197">
                  <c:v>6.1170785589788349E-13</c:v>
                </c:pt>
                <c:pt idx="198">
                  <c:v>6.1170785589788349E-13</c:v>
                </c:pt>
                <c:pt idx="199">
                  <c:v>6.1170785589788349E-13</c:v>
                </c:pt>
                <c:pt idx="200">
                  <c:v>6.1170785589788349E-13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3.0215418478863434</c:v>
                </c:pt>
                <c:pt idx="2">
                  <c:v>4.0882142365615106</c:v>
                </c:pt>
                <c:pt idx="3">
                  <c:v>5.5330029449878415</c:v>
                </c:pt>
                <c:pt idx="4">
                  <c:v>7.4904619536777686</c:v>
                </c:pt>
                <c:pt idx="5">
                  <c:v>10.143198697027399</c:v>
                </c:pt>
                <c:pt idx="6">
                  <c:v>13.739092273584617</c:v>
                </c:pt>
                <c:pt idx="7">
                  <c:v>18.614699878988485</c:v>
                </c:pt>
                <c:pt idx="8">
                  <c:v>25.227081644422793</c:v>
                </c:pt>
                <c:pt idx="9">
                  <c:v>34.197079809673824</c:v>
                </c:pt>
                <c:pt idx="10">
                  <c:v>46.368185670270002</c:v>
                </c:pt>
                <c:pt idx="11">
                  <c:v>60.806387369363868</c:v>
                </c:pt>
                <c:pt idx="12">
                  <c:v>75.154841693095705</c:v>
                </c:pt>
                <c:pt idx="13">
                  <c:v>89.433224652663043</c:v>
                </c:pt>
                <c:pt idx="14">
                  <c:v>103.65434792362198</c:v>
                </c:pt>
                <c:pt idx="15">
                  <c:v>117.82719554138386</c:v>
                </c:pt>
                <c:pt idx="16">
                  <c:v>136.15232577620694</c:v>
                </c:pt>
                <c:pt idx="17">
                  <c:v>154.41803223213648</c:v>
                </c:pt>
                <c:pt idx="18">
                  <c:v>172.63234168697639</c:v>
                </c:pt>
                <c:pt idx="19">
                  <c:v>190.80144399249434</c:v>
                </c:pt>
                <c:pt idx="20">
                  <c:v>208.9302515139897</c:v>
                </c:pt>
                <c:pt idx="21">
                  <c:v>210.81651943579467</c:v>
                </c:pt>
                <c:pt idx="22">
                  <c:v>212.70239804910193</c:v>
                </c:pt>
                <c:pt idx="23">
                  <c:v>214.58789130305834</c:v>
                </c:pt>
                <c:pt idx="24">
                  <c:v>216.47300307155012</c:v>
                </c:pt>
                <c:pt idx="25">
                  <c:v>218.35773715529595</c:v>
                </c:pt>
                <c:pt idx="26">
                  <c:v>226.64617327952342</c:v>
                </c:pt>
                <c:pt idx="27">
                  <c:v>234.92767007142686</c:v>
                </c:pt>
                <c:pt idx="28">
                  <c:v>243.20250692836802</c:v>
                </c:pt>
                <c:pt idx="29">
                  <c:v>251.47094266035685</c:v>
                </c:pt>
                <c:pt idx="30">
                  <c:v>259.73321764902875</c:v>
                </c:pt>
                <c:pt idx="31">
                  <c:v>266.48883532606993</c:v>
                </c:pt>
                <c:pt idx="32">
                  <c:v>273.2405940645682</c:v>
                </c:pt>
                <c:pt idx="33">
                  <c:v>279.98860279382751</c:v>
                </c:pt>
                <c:pt idx="34">
                  <c:v>286.7329647572875</c:v>
                </c:pt>
                <c:pt idx="35">
                  <c:v>293.47377793906497</c:v>
                </c:pt>
                <c:pt idx="36">
                  <c:v>263.11151589765069</c:v>
                </c:pt>
                <c:pt idx="37">
                  <c:v>277.73967673325706</c:v>
                </c:pt>
                <c:pt idx="38">
                  <c:v>292.35055150938047</c:v>
                </c:pt>
                <c:pt idx="39">
                  <c:v>306.94512587259828</c:v>
                </c:pt>
                <c:pt idx="40">
                  <c:v>321.52428406625791</c:v>
                </c:pt>
                <c:pt idx="41">
                  <c:v>291.60168035874682</c:v>
                </c:pt>
                <c:pt idx="42">
                  <c:v>304.70083122716079</c:v>
                </c:pt>
                <c:pt idx="43">
                  <c:v>317.78746245668032</c:v>
                </c:pt>
                <c:pt idx="44">
                  <c:v>330.86216234726913</c:v>
                </c:pt>
                <c:pt idx="45">
                  <c:v>343.92546889640727</c:v>
                </c:pt>
                <c:pt idx="46">
                  <c:v>315.17110877697831</c:v>
                </c:pt>
                <c:pt idx="47">
                  <c:v>327.50120555867028</c:v>
                </c:pt>
                <c:pt idx="48">
                  <c:v>339.82105523856927</c:v>
                </c:pt>
                <c:pt idx="49">
                  <c:v>352.13108175057874</c:v>
                </c:pt>
                <c:pt idx="50">
                  <c:v>364.43167696167433</c:v>
                </c:pt>
                <c:pt idx="51">
                  <c:v>336.83534260693517</c:v>
                </c:pt>
                <c:pt idx="52">
                  <c:v>348.40178403373949</c:v>
                </c:pt>
                <c:pt idx="53">
                  <c:v>359.9598009685954</c:v>
                </c:pt>
                <c:pt idx="54">
                  <c:v>371.50970211515937</c:v>
                </c:pt>
                <c:pt idx="55">
                  <c:v>383.05177541071203</c:v>
                </c:pt>
                <c:pt idx="56">
                  <c:v>355.48670909410635</c:v>
                </c:pt>
                <c:pt idx="57">
                  <c:v>365.17687261995792</c:v>
                </c:pt>
                <c:pt idx="58">
                  <c:v>374.86142076164543</c:v>
                </c:pt>
                <c:pt idx="59">
                  <c:v>384.54051911648213</c:v>
                </c:pt>
                <c:pt idx="60">
                  <c:v>394.21432426135425</c:v>
                </c:pt>
                <c:pt idx="61">
                  <c:v>370.01983804377841</c:v>
                </c:pt>
                <c:pt idx="62">
                  <c:v>379.32936443758223</c:v>
                </c:pt>
                <c:pt idx="63">
                  <c:v>388.63392005694851</c:v>
                </c:pt>
                <c:pt idx="64">
                  <c:v>397.93364074958481</c:v>
                </c:pt>
                <c:pt idx="65">
                  <c:v>407.22865549260882</c:v>
                </c:pt>
                <c:pt idx="66">
                  <c:v>384.16834495549625</c:v>
                </c:pt>
                <c:pt idx="67">
                  <c:v>392.72638504489845</c:v>
                </c:pt>
                <c:pt idx="68">
                  <c:v>401.28038164783965</c:v>
                </c:pt>
                <c:pt idx="69">
                  <c:v>409.83043316117715</c:v>
                </c:pt>
                <c:pt idx="70">
                  <c:v>418.37663353903207</c:v>
                </c:pt>
                <c:pt idx="71">
                  <c:v>395.70214171866616</c:v>
                </c:pt>
                <c:pt idx="72">
                  <c:v>402.76762782233112</c:v>
                </c:pt>
                <c:pt idx="73">
                  <c:v>409.83043316117727</c:v>
                </c:pt>
                <c:pt idx="74">
                  <c:v>416.89061048442244</c:v>
                </c:pt>
                <c:pt idx="75">
                  <c:v>423.9482106076087</c:v>
                </c:pt>
                <c:pt idx="76">
                  <c:v>404.62651852552517</c:v>
                </c:pt>
                <c:pt idx="77">
                  <c:v>411.31700294422768</c:v>
                </c:pt>
                <c:pt idx="78">
                  <c:v>418.00513845794808</c:v>
                </c:pt>
                <c:pt idx="79">
                  <c:v>424.69096797933247</c:v>
                </c:pt>
                <c:pt idx="80">
                  <c:v>431.37453295867726</c:v>
                </c:pt>
                <c:pt idx="81">
                  <c:v>413.17505211911856</c:v>
                </c:pt>
                <c:pt idx="82">
                  <c:v>419.11960237942048</c:v>
                </c:pt>
                <c:pt idx="83">
                  <c:v>425.06233617824182</c:v>
                </c:pt>
                <c:pt idx="84">
                  <c:v>431.00328251520631</c:v>
                </c:pt>
                <c:pt idx="85">
                  <c:v>436.94246952460395</c:v>
                </c:pt>
                <c:pt idx="86">
                  <c:v>420.23400244347641</c:v>
                </c:pt>
                <c:pt idx="87">
                  <c:v>425.80505163704879</c:v>
                </c:pt>
                <c:pt idx="88">
                  <c:v>431.37453295867704</c:v>
                </c:pt>
                <c:pt idx="89">
                  <c:v>436.94246952460395</c:v>
                </c:pt>
                <c:pt idx="90">
                  <c:v>442.50888381337387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1.9746416049804285</c:v>
                </c:pt>
                <c:pt idx="2">
                  <c:v>2.2509696987730163</c:v>
                </c:pt>
                <c:pt idx="3">
                  <c:v>2.566106407367668</c:v>
                </c:pt>
                <c:pt idx="4">
                  <c:v>2.9255207530290543</c:v>
                </c:pt>
                <c:pt idx="5">
                  <c:v>3.3354549320675164</c:v>
                </c:pt>
                <c:pt idx="6">
                  <c:v>3.8030339464912619</c:v>
                </c:pt>
                <c:pt idx="7">
                  <c:v>4.3363908236525202</c:v>
                </c:pt>
                <c:pt idx="8">
                  <c:v>4.9448096458951891</c:v>
                </c:pt>
                <c:pt idx="9">
                  <c:v>5.6388889296865754</c:v>
                </c:pt>
                <c:pt idx="10">
                  <c:v>6.4307282566472246</c:v>
                </c:pt>
                <c:pt idx="11">
                  <c:v>7.3341414738014095</c:v>
                </c:pt>
                <c:pt idx="12">
                  <c:v>8.3649002547148612</c:v>
                </c:pt>
                <c:pt idx="13">
                  <c:v>9.5410123554957611</c:v>
                </c:pt>
                <c:pt idx="14">
                  <c:v>10.883039519666218</c:v>
                </c:pt>
                <c:pt idx="15">
                  <c:v>12.414460694823878</c:v>
                </c:pt>
                <c:pt idx="16">
                  <c:v>14.162087034570909</c:v>
                </c:pt>
                <c:pt idx="17">
                  <c:v>16.15653608599067</c:v>
                </c:pt>
                <c:pt idx="18">
                  <c:v>18.432773622701795</c:v>
                </c:pt>
                <c:pt idx="19">
                  <c:v>21.030732795318858</c:v>
                </c:pt>
                <c:pt idx="20">
                  <c:v>23.996021656852246</c:v>
                </c:pt>
                <c:pt idx="21">
                  <c:v>27.380731705185912</c:v>
                </c:pt>
                <c:pt idx="22">
                  <c:v>31.244361896879429</c:v>
                </c:pt>
                <c:pt idx="23">
                  <c:v>35.654874658866753</c:v>
                </c:pt>
                <c:pt idx="24">
                  <c:v>40.689902794596783</c:v>
                </c:pt>
                <c:pt idx="25">
                  <c:v>46.438128891600911</c:v>
                </c:pt>
                <c:pt idx="26">
                  <c:v>53.641954591289988</c:v>
                </c:pt>
                <c:pt idx="27">
                  <c:v>60.820276546495258</c:v>
                </c:pt>
                <c:pt idx="28">
                  <c:v>67.976539723086475</c:v>
                </c:pt>
                <c:pt idx="29">
                  <c:v>75.113400707379952</c:v>
                </c:pt>
                <c:pt idx="30">
                  <c:v>82.232967808738451</c:v>
                </c:pt>
                <c:pt idx="31">
                  <c:v>89.632636103290338</c:v>
                </c:pt>
                <c:pt idx="32">
                  <c:v>97.016990708955873</c:v>
                </c:pt>
                <c:pt idx="33">
                  <c:v>104.38736403026746</c:v>
                </c:pt>
                <c:pt idx="34">
                  <c:v>111.74488442302163</c:v>
                </c:pt>
                <c:pt idx="35">
                  <c:v>119.09051913372679</c:v>
                </c:pt>
                <c:pt idx="36">
                  <c:v>107.92051495671598</c:v>
                </c:pt>
                <c:pt idx="37">
                  <c:v>115.85984782918003</c:v>
                </c:pt>
                <c:pt idx="38">
                  <c:v>123.78587930910233</c:v>
                </c:pt>
                <c:pt idx="39">
                  <c:v>131.6995826479569</c:v>
                </c:pt>
                <c:pt idx="40">
                  <c:v>139.60180432646686</c:v>
                </c:pt>
                <c:pt idx="41">
                  <c:v>127.30454982664817</c:v>
                </c:pt>
                <c:pt idx="42">
                  <c:v>135.50574130628803</c:v>
                </c:pt>
                <c:pt idx="43">
                  <c:v>143.69498143753455</c:v>
                </c:pt>
                <c:pt idx="44">
                  <c:v>151.87304842123052</c:v>
                </c:pt>
                <c:pt idx="45">
                  <c:v>160.04062964847927</c:v>
                </c:pt>
                <c:pt idx="46">
                  <c:v>147.78536667282091</c:v>
                </c:pt>
                <c:pt idx="47">
                  <c:v>155.95810991244028</c:v>
                </c:pt>
                <c:pt idx="48">
                  <c:v>164.12068178886196</c:v>
                </c:pt>
                <c:pt idx="49">
                  <c:v>172.27366024134895</c:v>
                </c:pt>
                <c:pt idx="50">
                  <c:v>180.4175639489298</c:v>
                </c:pt>
                <c:pt idx="51">
                  <c:v>168.19833649533192</c:v>
                </c:pt>
                <c:pt idx="52">
                  <c:v>176.34671609069377</c:v>
                </c:pt>
                <c:pt idx="53">
                  <c:v>184.48626079093347</c:v>
                </c:pt>
                <c:pt idx="54">
                  <c:v>192.6174158917361</c:v>
                </c:pt>
                <c:pt idx="55">
                  <c:v>200.74058596732002</c:v>
                </c:pt>
                <c:pt idx="56">
                  <c:v>188.26245785243691</c:v>
                </c:pt>
                <c:pt idx="57">
                  <c:v>196.09972997148222</c:v>
                </c:pt>
                <c:pt idx="58">
                  <c:v>203.92972829662691</c:v>
                </c:pt>
                <c:pt idx="59">
                  <c:v>211.75277187475538</c:v>
                </c:pt>
                <c:pt idx="60">
                  <c:v>219.56915422062798</c:v>
                </c:pt>
                <c:pt idx="61">
                  <c:v>207.1177165652787</c:v>
                </c:pt>
                <c:pt idx="62">
                  <c:v>214.93801221904425</c:v>
                </c:pt>
                <c:pt idx="63">
                  <c:v>222.75175958301347</c:v>
                </c:pt>
                <c:pt idx="64">
                  <c:v>230.55922105091895</c:v>
                </c:pt>
                <c:pt idx="65">
                  <c:v>238.36063977122194</c:v>
                </c:pt>
                <c:pt idx="66">
                  <c:v>225.35493278909914</c:v>
                </c:pt>
                <c:pt idx="67">
                  <c:v>232.58238193276006</c:v>
                </c:pt>
                <c:pt idx="68">
                  <c:v>239.8047021341722</c:v>
                </c:pt>
                <c:pt idx="69">
                  <c:v>247.02206985998669</c:v>
                </c:pt>
                <c:pt idx="70">
                  <c:v>254.23465040940445</c:v>
                </c:pt>
                <c:pt idx="71">
                  <c:v>241.24856643377657</c:v>
                </c:pt>
                <c:pt idx="72">
                  <c:v>248.46496383915087</c:v>
                </c:pt>
                <c:pt idx="73">
                  <c:v>255.67660587898322</c:v>
                </c:pt>
                <c:pt idx="74">
                  <c:v>262.8836457748352</c:v>
                </c:pt>
                <c:pt idx="75">
                  <c:v>270.08622765058908</c:v>
                </c:pt>
                <c:pt idx="76">
                  <c:v>256.54169073764314</c:v>
                </c:pt>
                <c:pt idx="77">
                  <c:v>263.17183371378775</c:v>
                </c:pt>
                <c:pt idx="78">
                  <c:v>269.79820824030338</c:v>
                </c:pt>
                <c:pt idx="79">
                  <c:v>276.42092005274162</c:v>
                </c:pt>
                <c:pt idx="80">
                  <c:v>283.04006939986522</c:v>
                </c:pt>
                <c:pt idx="81">
                  <c:v>269.2221486423162</c:v>
                </c:pt>
                <c:pt idx="82">
                  <c:v>275.55729219724839</c:v>
                </c:pt>
                <c:pt idx="83">
                  <c:v>281.88916467282769</c:v>
                </c:pt>
                <c:pt idx="84">
                  <c:v>288.21785000957163</c:v>
                </c:pt>
                <c:pt idx="85">
                  <c:v>294.54342815595749</c:v>
                </c:pt>
                <c:pt idx="86">
                  <c:v>280.45038555869701</c:v>
                </c:pt>
                <c:pt idx="87">
                  <c:v>286.49215636284242</c:v>
                </c:pt>
                <c:pt idx="88">
                  <c:v>292.53107653331637</c:v>
                </c:pt>
                <c:pt idx="89">
                  <c:v>298.56721329998328</c:v>
                </c:pt>
                <c:pt idx="90">
                  <c:v>304.60063094888795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119.28852389957176</c:v>
                </c:pt>
                <c:pt idx="17">
                  <c:v>131.14784555860055</c:v>
                </c:pt>
                <c:pt idx="18">
                  <c:v>142.98125878263136</c:v>
                </c:pt>
                <c:pt idx="19">
                  <c:v>154.791212197665</c:v>
                </c:pt>
                <c:pt idx="20">
                  <c:v>166.57974956981332</c:v>
                </c:pt>
                <c:pt idx="21">
                  <c:v>178.98422457057109</c:v>
                </c:pt>
                <c:pt idx="22">
                  <c:v>191.36855633024655</c:v>
                </c:pt>
                <c:pt idx="23">
                  <c:v>203.73423290528618</c:v>
                </c:pt>
                <c:pt idx="24">
                  <c:v>216.08254677277884</c:v>
                </c:pt>
                <c:pt idx="25">
                  <c:v>228.41463048777482</c:v>
                </c:pt>
                <c:pt idx="26">
                  <c:v>239.78455379251184</c:v>
                </c:pt>
                <c:pt idx="27">
                  <c:v>251.14220359796022</c:v>
                </c:pt>
                <c:pt idx="28">
                  <c:v>262.48821350667612</c:v>
                </c:pt>
                <c:pt idx="29">
                  <c:v>273.82315783622602</c:v>
                </c:pt>
                <c:pt idx="30">
                  <c:v>285.14755944378334</c:v>
                </c:pt>
                <c:pt idx="31">
                  <c:v>294.26265338057789</c:v>
                </c:pt>
                <c:pt idx="32">
                  <c:v>303.37144778612088</c:v>
                </c:pt>
                <c:pt idx="33">
                  <c:v>312.47415862183612</c:v>
                </c:pt>
                <c:pt idx="34">
                  <c:v>321.57098823009079</c:v>
                </c:pt>
                <c:pt idx="35">
                  <c:v>330.66212656242288</c:v>
                </c:pt>
                <c:pt idx="36">
                  <c:v>293.63423101263402</c:v>
                </c:pt>
                <c:pt idx="37">
                  <c:v>311.53277495970804</c:v>
                </c:pt>
                <c:pt idx="38">
                  <c:v>329.40850810618292</c:v>
                </c:pt>
                <c:pt idx="39">
                  <c:v>347.26284215565857</c:v>
                </c:pt>
                <c:pt idx="40">
                  <c:v>365.09703181844549</c:v>
                </c:pt>
                <c:pt idx="41">
                  <c:v>325.64701898414188</c:v>
                </c:pt>
                <c:pt idx="42">
                  <c:v>341.00051892831289</c:v>
                </c:pt>
                <c:pt idx="43">
                  <c:v>356.33882114313172</c:v>
                </c:pt>
                <c:pt idx="44">
                  <c:v>371.6626718429784</c:v>
                </c:pt>
                <c:pt idx="45">
                  <c:v>386.97275069119195</c:v>
                </c:pt>
                <c:pt idx="46">
                  <c:v>362.90791424748937</c:v>
                </c:pt>
                <c:pt idx="47">
                  <c:v>376.35086351579031</c:v>
                </c:pt>
                <c:pt idx="48">
                  <c:v>389.78335896423397</c:v>
                </c:pt>
                <c:pt idx="49">
                  <c:v>403.20581160192501</c:v>
                </c:pt>
                <c:pt idx="50">
                  <c:v>416.61860284059549</c:v>
                </c:pt>
                <c:pt idx="51">
                  <c:v>2.3728589156891171E-12</c:v>
                </c:pt>
                <c:pt idx="52">
                  <c:v>2.3728589156891171E-12</c:v>
                </c:pt>
                <c:pt idx="53">
                  <c:v>2.3728589156891171E-12</c:v>
                </c:pt>
                <c:pt idx="54">
                  <c:v>2.3728589156891171E-12</c:v>
                </c:pt>
                <c:pt idx="55">
                  <c:v>2.3728589156891171E-12</c:v>
                </c:pt>
                <c:pt idx="56">
                  <c:v>2.3728589156891171E-12</c:v>
                </c:pt>
                <c:pt idx="57">
                  <c:v>2.3728589156891171E-12</c:v>
                </c:pt>
                <c:pt idx="58">
                  <c:v>2.3728589156891171E-12</c:v>
                </c:pt>
                <c:pt idx="59">
                  <c:v>2.3728589156891171E-12</c:v>
                </c:pt>
                <c:pt idx="60">
                  <c:v>2.3728589156891171E-12</c:v>
                </c:pt>
                <c:pt idx="61">
                  <c:v>2.3728589156891171E-12</c:v>
                </c:pt>
                <c:pt idx="62">
                  <c:v>2.3728589156891171E-12</c:v>
                </c:pt>
                <c:pt idx="63">
                  <c:v>2.3728589156891171E-12</c:v>
                </c:pt>
                <c:pt idx="64">
                  <c:v>2.3728589156891171E-12</c:v>
                </c:pt>
                <c:pt idx="65">
                  <c:v>2.3728589156891171E-12</c:v>
                </c:pt>
                <c:pt idx="66">
                  <c:v>2.3728589156891171E-12</c:v>
                </c:pt>
                <c:pt idx="67">
                  <c:v>2.3728589156891171E-12</c:v>
                </c:pt>
                <c:pt idx="68">
                  <c:v>2.3728589156891171E-12</c:v>
                </c:pt>
                <c:pt idx="69">
                  <c:v>2.3728589156891171E-12</c:v>
                </c:pt>
                <c:pt idx="70">
                  <c:v>2.3728589156891171E-12</c:v>
                </c:pt>
                <c:pt idx="71">
                  <c:v>2.3728589156891171E-12</c:v>
                </c:pt>
                <c:pt idx="72">
                  <c:v>2.3728589156891171E-12</c:v>
                </c:pt>
                <c:pt idx="73">
                  <c:v>2.3728589156891171E-12</c:v>
                </c:pt>
                <c:pt idx="74">
                  <c:v>2.3728589156891171E-12</c:v>
                </c:pt>
                <c:pt idx="75">
                  <c:v>2.3728589156891171E-12</c:v>
                </c:pt>
                <c:pt idx="76">
                  <c:v>2.3728589156891171E-12</c:v>
                </c:pt>
                <c:pt idx="77">
                  <c:v>2.3728589156891171E-12</c:v>
                </c:pt>
                <c:pt idx="78">
                  <c:v>2.3728589156891171E-12</c:v>
                </c:pt>
                <c:pt idx="79">
                  <c:v>2.3728589156891171E-12</c:v>
                </c:pt>
                <c:pt idx="80">
                  <c:v>2.3728589156891171E-12</c:v>
                </c:pt>
                <c:pt idx="81">
                  <c:v>2.3728589156891171E-12</c:v>
                </c:pt>
                <c:pt idx="82">
                  <c:v>2.3728589156891171E-12</c:v>
                </c:pt>
                <c:pt idx="83">
                  <c:v>2.3728589156891171E-12</c:v>
                </c:pt>
                <c:pt idx="84">
                  <c:v>2.3728589156891171E-12</c:v>
                </c:pt>
                <c:pt idx="85">
                  <c:v>2.3728589156891171E-12</c:v>
                </c:pt>
                <c:pt idx="86">
                  <c:v>2.3728589156891171E-12</c:v>
                </c:pt>
                <c:pt idx="87">
                  <c:v>2.3728589156891171E-12</c:v>
                </c:pt>
                <c:pt idx="88">
                  <c:v>2.3728589156891171E-12</c:v>
                </c:pt>
                <c:pt idx="89">
                  <c:v>2.3728589156891171E-12</c:v>
                </c:pt>
                <c:pt idx="90">
                  <c:v>2.3728589156891171E-12</c:v>
                </c:pt>
                <c:pt idx="91">
                  <c:v>2.3728589156891171E-12</c:v>
                </c:pt>
                <c:pt idx="92">
                  <c:v>2.3728589156891171E-12</c:v>
                </c:pt>
                <c:pt idx="93">
                  <c:v>2.3728589156891171E-12</c:v>
                </c:pt>
                <c:pt idx="94">
                  <c:v>2.3728589156891171E-12</c:v>
                </c:pt>
                <c:pt idx="95">
                  <c:v>2.3728589156891171E-12</c:v>
                </c:pt>
                <c:pt idx="96">
                  <c:v>2.3728589156891171E-12</c:v>
                </c:pt>
                <c:pt idx="97">
                  <c:v>2.3728589156891171E-12</c:v>
                </c:pt>
                <c:pt idx="98">
                  <c:v>2.3728589156891171E-12</c:v>
                </c:pt>
                <c:pt idx="99">
                  <c:v>2.3728589156891171E-12</c:v>
                </c:pt>
                <c:pt idx="100">
                  <c:v>2.3728589156891171E-12</c:v>
                </c:pt>
                <c:pt idx="101">
                  <c:v>2.3728589156891171E-12</c:v>
                </c:pt>
                <c:pt idx="102">
                  <c:v>2.3728589156891171E-12</c:v>
                </c:pt>
                <c:pt idx="103">
                  <c:v>2.3728589156891171E-12</c:v>
                </c:pt>
                <c:pt idx="104">
                  <c:v>2.3728589156891171E-12</c:v>
                </c:pt>
                <c:pt idx="105">
                  <c:v>2.3728589156891171E-12</c:v>
                </c:pt>
                <c:pt idx="106">
                  <c:v>2.3728589156891171E-12</c:v>
                </c:pt>
                <c:pt idx="107">
                  <c:v>2.3728589156891171E-12</c:v>
                </c:pt>
                <c:pt idx="108">
                  <c:v>2.3728589156891171E-12</c:v>
                </c:pt>
                <c:pt idx="109">
                  <c:v>2.3728589156891171E-12</c:v>
                </c:pt>
                <c:pt idx="110">
                  <c:v>2.3728589156891171E-12</c:v>
                </c:pt>
                <c:pt idx="111">
                  <c:v>2.3728589156891171E-12</c:v>
                </c:pt>
                <c:pt idx="112">
                  <c:v>2.3728589156891171E-12</c:v>
                </c:pt>
                <c:pt idx="113">
                  <c:v>2.3728589156891171E-12</c:v>
                </c:pt>
                <c:pt idx="114">
                  <c:v>2.3728589156891171E-12</c:v>
                </c:pt>
                <c:pt idx="115">
                  <c:v>2.3728589156891171E-12</c:v>
                </c:pt>
                <c:pt idx="116">
                  <c:v>2.3728589156891171E-12</c:v>
                </c:pt>
                <c:pt idx="117">
                  <c:v>2.3728589156891171E-12</c:v>
                </c:pt>
                <c:pt idx="118">
                  <c:v>2.3728589156891171E-12</c:v>
                </c:pt>
                <c:pt idx="119">
                  <c:v>2.3728589156891171E-12</c:v>
                </c:pt>
                <c:pt idx="120">
                  <c:v>2.3728589156891171E-12</c:v>
                </c:pt>
                <c:pt idx="121">
                  <c:v>2.3728589156891171E-12</c:v>
                </c:pt>
                <c:pt idx="122">
                  <c:v>2.3728589156891171E-12</c:v>
                </c:pt>
                <c:pt idx="123">
                  <c:v>2.3728589156891171E-12</c:v>
                </c:pt>
                <c:pt idx="124">
                  <c:v>2.3728589156891171E-12</c:v>
                </c:pt>
                <c:pt idx="125">
                  <c:v>2.3728589156891171E-12</c:v>
                </c:pt>
                <c:pt idx="126">
                  <c:v>2.3728589156891171E-12</c:v>
                </c:pt>
                <c:pt idx="127">
                  <c:v>2.3728589156891171E-12</c:v>
                </c:pt>
                <c:pt idx="128">
                  <c:v>2.3728589156891171E-12</c:v>
                </c:pt>
                <c:pt idx="129">
                  <c:v>2.3728589156891171E-12</c:v>
                </c:pt>
                <c:pt idx="130">
                  <c:v>2.3728589156891171E-12</c:v>
                </c:pt>
                <c:pt idx="131">
                  <c:v>2.3728589156891171E-12</c:v>
                </c:pt>
                <c:pt idx="132">
                  <c:v>2.3728589156891171E-12</c:v>
                </c:pt>
                <c:pt idx="133">
                  <c:v>2.3728589156891171E-12</c:v>
                </c:pt>
                <c:pt idx="134">
                  <c:v>2.3728589156891171E-12</c:v>
                </c:pt>
                <c:pt idx="135">
                  <c:v>2.3728589156891171E-12</c:v>
                </c:pt>
                <c:pt idx="136">
                  <c:v>2.3728589156891171E-12</c:v>
                </c:pt>
                <c:pt idx="137">
                  <c:v>2.3728589156891171E-12</c:v>
                </c:pt>
                <c:pt idx="138">
                  <c:v>2.3728589156891171E-12</c:v>
                </c:pt>
                <c:pt idx="139">
                  <c:v>2.3728589156891171E-12</c:v>
                </c:pt>
                <c:pt idx="140">
                  <c:v>2.3728589156891171E-12</c:v>
                </c:pt>
                <c:pt idx="141">
                  <c:v>2.3728589156891171E-12</c:v>
                </c:pt>
                <c:pt idx="142">
                  <c:v>2.3728589156891171E-12</c:v>
                </c:pt>
                <c:pt idx="143">
                  <c:v>2.3728589156891171E-12</c:v>
                </c:pt>
                <c:pt idx="144">
                  <c:v>2.3728589156891171E-12</c:v>
                </c:pt>
                <c:pt idx="145">
                  <c:v>2.3728589156891171E-12</c:v>
                </c:pt>
                <c:pt idx="146">
                  <c:v>2.3728589156891171E-12</c:v>
                </c:pt>
                <c:pt idx="147">
                  <c:v>2.3728589156891171E-12</c:v>
                </c:pt>
                <c:pt idx="148">
                  <c:v>2.3728589156891171E-12</c:v>
                </c:pt>
                <c:pt idx="149">
                  <c:v>2.3728589156891171E-12</c:v>
                </c:pt>
                <c:pt idx="150">
                  <c:v>2.3728589156891171E-12</c:v>
                </c:pt>
                <c:pt idx="151">
                  <c:v>2.3728589156891171E-12</c:v>
                </c:pt>
                <c:pt idx="152">
                  <c:v>2.3728589156891171E-12</c:v>
                </c:pt>
                <c:pt idx="153">
                  <c:v>2.3728589156891171E-12</c:v>
                </c:pt>
                <c:pt idx="154">
                  <c:v>2.3728589156891171E-12</c:v>
                </c:pt>
                <c:pt idx="155">
                  <c:v>2.3728589156891171E-12</c:v>
                </c:pt>
                <c:pt idx="156">
                  <c:v>2.3728589156891171E-12</c:v>
                </c:pt>
                <c:pt idx="157">
                  <c:v>2.3728589156891171E-12</c:v>
                </c:pt>
                <c:pt idx="158">
                  <c:v>2.3728589156891171E-12</c:v>
                </c:pt>
                <c:pt idx="159">
                  <c:v>2.3728589156891171E-12</c:v>
                </c:pt>
                <c:pt idx="160">
                  <c:v>2.3728589156891171E-12</c:v>
                </c:pt>
                <c:pt idx="161">
                  <c:v>2.3728589156891171E-12</c:v>
                </c:pt>
                <c:pt idx="162">
                  <c:v>2.3728589156891171E-12</c:v>
                </c:pt>
                <c:pt idx="163">
                  <c:v>2.3728589156891171E-12</c:v>
                </c:pt>
                <c:pt idx="164">
                  <c:v>2.3728589156891171E-12</c:v>
                </c:pt>
                <c:pt idx="165">
                  <c:v>2.3728589156891171E-12</c:v>
                </c:pt>
                <c:pt idx="166">
                  <c:v>2.3728589156891171E-12</c:v>
                </c:pt>
                <c:pt idx="167">
                  <c:v>2.3728589156891171E-12</c:v>
                </c:pt>
                <c:pt idx="168">
                  <c:v>2.3728589156891171E-12</c:v>
                </c:pt>
                <c:pt idx="169">
                  <c:v>2.3728589156891171E-12</c:v>
                </c:pt>
                <c:pt idx="170">
                  <c:v>2.3728589156891171E-12</c:v>
                </c:pt>
                <c:pt idx="171">
                  <c:v>2.3728589156891171E-12</c:v>
                </c:pt>
                <c:pt idx="172">
                  <c:v>2.3728589156891171E-12</c:v>
                </c:pt>
                <c:pt idx="173">
                  <c:v>2.3728589156891171E-12</c:v>
                </c:pt>
                <c:pt idx="174">
                  <c:v>2.3728589156891171E-12</c:v>
                </c:pt>
                <c:pt idx="175">
                  <c:v>2.3728589156891171E-12</c:v>
                </c:pt>
                <c:pt idx="176">
                  <c:v>2.3728589156891171E-12</c:v>
                </c:pt>
                <c:pt idx="177">
                  <c:v>2.3728589156891171E-12</c:v>
                </c:pt>
                <c:pt idx="178">
                  <c:v>2.3728589156891171E-12</c:v>
                </c:pt>
                <c:pt idx="179">
                  <c:v>2.3728589156891171E-12</c:v>
                </c:pt>
                <c:pt idx="180">
                  <c:v>2.3728589156891171E-12</c:v>
                </c:pt>
                <c:pt idx="181">
                  <c:v>2.3728589156891171E-12</c:v>
                </c:pt>
                <c:pt idx="182">
                  <c:v>2.3728589156891171E-12</c:v>
                </c:pt>
                <c:pt idx="183">
                  <c:v>2.3728589156891171E-12</c:v>
                </c:pt>
                <c:pt idx="184">
                  <c:v>2.3728589156891171E-12</c:v>
                </c:pt>
                <c:pt idx="185">
                  <c:v>2.3728589156891171E-12</c:v>
                </c:pt>
                <c:pt idx="186">
                  <c:v>2.3728589156891171E-12</c:v>
                </c:pt>
                <c:pt idx="187">
                  <c:v>2.3728589156891171E-12</c:v>
                </c:pt>
                <c:pt idx="188">
                  <c:v>2.3728589156891171E-12</c:v>
                </c:pt>
                <c:pt idx="189">
                  <c:v>2.3728589156891171E-12</c:v>
                </c:pt>
                <c:pt idx="190">
                  <c:v>2.3728589156891171E-12</c:v>
                </c:pt>
                <c:pt idx="191">
                  <c:v>2.3728589156891171E-12</c:v>
                </c:pt>
                <c:pt idx="192">
                  <c:v>2.3728589156891171E-12</c:v>
                </c:pt>
                <c:pt idx="193">
                  <c:v>2.3728589156891171E-12</c:v>
                </c:pt>
                <c:pt idx="194">
                  <c:v>2.3728589156891171E-12</c:v>
                </c:pt>
                <c:pt idx="195">
                  <c:v>2.3728589156891171E-12</c:v>
                </c:pt>
                <c:pt idx="196">
                  <c:v>2.3728589156891171E-12</c:v>
                </c:pt>
                <c:pt idx="197">
                  <c:v>2.3728589156891171E-12</c:v>
                </c:pt>
                <c:pt idx="198">
                  <c:v>2.3728589156891171E-12</c:v>
                </c:pt>
                <c:pt idx="199">
                  <c:v>2.3728589156891171E-12</c:v>
                </c:pt>
                <c:pt idx="200">
                  <c:v>2.3728589156891171E-12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2.808913523269716</c:v>
                </c:pt>
                <c:pt idx="2">
                  <c:v>3.2024549307028356</c:v>
                </c:pt>
                <c:pt idx="3">
                  <c:v>3.6513289373607773</c:v>
                </c:pt>
                <c:pt idx="4">
                  <c:v>4.1633414020375676</c:v>
                </c:pt>
                <c:pt idx="5">
                  <c:v>4.7474028110253315</c:v>
                </c:pt>
                <c:pt idx="6">
                  <c:v>5.4136850511054888</c:v>
                </c:pt>
                <c:pt idx="7">
                  <c:v>6.1738004921248475</c:v>
                </c:pt>
                <c:pt idx="8">
                  <c:v>7.04100656176103</c:v>
                </c:pt>
                <c:pt idx="9">
                  <c:v>8.0304394501257814</c:v>
                </c:pt>
                <c:pt idx="10">
                  <c:v>9.1593811020942599</c:v>
                </c:pt>
                <c:pt idx="11">
                  <c:v>10.44756425004144</c:v>
                </c:pt>
                <c:pt idx="12">
                  <c:v>11.917520919716907</c:v>
                </c:pt>
                <c:pt idx="13">
                  <c:v>13.594980619539625</c:v>
                </c:pt>
                <c:pt idx="14">
                  <c:v>15.509325312648487</c:v>
                </c:pt>
                <c:pt idx="15">
                  <c:v>17.694109287621362</c:v>
                </c:pt>
                <c:pt idx="16">
                  <c:v>20.187653206198199</c:v>
                </c:pt>
                <c:pt idx="17">
                  <c:v>23.033722935573341</c:v>
                </c:pt>
                <c:pt idx="18">
                  <c:v>26.282305292835535</c:v>
                </c:pt>
                <c:pt idx="19">
                  <c:v>29.990494567361733</c:v>
                </c:pt>
                <c:pt idx="20">
                  <c:v>34.223505674790481</c:v>
                </c:pt>
                <c:pt idx="21">
                  <c:v>39.055832069512576</c:v>
                </c:pt>
                <c:pt idx="22">
                  <c:v>44.572569142487318</c:v>
                </c:pt>
                <c:pt idx="23">
                  <c:v>50.870926804611692</c:v>
                </c:pt>
                <c:pt idx="24">
                  <c:v>58.061958356588072</c:v>
                </c:pt>
                <c:pt idx="25">
                  <c:v>66.272536635761469</c:v>
                </c:pt>
                <c:pt idx="26">
                  <c:v>76.563490652949312</c:v>
                </c:pt>
                <c:pt idx="27">
                  <c:v>86.819205269098731</c:v>
                </c:pt>
                <c:pt idx="28">
                  <c:v>97.044440512052844</c:v>
                </c:pt>
                <c:pt idx="29">
                  <c:v>107.2428670785069</c:v>
                </c:pt>
                <c:pt idx="30">
                  <c:v>117.41739809202973</c:v>
                </c:pt>
                <c:pt idx="31">
                  <c:v>127.99300373621668</c:v>
                </c:pt>
                <c:pt idx="32">
                  <c:v>138.54744992970467</c:v>
                </c:pt>
                <c:pt idx="33">
                  <c:v>149.0825777016685</c:v>
                </c:pt>
                <c:pt idx="34">
                  <c:v>159.59994614012587</c:v>
                </c:pt>
                <c:pt idx="35">
                  <c:v>170.1008917228489</c:v>
                </c:pt>
                <c:pt idx="36">
                  <c:v>154.13304399541357</c:v>
                </c:pt>
                <c:pt idx="37">
                  <c:v>165.48242110449394</c:v>
                </c:pt>
                <c:pt idx="38">
                  <c:v>176.81341922195415</c:v>
                </c:pt>
                <c:pt idx="39">
                  <c:v>188.1273831228342</c:v>
                </c:pt>
                <c:pt idx="40">
                  <c:v>199.42548241866663</c:v>
                </c:pt>
                <c:pt idx="41">
                  <c:v>181.84387743661719</c:v>
                </c:pt>
                <c:pt idx="42">
                  <c:v>193.56912276774736</c:v>
                </c:pt>
                <c:pt idx="43">
                  <c:v>205.2778545096966</c:v>
                </c:pt>
                <c:pt idx="44">
                  <c:v>216.97114792933803</c:v>
                </c:pt>
                <c:pt idx="45">
                  <c:v>228.64995281860425</c:v>
                </c:pt>
                <c:pt idx="46">
                  <c:v>211.12636896992379</c:v>
                </c:pt>
                <c:pt idx="47">
                  <c:v>222.81230638924691</c:v>
                </c:pt>
                <c:pt idx="48">
                  <c:v>234.48418968616227</c:v>
                </c:pt>
                <c:pt idx="49">
                  <c:v>246.14281741922969</c:v>
                </c:pt>
                <c:pt idx="50">
                  <c:v>257.78890626510457</c:v>
                </c:pt>
                <c:pt idx="51">
                  <c:v>240.31511393681535</c:v>
                </c:pt>
                <c:pt idx="52">
                  <c:v>251.96738727080017</c:v>
                </c:pt>
                <c:pt idx="53">
                  <c:v>263.60745312628939</c:v>
                </c:pt>
                <c:pt idx="54">
                  <c:v>275.23592678364861</c:v>
                </c:pt>
                <c:pt idx="55">
                  <c:v>286.85336725699193</c:v>
                </c:pt>
                <c:pt idx="56">
                  <c:v>269.0077938022381</c:v>
                </c:pt>
                <c:pt idx="57">
                  <c:v>280.21615005760447</c:v>
                </c:pt>
                <c:pt idx="58">
                  <c:v>291.41445586173216</c:v>
                </c:pt>
                <c:pt idx="59">
                  <c:v>302.60315205267631</c:v>
                </c:pt>
                <c:pt idx="60">
                  <c:v>313.78264418987732</c:v>
                </c:pt>
                <c:pt idx="61">
                  <c:v>295.97394986116763</c:v>
                </c:pt>
                <c:pt idx="62">
                  <c:v>307.15884915049543</c:v>
                </c:pt>
                <c:pt idx="63">
                  <c:v>318.33470044256177</c:v>
                </c:pt>
                <c:pt idx="64">
                  <c:v>329.50186629581282</c:v>
                </c:pt>
                <c:pt idx="65">
                  <c:v>340.66068267684119</c:v>
                </c:pt>
                <c:pt idx="66">
                  <c:v>322.05803699935797</c:v>
                </c:pt>
                <c:pt idx="67">
                  <c:v>332.39568151871464</c:v>
                </c:pt>
                <c:pt idx="68">
                  <c:v>342.7262392021392</c:v>
                </c:pt>
                <c:pt idx="69">
                  <c:v>353.04995387967392</c:v>
                </c:pt>
                <c:pt idx="70">
                  <c:v>363.3670539509107</c:v>
                </c:pt>
                <c:pt idx="71">
                  <c:v>344.79152205649939</c:v>
                </c:pt>
                <c:pt idx="72">
                  <c:v>355.11389600890431</c:v>
                </c:pt>
                <c:pt idx="73">
                  <c:v>365.42969930916388</c:v>
                </c:pt>
                <c:pt idx="74">
                  <c:v>375.7391436687796</c:v>
                </c:pt>
                <c:pt idx="75">
                  <c:v>386.04242822867764</c:v>
                </c:pt>
                <c:pt idx="76">
                  <c:v>366.66716434689437</c:v>
                </c:pt>
                <c:pt idx="77">
                  <c:v>376.15139203422933</c:v>
                </c:pt>
                <c:pt idx="78">
                  <c:v>385.630412725084</c:v>
                </c:pt>
                <c:pt idx="79">
                  <c:v>395.10437251790654</c:v>
                </c:pt>
                <c:pt idx="80">
                  <c:v>404.57340992986127</c:v>
                </c:pt>
                <c:pt idx="81">
                  <c:v>384.8063530090264</c:v>
                </c:pt>
                <c:pt idx="82">
                  <c:v>393.86892067156992</c:v>
                </c:pt>
                <c:pt idx="83">
                  <c:v>402.92696857125202</c:v>
                </c:pt>
                <c:pt idx="84">
                  <c:v>411.98061269157319</c:v>
                </c:pt>
                <c:pt idx="85">
                  <c:v>421.02996350009448</c:v>
                </c:pt>
                <c:pt idx="86">
                  <c:v>400.86871209258283</c:v>
                </c:pt>
                <c:pt idx="87">
                  <c:v>409.51186735681631</c:v>
                </c:pt>
                <c:pt idx="88">
                  <c:v>418.15108380244925</c:v>
                </c:pt>
                <c:pt idx="89">
                  <c:v>426.78645432329768</c:v>
                </c:pt>
                <c:pt idx="90">
                  <c:v>435.41806774560092</c:v>
                </c:pt>
                <c:pt idx="91">
                  <c:v>411.36345637848711</c:v>
                </c:pt>
                <c:pt idx="92">
                  <c:v>416.09447975082259</c:v>
                </c:pt>
                <c:pt idx="93">
                  <c:v>420.82434333491483</c:v>
                </c:pt>
                <c:pt idx="94">
                  <c:v>425.55306201895888</c:v>
                </c:pt>
                <c:pt idx="95">
                  <c:v>430.28065033294848</c:v>
                </c:pt>
                <c:pt idx="96">
                  <c:v>435.0071224612247</c:v>
                </c:pt>
                <c:pt idx="97">
                  <c:v>439.73249225444823</c:v>
                </c:pt>
                <c:pt idx="98">
                  <c:v>444.45677324103218</c:v>
                </c:pt>
                <c:pt idx="99">
                  <c:v>449.17997863806204</c:v>
                </c:pt>
                <c:pt idx="100">
                  <c:v>453.90212136173164</c:v>
                </c:pt>
                <c:pt idx="101">
                  <c:v>428.63639910412559</c:v>
                </c:pt>
                <c:pt idx="102">
                  <c:v>432.13027158383244</c:v>
                </c:pt>
                <c:pt idx="103">
                  <c:v>435.62353726496121</c:v>
                </c:pt>
                <c:pt idx="104">
                  <c:v>439.11620170572928</c:v>
                </c:pt>
                <c:pt idx="105">
                  <c:v>442.60827036862128</c:v>
                </c:pt>
                <c:pt idx="106">
                  <c:v>446.0997486227979</c:v>
                </c:pt>
                <c:pt idx="107">
                  <c:v>449.59064174642413</c:v>
                </c:pt>
                <c:pt idx="108">
                  <c:v>453.08095492892272</c:v>
                </c:pt>
                <c:pt idx="109">
                  <c:v>456.57069327315384</c:v>
                </c:pt>
                <c:pt idx="110">
                  <c:v>460.05986179752387</c:v>
                </c:pt>
                <c:pt idx="111">
                  <c:v>436.44539454971499</c:v>
                </c:pt>
                <c:pt idx="112">
                  <c:v>439.52706413119466</c:v>
                </c:pt>
                <c:pt idx="113">
                  <c:v>442.60827036862116</c:v>
                </c:pt>
                <c:pt idx="114">
                  <c:v>445.68901694659024</c:v>
                </c:pt>
                <c:pt idx="115">
                  <c:v>448.76930749454414</c:v>
                </c:pt>
                <c:pt idx="116">
                  <c:v>451.849145587978</c:v>
                </c:pt>
                <c:pt idx="117">
                  <c:v>454.92853474961379</c:v>
                </c:pt>
                <c:pt idx="118">
                  <c:v>458.00747845053723</c:v>
                </c:pt>
                <c:pt idx="119">
                  <c:v>461.0859801113067</c:v>
                </c:pt>
                <c:pt idx="120">
                  <c:v>464.1640431030275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142.04989216192442</c:v>
                </c:pt>
                <c:pt idx="32">
                  <c:v>153.76661212101567</c:v>
                </c:pt>
                <c:pt idx="33">
                  <c:v>165.46209858933358</c:v>
                </c:pt>
                <c:pt idx="34">
                  <c:v>177.13806521004514</c:v>
                </c:pt>
                <c:pt idx="35">
                  <c:v>188.79598094832463</c:v>
                </c:pt>
                <c:pt idx="36">
                  <c:v>171.06890310603498</c:v>
                </c:pt>
                <c:pt idx="37">
                  <c:v>183.6686363162344</c:v>
                </c:pt>
                <c:pt idx="38">
                  <c:v>196.24816859291039</c:v>
                </c:pt>
                <c:pt idx="39">
                  <c:v>208.80897802102797</c:v>
                </c:pt>
                <c:pt idx="40">
                  <c:v>221.35235015777684</c:v>
                </c:pt>
                <c:pt idx="41">
                  <c:v>201.83298159430865</c:v>
                </c:pt>
                <c:pt idx="42">
                  <c:v>214.85048322218776</c:v>
                </c:pt>
                <c:pt idx="43">
                  <c:v>227.84983423962134</c:v>
                </c:pt>
                <c:pt idx="44">
                  <c:v>240.83221650658706</c:v>
                </c:pt>
                <c:pt idx="45">
                  <c:v>253.79867396956936</c:v>
                </c:pt>
                <c:pt idx="46">
                  <c:v>234.34307827690756</c:v>
                </c:pt>
                <c:pt idx="47">
                  <c:v>247.31737533025003</c:v>
                </c:pt>
                <c:pt idx="48">
                  <c:v>260.2762250512057</c:v>
                </c:pt>
                <c:pt idx="49">
                  <c:v>273.220505160855</c:v>
                </c:pt>
                <c:pt idx="50">
                  <c:v>286.1510033812761</c:v>
                </c:pt>
                <c:pt idx="51">
                  <c:v>266.75013513037203</c:v>
                </c:pt>
                <c:pt idx="52">
                  <c:v>279.68743091813337</c:v>
                </c:pt>
                <c:pt idx="53">
                  <c:v>292.61130907849321</c:v>
                </c:pt>
                <c:pt idx="54">
                  <c:v>305.52244588564616</c:v>
                </c:pt>
                <c:pt idx="55">
                  <c:v>318.42145576976316</c:v>
                </c:pt>
                <c:pt idx="56">
                  <c:v>298.60731135776933</c:v>
                </c:pt>
                <c:pt idx="57">
                  <c:v>311.05204406793172</c:v>
                </c:pt>
                <c:pt idx="58">
                  <c:v>323.48573000787144</c:v>
                </c:pt>
                <c:pt idx="59">
                  <c:v>335.90885371669856</c:v>
                </c:pt>
                <c:pt idx="60">
                  <c:v>348.32186095767742</c:v>
                </c:pt>
                <c:pt idx="61">
                  <c:v>328.54825156463437</c:v>
                </c:pt>
                <c:pt idx="62">
                  <c:v>340.96720197828142</c:v>
                </c:pt>
                <c:pt idx="63">
                  <c:v>353.37620745071621</c:v>
                </c:pt>
                <c:pt idx="64">
                  <c:v>365.77566648144415</c:v>
                </c:pt>
                <c:pt idx="65">
                  <c:v>378.1659483420201</c:v>
                </c:pt>
                <c:pt idx="66">
                  <c:v>357.51040237087665</c:v>
                </c:pt>
                <c:pt idx="67">
                  <c:v>368.98882872292899</c:v>
                </c:pt>
                <c:pt idx="68">
                  <c:v>380.45946570848531</c:v>
                </c:pt>
                <c:pt idx="69">
                  <c:v>391.92258132889066</c:v>
                </c:pt>
                <c:pt idx="70">
                  <c:v>403.3784266253918</c:v>
                </c:pt>
                <c:pt idx="71">
                  <c:v>382.75268227452915</c:v>
                </c:pt>
                <c:pt idx="72">
                  <c:v>394.21432426135442</c:v>
                </c:pt>
                <c:pt idx="73">
                  <c:v>405.66874423568089</c:v>
                </c:pt>
                <c:pt idx="74">
                  <c:v>417.1161748963454</c:v>
                </c:pt>
                <c:pt idx="75">
                  <c:v>428.55683512546557</c:v>
                </c:pt>
                <c:pt idx="76">
                  <c:v>407.04280051298912</c:v>
                </c:pt>
                <c:pt idx="77">
                  <c:v>417.57392988530063</c:v>
                </c:pt>
                <c:pt idx="78">
                  <c:v>428.09933608237338</c:v>
                </c:pt>
                <c:pt idx="79">
                  <c:v>438.61917968565263</c:v>
                </c:pt>
                <c:pt idx="80">
                  <c:v>449.1336129437538</c:v>
                </c:pt>
                <c:pt idx="81">
                  <c:v>427.18430644135782</c:v>
                </c:pt>
                <c:pt idx="82">
                  <c:v>437.24733617095717</c:v>
                </c:pt>
                <c:pt idx="83">
                  <c:v>447.30539808561917</c:v>
                </c:pt>
                <c:pt idx="84">
                  <c:v>457.35861966649367</c:v>
                </c:pt>
                <c:pt idx="85">
                  <c:v>467.40712233198587</c:v>
                </c:pt>
                <c:pt idx="86">
                  <c:v>445.01990443229971</c:v>
                </c:pt>
                <c:pt idx="87">
                  <c:v>454.61730495685168</c:v>
                </c:pt>
                <c:pt idx="88">
                  <c:v>464.21037620075805</c:v>
                </c:pt>
                <c:pt idx="89">
                  <c:v>473.79922026656277</c:v>
                </c:pt>
                <c:pt idx="90">
                  <c:v>483.38393478600671</c:v>
                </c:pt>
                <c:pt idx="91">
                  <c:v>456.67332398568163</c:v>
                </c:pt>
                <c:pt idx="92">
                  <c:v>461.92669878249262</c:v>
                </c:pt>
                <c:pt idx="93">
                  <c:v>467.17879881920294</c:v>
                </c:pt>
                <c:pt idx="94">
                  <c:v>472.42964045990101</c:v>
                </c:pt>
                <c:pt idx="95">
                  <c:v>477.67923967496472</c:v>
                </c:pt>
                <c:pt idx="96">
                  <c:v>482.92761205485334</c:v>
                </c:pt>
                <c:pt idx="97">
                  <c:v>488.17477282326837</c:v>
                </c:pt>
                <c:pt idx="98">
                  <c:v>493.42073684971882</c:v>
                </c:pt>
                <c:pt idx="99">
                  <c:v>498.66551866152253</c:v>
                </c:pt>
                <c:pt idx="100">
                  <c:v>503.90913245527855</c:v>
                </c:pt>
                <c:pt idx="101">
                  <c:v>475.85343205805066</c:v>
                </c:pt>
                <c:pt idx="102">
                  <c:v>479.73309586441377</c:v>
                </c:pt>
                <c:pt idx="103">
                  <c:v>483.61209271918409</c:v>
                </c:pt>
                <c:pt idx="104">
                  <c:v>487.4904287315747</c:v>
                </c:pt>
                <c:pt idx="105">
                  <c:v>491.36810990557609</c:v>
                </c:pt>
                <c:pt idx="106">
                  <c:v>495.24514214260324</c:v>
                </c:pt>
                <c:pt idx="107">
                  <c:v>499.12153124405501</c:v>
                </c:pt>
                <c:pt idx="108">
                  <c:v>502.9972829137908</c:v>
                </c:pt>
                <c:pt idx="109">
                  <c:v>506.87240276052609</c:v>
                </c:pt>
                <c:pt idx="110">
                  <c:v>510.74689630015132</c:v>
                </c:pt>
                <c:pt idx="111">
                  <c:v>484.52470159799054</c:v>
                </c:pt>
                <c:pt idx="112">
                  <c:v>487.94666038986696</c:v>
                </c:pt>
                <c:pt idx="113">
                  <c:v>491.36810990557598</c:v>
                </c:pt>
                <c:pt idx="114">
                  <c:v>494.78905419497363</c:v>
                </c:pt>
                <c:pt idx="115">
                  <c:v>498.20949724729485</c:v>
                </c:pt>
                <c:pt idx="116">
                  <c:v>501.62944299248085</c:v>
                </c:pt>
                <c:pt idx="117">
                  <c:v>505.04889530246618</c:v>
                </c:pt>
                <c:pt idx="118">
                  <c:v>508.46785799243207</c:v>
                </c:pt>
                <c:pt idx="119">
                  <c:v>511.88633482202255</c:v>
                </c:pt>
                <c:pt idx="120">
                  <c:v>515.30432949652698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170.20243745871741</c:v>
                </c:pt>
                <c:pt idx="27">
                  <c:v>182.07368538348692</c:v>
                </c:pt>
                <c:pt idx="28">
                  <c:v>193.9268283761636</c:v>
                </c:pt>
                <c:pt idx="29">
                  <c:v>205.7631297377508</c:v>
                </c:pt>
                <c:pt idx="30">
                  <c:v>217.58369540679939</c:v>
                </c:pt>
                <c:pt idx="31">
                  <c:v>225.89297020726841</c:v>
                </c:pt>
                <c:pt idx="32">
                  <c:v>234.19524519588359</c:v>
                </c:pt>
                <c:pt idx="33">
                  <c:v>242.49080379529093</c:v>
                </c:pt>
                <c:pt idx="34">
                  <c:v>250.77990843042721</c:v>
                </c:pt>
                <c:pt idx="35">
                  <c:v>259.06280274212457</c:v>
                </c:pt>
                <c:pt idx="36">
                  <c:v>231.57421272848478</c:v>
                </c:pt>
                <c:pt idx="37">
                  <c:v>249.9076676355476</c:v>
                </c:pt>
                <c:pt idx="38">
                  <c:v>268.21062796009528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562.90982113451889</c:v>
                </c:pt>
                <c:pt idx="92">
                  <c:v>568.90797010861957</c:v>
                </c:pt>
                <c:pt idx="93">
                  <c:v>574.90479761309086</c:v>
                </c:pt>
                <c:pt idx="94">
                  <c:v>580.90031938116965</c:v>
                </c:pt>
                <c:pt idx="95">
                  <c:v>586.89455079472907</c:v>
                </c:pt>
                <c:pt idx="96">
                  <c:v>592.88750689571236</c:v>
                </c:pt>
                <c:pt idx="97">
                  <c:v>598.87920239707955</c:v>
                </c:pt>
                <c:pt idx="98">
                  <c:v>604.86965169329608</c:v>
                </c:pt>
                <c:pt idx="99">
                  <c:v>610.85886887038032</c:v>
                </c:pt>
                <c:pt idx="100">
                  <c:v>616.84686771553982</c:v>
                </c:pt>
                <c:pt idx="101">
                  <c:v>577.04620447443256</c:v>
                </c:pt>
                <c:pt idx="102">
                  <c:v>582.18490565036154</c:v>
                </c:pt>
                <c:pt idx="103">
                  <c:v>587.32266120507177</c:v>
                </c:pt>
                <c:pt idx="104">
                  <c:v>592.45948058080182</c:v>
                </c:pt>
                <c:pt idx="105">
                  <c:v>597.59537304263756</c:v>
                </c:pt>
                <c:pt idx="106">
                  <c:v>602.73034768336242</c:v>
                </c:pt>
                <c:pt idx="107">
                  <c:v>607.86441342813578</c:v>
                </c:pt>
                <c:pt idx="108">
                  <c:v>612.99757903900263</c:v>
                </c:pt>
                <c:pt idx="109">
                  <c:v>618.12985311924672</c:v>
                </c:pt>
                <c:pt idx="110">
                  <c:v>623.26124411759019</c:v>
                </c:pt>
                <c:pt idx="111">
                  <c:v>586.68049314993721</c:v>
                </c:pt>
                <c:pt idx="112">
                  <c:v>590.74731089993463</c:v>
                </c:pt>
                <c:pt idx="113">
                  <c:v>594.81354579947129</c:v>
                </c:pt>
                <c:pt idx="114">
                  <c:v>598.87920239707921</c:v>
                </c:pt>
                <c:pt idx="115">
                  <c:v>602.94428517446511</c:v>
                </c:pt>
                <c:pt idx="116">
                  <c:v>607.00879854794687</c:v>
                </c:pt>
                <c:pt idx="117">
                  <c:v>611.07274686984704</c:v>
                </c:pt>
                <c:pt idx="118">
                  <c:v>615.1361344298507</c:v>
                </c:pt>
                <c:pt idx="119">
                  <c:v>619.19896545632253</c:v>
                </c:pt>
                <c:pt idx="120">
                  <c:v>623.26124411758963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12" sqref="C12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4.55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14</v>
      </c>
      <c r="C9" s="32">
        <v>0.71785326999999999</v>
      </c>
      <c r="D9" s="33">
        <f t="shared" ref="D9:D18" si="0">C9*$C$5</f>
        <v>3.2662323784999998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23</v>
      </c>
      <c r="C10" s="32">
        <v>4.8859930000000003E-2</v>
      </c>
      <c r="D10" s="33">
        <f t="shared" si="0"/>
        <v>0.2223126815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321</v>
      </c>
      <c r="C11" s="32">
        <v>0</v>
      </c>
      <c r="D11" s="33">
        <f t="shared" si="0"/>
        <v>0</v>
      </c>
      <c r="E11" s="34">
        <v>50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13</v>
      </c>
      <c r="C12" s="32">
        <v>2.4662630000000001E-2</v>
      </c>
      <c r="D12" s="33">
        <f t="shared" si="0"/>
        <v>0.1122149665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50</v>
      </c>
      <c r="C13" s="32">
        <v>2.4507520000000001E-2</v>
      </c>
      <c r="D13" s="33">
        <f t="shared" si="0"/>
        <v>0.11150921600000001</v>
      </c>
      <c r="E13" s="34">
        <v>90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8</v>
      </c>
      <c r="C14" s="32">
        <v>6.8403909999999998E-2</v>
      </c>
      <c r="D14" s="33">
        <f t="shared" si="0"/>
        <v>0.3112377905</v>
      </c>
      <c r="E14" s="34">
        <v>50</v>
      </c>
      <c r="F14" s="35" t="str">
        <f t="array" ref="F14">IF(E14="","",IF(INDEX(A:A,MAX(IF(ISNUMBER($A$166:$A$185),ROW($A$166:$A$185),"")))&lt;&gt;E14,"Corrigez : révolution incorrecte","OK"))</f>
        <v>OK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1</v>
      </c>
      <c r="C15" s="32">
        <v>1.70622E-2</v>
      </c>
      <c r="D15" s="33">
        <f t="shared" si="0"/>
        <v>7.7633009999999988E-2</v>
      </c>
      <c r="E15" s="34">
        <v>120</v>
      </c>
      <c r="F15" s="35" t="str">
        <f t="array" ref="F15">IF(E15="","",IF(INDEX(A:A,MAX(IF(ISNUMBER($A$192:$A$211),ROW($A$192:$A$211),"")))&lt;&gt;E15,"Corrigez : révolution incorrecte","OK"))</f>
        <v>OK</v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 t="s">
        <v>52</v>
      </c>
      <c r="C16" s="32">
        <v>1.70622E-2</v>
      </c>
      <c r="D16" s="33">
        <f t="shared" si="0"/>
        <v>7.7633009999999988E-2</v>
      </c>
      <c r="E16" s="34">
        <v>120</v>
      </c>
      <c r="F16" s="35" t="str">
        <f t="array" ref="F16">IF(E16="","",IF(INDEX(A:A,MAX(IF(ISNUMBER($A$218:$A$237),ROW($A$218:$A$237),"")))&lt;&gt;E16,"Corrigez : révolution incorrecte","OK"))</f>
        <v>OK</v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 t="s">
        <v>12</v>
      </c>
      <c r="C17" s="32">
        <v>3.2573289999999998E-2</v>
      </c>
      <c r="D17" s="33">
        <f t="shared" si="0"/>
        <v>0.1482084695</v>
      </c>
      <c r="E17" s="34">
        <v>120</v>
      </c>
      <c r="F17" s="35" t="str">
        <f t="array" ref="F17">IF(E17="","",IF(INDEX(A:A,MAX(IF(ISNUMBER($A$244:$A$263),ROW($A$244:$A$263),"")))&lt;&gt;E17,"Corrigez : révolution incorrecte","OK"))</f>
        <v>OK</v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0.95098495000000005</v>
      </c>
      <c r="D19" s="38">
        <f>SUM(D9:D18)</f>
        <v>4.3269815224999988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Chêne sessile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20</v>
      </c>
      <c r="B36" s="60">
        <v>42</v>
      </c>
      <c r="C36" s="60">
        <v>1</v>
      </c>
      <c r="D36" s="60">
        <v>0</v>
      </c>
      <c r="E36" s="51">
        <v>0</v>
      </c>
      <c r="F36" s="51"/>
      <c r="G36" s="51"/>
      <c r="H36" s="51">
        <v>1</v>
      </c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25</v>
      </c>
      <c r="B37" s="60">
        <v>70</v>
      </c>
      <c r="C37" s="60">
        <v>2</v>
      </c>
      <c r="D37" s="60">
        <v>0</v>
      </c>
      <c r="E37" s="51">
        <v>0</v>
      </c>
      <c r="F37" s="51"/>
      <c r="G37" s="51"/>
      <c r="H37" s="51">
        <v>1</v>
      </c>
      <c r="I37" s="53">
        <f t="shared" ref="I37:I55" si="1">IF(A37&lt;&gt;0,(B37-(B36-D36))/(A37-A36),"")</f>
        <v>5.6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30</v>
      </c>
      <c r="B38" s="60">
        <v>97</v>
      </c>
      <c r="C38" s="60">
        <v>3</v>
      </c>
      <c r="D38" s="60">
        <v>0</v>
      </c>
      <c r="E38" s="51">
        <v>0</v>
      </c>
      <c r="F38" s="51"/>
      <c r="G38" s="51"/>
      <c r="H38" s="51">
        <v>1</v>
      </c>
      <c r="I38" s="53">
        <f t="shared" si="1"/>
        <v>5.4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35</v>
      </c>
      <c r="B39" s="60">
        <v>116</v>
      </c>
      <c r="C39" s="60">
        <v>4</v>
      </c>
      <c r="D39" s="60">
        <v>21</v>
      </c>
      <c r="E39" s="51">
        <v>0</v>
      </c>
      <c r="F39" s="51"/>
      <c r="G39" s="51"/>
      <c r="H39" s="51">
        <v>1</v>
      </c>
      <c r="I39" s="49">
        <f t="shared" si="1"/>
        <v>3.8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40</v>
      </c>
      <c r="B40" s="60">
        <v>137</v>
      </c>
      <c r="C40" s="60">
        <v>5</v>
      </c>
      <c r="D40" s="60">
        <v>21</v>
      </c>
      <c r="E40" s="51">
        <v>0.2</v>
      </c>
      <c r="F40" s="51"/>
      <c r="G40" s="51"/>
      <c r="H40" s="51">
        <v>0.8</v>
      </c>
      <c r="I40" s="49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45</v>
      </c>
      <c r="B41" s="60">
        <v>158</v>
      </c>
      <c r="C41" s="60">
        <v>6</v>
      </c>
      <c r="D41" s="60">
        <v>21</v>
      </c>
      <c r="E41" s="51">
        <v>0.2</v>
      </c>
      <c r="F41" s="51"/>
      <c r="G41" s="51"/>
      <c r="H41" s="51">
        <v>0.8</v>
      </c>
      <c r="I41" s="53">
        <f t="shared" si="1"/>
        <v>8.4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50</v>
      </c>
      <c r="B42" s="60">
        <v>178</v>
      </c>
      <c r="C42" s="60">
        <v>7</v>
      </c>
      <c r="D42" s="60">
        <v>21</v>
      </c>
      <c r="E42" s="51">
        <v>0.3</v>
      </c>
      <c r="F42" s="51"/>
      <c r="G42" s="51"/>
      <c r="H42" s="51">
        <v>0.7</v>
      </c>
      <c r="I42" s="53">
        <f t="shared" si="1"/>
        <v>8.1999999999999993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55</v>
      </c>
      <c r="B43" s="60">
        <v>197</v>
      </c>
      <c r="C43" s="60">
        <v>8</v>
      </c>
      <c r="D43" s="60">
        <v>21</v>
      </c>
      <c r="E43" s="51">
        <v>0.3</v>
      </c>
      <c r="F43" s="51"/>
      <c r="G43" s="51"/>
      <c r="H43" s="51">
        <v>0.7</v>
      </c>
      <c r="I43" s="49">
        <f t="shared" si="1"/>
        <v>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60</v>
      </c>
      <c r="B44" s="60">
        <v>214</v>
      </c>
      <c r="C44" s="60">
        <v>9</v>
      </c>
      <c r="D44" s="60">
        <v>21</v>
      </c>
      <c r="E44" s="51">
        <v>0.4</v>
      </c>
      <c r="F44" s="51"/>
      <c r="G44" s="51"/>
      <c r="H44" s="51">
        <v>0.6</v>
      </c>
      <c r="I44" s="49">
        <f t="shared" si="1"/>
        <v>7.6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65</v>
      </c>
      <c r="B45" s="60">
        <v>229</v>
      </c>
      <c r="C45" s="60">
        <v>10</v>
      </c>
      <c r="D45" s="60">
        <v>21</v>
      </c>
      <c r="E45" s="51">
        <v>0.4</v>
      </c>
      <c r="F45" s="51"/>
      <c r="G45" s="51"/>
      <c r="H45" s="51">
        <v>0.6</v>
      </c>
      <c r="I45" s="49">
        <f t="shared" si="1"/>
        <v>7.2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70</v>
      </c>
      <c r="B46" s="60">
        <v>242</v>
      </c>
      <c r="C46" s="60">
        <v>11</v>
      </c>
      <c r="D46" s="60">
        <v>21</v>
      </c>
      <c r="E46" s="51">
        <v>0.5</v>
      </c>
      <c r="F46" s="51"/>
      <c r="G46" s="51"/>
      <c r="H46" s="51">
        <v>0.5</v>
      </c>
      <c r="I46" s="49">
        <f t="shared" si="1"/>
        <v>6.8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75</v>
      </c>
      <c r="B47" s="60">
        <v>252</v>
      </c>
      <c r="C47" s="60">
        <v>12</v>
      </c>
      <c r="D47" s="60">
        <v>21</v>
      </c>
      <c r="E47" s="51">
        <v>0.5</v>
      </c>
      <c r="F47" s="51"/>
      <c r="G47" s="51"/>
      <c r="H47" s="51">
        <v>0.5</v>
      </c>
      <c r="I47" s="49">
        <f t="shared" si="1"/>
        <v>6.2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80</v>
      </c>
      <c r="B48" s="60">
        <v>261</v>
      </c>
      <c r="C48" s="60">
        <v>13</v>
      </c>
      <c r="D48" s="60">
        <v>21</v>
      </c>
      <c r="E48" s="51">
        <v>0.6</v>
      </c>
      <c r="F48" s="51"/>
      <c r="G48" s="51"/>
      <c r="H48" s="51">
        <v>0.4</v>
      </c>
      <c r="I48" s="49">
        <f t="shared" si="1"/>
        <v>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85</v>
      </c>
      <c r="B49" s="60">
        <v>269</v>
      </c>
      <c r="C49" s="60">
        <v>14</v>
      </c>
      <c r="D49" s="60">
        <v>21</v>
      </c>
      <c r="E49" s="51">
        <v>0.6</v>
      </c>
      <c r="F49" s="51"/>
      <c r="G49" s="51"/>
      <c r="H49" s="51">
        <v>0.4</v>
      </c>
      <c r="I49" s="49">
        <f t="shared" si="1"/>
        <v>5.8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>
        <v>90</v>
      </c>
      <c r="B50" s="50">
        <v>275</v>
      </c>
      <c r="C50" s="50">
        <v>15</v>
      </c>
      <c r="D50" s="50">
        <v>21</v>
      </c>
      <c r="E50" s="51">
        <v>0.7</v>
      </c>
      <c r="F50" s="51"/>
      <c r="G50" s="51"/>
      <c r="H50" s="51">
        <v>0.3</v>
      </c>
      <c r="I50" s="49">
        <f t="shared" si="1"/>
        <v>5.4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>
        <v>100</v>
      </c>
      <c r="B51" s="50">
        <v>282</v>
      </c>
      <c r="C51" s="50">
        <v>16</v>
      </c>
      <c r="D51" s="50">
        <v>21</v>
      </c>
      <c r="E51" s="51">
        <v>0.7</v>
      </c>
      <c r="F51" s="51"/>
      <c r="G51" s="51"/>
      <c r="H51" s="51">
        <v>0.3</v>
      </c>
      <c r="I51" s="49">
        <f t="shared" si="1"/>
        <v>2.8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>
        <v>110</v>
      </c>
      <c r="B52" s="50">
        <v>285</v>
      </c>
      <c r="C52" s="50">
        <v>17</v>
      </c>
      <c r="D52" s="50">
        <v>19</v>
      </c>
      <c r="E52" s="51">
        <v>0.8</v>
      </c>
      <c r="F52" s="51"/>
      <c r="G52" s="51"/>
      <c r="H52" s="51">
        <v>0.2</v>
      </c>
      <c r="I52" s="49">
        <f t="shared" si="1"/>
        <v>2.4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>
        <v>120</v>
      </c>
      <c r="B53" s="50">
        <v>285</v>
      </c>
      <c r="C53" s="50">
        <v>18</v>
      </c>
      <c r="D53" s="50">
        <v>285</v>
      </c>
      <c r="E53" s="51">
        <v>0.8</v>
      </c>
      <c r="F53" s="51"/>
      <c r="G53" s="51"/>
      <c r="H53" s="51">
        <v>0.2</v>
      </c>
      <c r="I53" s="49">
        <f t="shared" si="1"/>
        <v>1.9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Erable sycomore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15</v>
      </c>
      <c r="B62" s="60">
        <v>37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2.4666666666666668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20</v>
      </c>
      <c r="B63" s="60">
        <v>80</v>
      </c>
      <c r="C63" s="60">
        <v>2</v>
      </c>
      <c r="D63" s="60">
        <v>0</v>
      </c>
      <c r="E63" s="51">
        <v>0</v>
      </c>
      <c r="F63" s="51"/>
      <c r="G63" s="51"/>
      <c r="H63" s="51">
        <v>1</v>
      </c>
      <c r="I63" s="49">
        <f>IF(A63&lt;&gt;0,(B63-(B62-D62))/(A63-A62),"")</f>
        <v>8.6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25</v>
      </c>
      <c r="B64" s="60">
        <v>115</v>
      </c>
      <c r="C64" s="60">
        <v>3</v>
      </c>
      <c r="D64" s="60">
        <v>0</v>
      </c>
      <c r="E64" s="51">
        <v>0</v>
      </c>
      <c r="F64" s="51"/>
      <c r="G64" s="51"/>
      <c r="H64" s="51">
        <v>1</v>
      </c>
      <c r="I64" s="49">
        <f>IF(A64&lt;&gt;0,(B64-(B63-D63))/(A64-A63),"")</f>
        <v>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30</v>
      </c>
      <c r="B65" s="60">
        <v>146</v>
      </c>
      <c r="C65" s="60">
        <v>4</v>
      </c>
      <c r="D65" s="60">
        <v>0</v>
      </c>
      <c r="E65" s="51">
        <v>0</v>
      </c>
      <c r="F65" s="51"/>
      <c r="G65" s="51"/>
      <c r="H65" s="51">
        <v>1</v>
      </c>
      <c r="I65" s="49">
        <f>IF(A65&lt;&gt;0,(B65-(B64-D64))/(A65-A64),"")</f>
        <v>6.2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35</v>
      </c>
      <c r="B66" s="60">
        <v>172</v>
      </c>
      <c r="C66" s="60">
        <v>5</v>
      </c>
      <c r="D66" s="60">
        <v>28</v>
      </c>
      <c r="E66" s="51">
        <v>0.2</v>
      </c>
      <c r="F66" s="51"/>
      <c r="G66" s="51"/>
      <c r="H66" s="51">
        <v>0.8</v>
      </c>
      <c r="I66" s="49">
        <f t="shared" ref="I66:I81" si="2">IF(A66&lt;&gt;0,(B66-(B65-D65))/(A66-A65),"")</f>
        <v>5.2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40</v>
      </c>
      <c r="B67" s="60">
        <v>192</v>
      </c>
      <c r="C67" s="60">
        <v>6</v>
      </c>
      <c r="D67" s="60">
        <v>28</v>
      </c>
      <c r="E67" s="51">
        <v>0.2</v>
      </c>
      <c r="F67" s="51"/>
      <c r="G67" s="51"/>
      <c r="H67" s="51">
        <v>0.8</v>
      </c>
      <c r="I67" s="49">
        <f t="shared" si="2"/>
        <v>9.6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45</v>
      </c>
      <c r="B68" s="60">
        <v>205</v>
      </c>
      <c r="C68" s="60">
        <v>7</v>
      </c>
      <c r="D68" s="60">
        <v>22</v>
      </c>
      <c r="E68" s="51">
        <v>0.3</v>
      </c>
      <c r="F68" s="51"/>
      <c r="G68" s="51"/>
      <c r="H68" s="51">
        <v>0.7</v>
      </c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50</v>
      </c>
      <c r="B69" s="50">
        <v>219</v>
      </c>
      <c r="C69" s="50">
        <v>8</v>
      </c>
      <c r="D69" s="50">
        <v>17</v>
      </c>
      <c r="E69" s="51">
        <v>0.3</v>
      </c>
      <c r="F69" s="51"/>
      <c r="G69" s="51"/>
      <c r="H69" s="51">
        <v>0.7</v>
      </c>
      <c r="I69" s="49">
        <f t="shared" si="2"/>
        <v>7.2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55</v>
      </c>
      <c r="B70" s="50">
        <v>232</v>
      </c>
      <c r="C70" s="50">
        <v>9</v>
      </c>
      <c r="D70" s="50">
        <v>13</v>
      </c>
      <c r="E70" s="51">
        <v>0.4</v>
      </c>
      <c r="F70" s="51"/>
      <c r="G70" s="51"/>
      <c r="H70" s="51">
        <v>0.6</v>
      </c>
      <c r="I70" s="49">
        <f t="shared" si="2"/>
        <v>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60</v>
      </c>
      <c r="B71" s="50">
        <v>245</v>
      </c>
      <c r="C71" s="50">
        <v>10</v>
      </c>
      <c r="D71" s="50">
        <v>12</v>
      </c>
      <c r="E71" s="51">
        <v>0.4</v>
      </c>
      <c r="F71" s="51"/>
      <c r="G71" s="51"/>
      <c r="H71" s="51">
        <v>0.6</v>
      </c>
      <c r="I71" s="49">
        <f t="shared" si="2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65</v>
      </c>
      <c r="B72" s="50">
        <v>255</v>
      </c>
      <c r="C72" s="50">
        <v>11</v>
      </c>
      <c r="D72" s="50">
        <v>11</v>
      </c>
      <c r="E72" s="51">
        <v>0.5</v>
      </c>
      <c r="F72" s="51"/>
      <c r="G72" s="51"/>
      <c r="H72" s="51">
        <v>0.5</v>
      </c>
      <c r="I72" s="49">
        <f t="shared" si="2"/>
        <v>4.4000000000000004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70</v>
      </c>
      <c r="B73" s="50">
        <v>263</v>
      </c>
      <c r="C73" s="50">
        <v>12</v>
      </c>
      <c r="D73" s="50">
        <v>10</v>
      </c>
      <c r="E73" s="51">
        <v>0.5</v>
      </c>
      <c r="F73" s="51"/>
      <c r="G73" s="51"/>
      <c r="H73" s="51">
        <v>0.5</v>
      </c>
      <c r="I73" s="49">
        <f t="shared" si="2"/>
        <v>3.8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75</v>
      </c>
      <c r="B74" s="50">
        <v>270</v>
      </c>
      <c r="C74" s="50">
        <v>13</v>
      </c>
      <c r="D74" s="50">
        <v>9</v>
      </c>
      <c r="E74" s="51">
        <v>0.6</v>
      </c>
      <c r="F74" s="51"/>
      <c r="G74" s="51"/>
      <c r="H74" s="51">
        <v>0.4</v>
      </c>
      <c r="I74" s="49">
        <f t="shared" si="2"/>
        <v>3.4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80</v>
      </c>
      <c r="B75" s="50">
        <v>275</v>
      </c>
      <c r="C75" s="50">
        <v>14</v>
      </c>
      <c r="D75" s="50">
        <v>275</v>
      </c>
      <c r="E75" s="51">
        <v>0.7</v>
      </c>
      <c r="F75" s="51"/>
      <c r="G75" s="51"/>
      <c r="H75" s="51">
        <v>0.3</v>
      </c>
      <c r="I75" s="49">
        <f t="shared" si="2"/>
        <v>2.8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Tulipier de Virginie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15</v>
      </c>
      <c r="B88" s="60">
        <v>52</v>
      </c>
      <c r="C88" s="60">
        <v>1</v>
      </c>
      <c r="D88" s="60">
        <v>8</v>
      </c>
      <c r="E88" s="51">
        <v>0</v>
      </c>
      <c r="F88" s="51"/>
      <c r="G88" s="51"/>
      <c r="H88" s="87">
        <v>1</v>
      </c>
      <c r="I88" s="53">
        <f>IFERROR(B88/A88,"")</f>
        <v>3.4666666666666668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20</v>
      </c>
      <c r="B89" s="60">
        <v>75</v>
      </c>
      <c r="C89" s="60">
        <v>2</v>
      </c>
      <c r="D89" s="60">
        <v>10</v>
      </c>
      <c r="E89" s="51">
        <v>0</v>
      </c>
      <c r="F89" s="51"/>
      <c r="G89" s="51"/>
      <c r="H89" s="87">
        <v>1</v>
      </c>
      <c r="I89" s="53">
        <f t="shared" ref="I89:I107" si="3">IF(A89&lt;&gt;0,(B89-(B88-D88))/(A89-A88),"")</f>
        <v>6.2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25</v>
      </c>
      <c r="B90" s="60">
        <v>99</v>
      </c>
      <c r="C90" s="60">
        <v>3</v>
      </c>
      <c r="D90" s="60">
        <v>12</v>
      </c>
      <c r="E90" s="87">
        <v>0</v>
      </c>
      <c r="F90" s="87"/>
      <c r="G90" s="87"/>
      <c r="H90" s="87">
        <v>1</v>
      </c>
      <c r="I90" s="53">
        <f t="shared" si="3"/>
        <v>6.8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30</v>
      </c>
      <c r="B91" s="60">
        <v>123</v>
      </c>
      <c r="C91" s="60">
        <v>4</v>
      </c>
      <c r="D91" s="60">
        <v>14</v>
      </c>
      <c r="E91" s="87">
        <v>0</v>
      </c>
      <c r="F91" s="87"/>
      <c r="G91" s="87"/>
      <c r="H91" s="87">
        <v>1</v>
      </c>
      <c r="I91" s="53">
        <f t="shared" si="3"/>
        <v>7.2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35</v>
      </c>
      <c r="B92" s="60">
        <v>146</v>
      </c>
      <c r="C92" s="60">
        <v>5</v>
      </c>
      <c r="D92" s="60">
        <v>15</v>
      </c>
      <c r="E92" s="87">
        <v>0.2</v>
      </c>
      <c r="F92" s="87"/>
      <c r="G92" s="87"/>
      <c r="H92" s="87">
        <v>0.89</v>
      </c>
      <c r="I92" s="53">
        <f t="shared" si="3"/>
        <v>7.4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40</v>
      </c>
      <c r="B93" s="60">
        <v>166</v>
      </c>
      <c r="C93" s="60">
        <v>6</v>
      </c>
      <c r="D93" s="60">
        <v>16</v>
      </c>
      <c r="E93" s="87">
        <v>0.3</v>
      </c>
      <c r="F93" s="87"/>
      <c r="G93" s="87"/>
      <c r="H93" s="87">
        <v>0.7</v>
      </c>
      <c r="I93" s="53">
        <f t="shared" si="3"/>
        <v>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45</v>
      </c>
      <c r="B94" s="60">
        <v>186</v>
      </c>
      <c r="C94" s="60">
        <v>7</v>
      </c>
      <c r="D94" s="60">
        <v>17</v>
      </c>
      <c r="E94" s="87">
        <v>0.4</v>
      </c>
      <c r="F94" s="87"/>
      <c r="G94" s="87"/>
      <c r="H94" s="87">
        <v>0.6</v>
      </c>
      <c r="I94" s="53">
        <f t="shared" si="3"/>
        <v>7.2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50</v>
      </c>
      <c r="B95" s="60">
        <v>203</v>
      </c>
      <c r="C95" s="60">
        <v>8</v>
      </c>
      <c r="D95" s="60">
        <v>203</v>
      </c>
      <c r="E95" s="87">
        <v>0.6</v>
      </c>
      <c r="F95" s="87"/>
      <c r="G95" s="87"/>
      <c r="H95" s="87">
        <v>0.4</v>
      </c>
      <c r="I95" s="53">
        <f t="shared" si="3"/>
        <v>6.8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Chêne rouge d'Amérique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10</v>
      </c>
      <c r="B114" s="60">
        <v>23</v>
      </c>
      <c r="C114" s="50">
        <v>1</v>
      </c>
      <c r="D114" s="60">
        <v>0</v>
      </c>
      <c r="E114" s="51">
        <v>0</v>
      </c>
      <c r="F114" s="51"/>
      <c r="G114" s="51"/>
      <c r="H114" s="51">
        <v>1</v>
      </c>
      <c r="I114" s="53">
        <f>IFERROR(B114/A114,"")</f>
        <v>2.2999999999999998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15</v>
      </c>
      <c r="B115" s="60">
        <v>60</v>
      </c>
      <c r="C115" s="50">
        <v>2</v>
      </c>
      <c r="D115" s="60">
        <v>0</v>
      </c>
      <c r="E115" s="51">
        <v>0</v>
      </c>
      <c r="F115" s="51"/>
      <c r="G115" s="51"/>
      <c r="H115" s="51">
        <v>1</v>
      </c>
      <c r="I115" s="53">
        <f t="shared" ref="I115:I133" si="4">IF(A115&lt;&gt;0,(B115-(B114-D114))/(A115-A114),"")</f>
        <v>7.4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20</v>
      </c>
      <c r="B116" s="60">
        <v>108</v>
      </c>
      <c r="C116" s="50">
        <v>3</v>
      </c>
      <c r="D116" s="60">
        <v>0</v>
      </c>
      <c r="E116" s="51">
        <v>0</v>
      </c>
      <c r="F116" s="51"/>
      <c r="G116" s="51"/>
      <c r="H116" s="51">
        <v>1</v>
      </c>
      <c r="I116" s="53">
        <f t="shared" si="4"/>
        <v>9.6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25</v>
      </c>
      <c r="B117" s="60">
        <v>113</v>
      </c>
      <c r="C117" s="50">
        <v>4</v>
      </c>
      <c r="D117" s="60">
        <v>0</v>
      </c>
      <c r="E117" s="51">
        <v>0</v>
      </c>
      <c r="F117" s="51"/>
      <c r="G117" s="51"/>
      <c r="H117" s="51">
        <v>1</v>
      </c>
      <c r="I117" s="53">
        <f t="shared" si="4"/>
        <v>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30</v>
      </c>
      <c r="B118" s="60">
        <v>135</v>
      </c>
      <c r="C118" s="50">
        <v>5</v>
      </c>
      <c r="D118" s="60">
        <v>0</v>
      </c>
      <c r="E118" s="51">
        <v>0.2</v>
      </c>
      <c r="F118" s="51"/>
      <c r="G118" s="51"/>
      <c r="H118" s="51">
        <v>0.8</v>
      </c>
      <c r="I118" s="53">
        <f t="shared" si="4"/>
        <v>4.4000000000000004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35</v>
      </c>
      <c r="B119" s="60">
        <v>153</v>
      </c>
      <c r="C119" s="50">
        <v>6</v>
      </c>
      <c r="D119" s="60">
        <v>24</v>
      </c>
      <c r="E119" s="51">
        <v>0.2</v>
      </c>
      <c r="F119" s="51"/>
      <c r="G119" s="51"/>
      <c r="H119" s="51">
        <v>0.8</v>
      </c>
      <c r="I119" s="53">
        <f t="shared" si="4"/>
        <v>3.6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40</v>
      </c>
      <c r="B120" s="60">
        <v>168</v>
      </c>
      <c r="C120" s="60">
        <v>7</v>
      </c>
      <c r="D120" s="60">
        <v>23</v>
      </c>
      <c r="E120" s="87">
        <v>0.3</v>
      </c>
      <c r="F120" s="87"/>
      <c r="G120" s="87"/>
      <c r="H120" s="87">
        <v>0.7</v>
      </c>
      <c r="I120" s="53">
        <f t="shared" si="4"/>
        <v>7.8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45</v>
      </c>
      <c r="B121" s="60">
        <v>180</v>
      </c>
      <c r="C121" s="60">
        <v>8</v>
      </c>
      <c r="D121" s="60">
        <v>22</v>
      </c>
      <c r="E121" s="87">
        <v>0.3</v>
      </c>
      <c r="F121" s="87"/>
      <c r="G121" s="87"/>
      <c r="H121" s="87">
        <v>0.7</v>
      </c>
      <c r="I121" s="53">
        <f t="shared" si="4"/>
        <v>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>
        <v>50</v>
      </c>
      <c r="B122" s="60">
        <v>191</v>
      </c>
      <c r="C122" s="60">
        <v>9</v>
      </c>
      <c r="D122" s="60">
        <v>21</v>
      </c>
      <c r="E122" s="87">
        <v>0.4</v>
      </c>
      <c r="F122" s="87"/>
      <c r="G122" s="87"/>
      <c r="H122" s="87">
        <v>0.6</v>
      </c>
      <c r="I122" s="53">
        <f t="shared" si="4"/>
        <v>6.6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>
        <v>55</v>
      </c>
      <c r="B123" s="60">
        <v>201</v>
      </c>
      <c r="C123" s="60">
        <v>10</v>
      </c>
      <c r="D123" s="60">
        <v>20</v>
      </c>
      <c r="E123" s="87">
        <v>0.4</v>
      </c>
      <c r="F123" s="87"/>
      <c r="G123" s="87"/>
      <c r="H123" s="87">
        <v>0.6</v>
      </c>
      <c r="I123" s="53">
        <f t="shared" si="4"/>
        <v>6.2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>
        <v>60</v>
      </c>
      <c r="B124" s="60">
        <v>207</v>
      </c>
      <c r="C124" s="60">
        <v>11</v>
      </c>
      <c r="D124" s="60">
        <v>18</v>
      </c>
      <c r="E124" s="87">
        <v>0.5</v>
      </c>
      <c r="F124" s="87"/>
      <c r="G124" s="87"/>
      <c r="H124" s="87">
        <v>0.5</v>
      </c>
      <c r="I124" s="53">
        <f t="shared" si="4"/>
        <v>5.2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>
        <v>65</v>
      </c>
      <c r="B125" s="60">
        <v>214</v>
      </c>
      <c r="C125" s="60">
        <v>12</v>
      </c>
      <c r="D125" s="60">
        <v>17</v>
      </c>
      <c r="E125" s="87">
        <v>0.5</v>
      </c>
      <c r="F125" s="87"/>
      <c r="G125" s="87"/>
      <c r="H125" s="87">
        <v>0.5</v>
      </c>
      <c r="I125" s="53">
        <f t="shared" si="4"/>
        <v>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>
        <v>70</v>
      </c>
      <c r="B126" s="60">
        <v>220</v>
      </c>
      <c r="C126" s="60">
        <v>13</v>
      </c>
      <c r="D126" s="60">
        <v>16</v>
      </c>
      <c r="E126" s="65">
        <v>0.6</v>
      </c>
      <c r="F126" s="65"/>
      <c r="G126" s="65"/>
      <c r="H126" s="65">
        <v>0.4</v>
      </c>
      <c r="I126" s="53">
        <f t="shared" si="4"/>
        <v>4.5999999999999996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>
        <v>75</v>
      </c>
      <c r="B127" s="60">
        <v>223</v>
      </c>
      <c r="C127" s="60">
        <v>14</v>
      </c>
      <c r="D127" s="60">
        <v>14</v>
      </c>
      <c r="E127" s="65">
        <v>0.6</v>
      </c>
      <c r="F127" s="65"/>
      <c r="G127" s="65"/>
      <c r="H127" s="65">
        <v>0.4</v>
      </c>
      <c r="I127" s="53">
        <f t="shared" si="4"/>
        <v>3.8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>
        <v>80</v>
      </c>
      <c r="B128" s="50">
        <v>227</v>
      </c>
      <c r="C128" s="50">
        <v>15</v>
      </c>
      <c r="D128" s="50">
        <v>13</v>
      </c>
      <c r="E128" s="54">
        <v>0.7</v>
      </c>
      <c r="F128" s="54"/>
      <c r="G128" s="54"/>
      <c r="H128" s="54">
        <v>0.3</v>
      </c>
      <c r="I128" s="53">
        <f t="shared" si="4"/>
        <v>3.6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>
        <v>85</v>
      </c>
      <c r="B129" s="50">
        <v>230</v>
      </c>
      <c r="C129" s="50">
        <v>16</v>
      </c>
      <c r="D129" s="50">
        <v>12</v>
      </c>
      <c r="E129" s="54">
        <v>0.7</v>
      </c>
      <c r="F129" s="54"/>
      <c r="G129" s="54"/>
      <c r="H129" s="54">
        <v>0.3</v>
      </c>
      <c r="I129" s="53">
        <f t="shared" si="4"/>
        <v>3.2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>
        <v>90</v>
      </c>
      <c r="B130" s="50">
        <v>233</v>
      </c>
      <c r="C130" s="50">
        <v>17</v>
      </c>
      <c r="D130" s="50">
        <v>233</v>
      </c>
      <c r="E130" s="54">
        <v>0.8</v>
      </c>
      <c r="F130" s="54"/>
      <c r="G130" s="54"/>
      <c r="H130" s="54">
        <v>0.2</v>
      </c>
      <c r="I130" s="53">
        <f t="shared" si="4"/>
        <v>3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Tilleul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25</v>
      </c>
      <c r="B140" s="60">
        <v>30</v>
      </c>
      <c r="C140" s="50">
        <v>1</v>
      </c>
      <c r="D140" s="60">
        <v>0</v>
      </c>
      <c r="E140" s="51">
        <v>0</v>
      </c>
      <c r="F140" s="51"/>
      <c r="G140" s="51"/>
      <c r="H140" s="51">
        <v>1</v>
      </c>
      <c r="I140" s="57">
        <f>IFERROR(B140/A140,"")</f>
        <v>1.2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30</v>
      </c>
      <c r="B141" s="60">
        <v>54</v>
      </c>
      <c r="C141" s="50">
        <v>2</v>
      </c>
      <c r="D141" s="60">
        <v>0</v>
      </c>
      <c r="E141" s="51">
        <v>0</v>
      </c>
      <c r="F141" s="51"/>
      <c r="G141" s="51"/>
      <c r="H141" s="51">
        <v>1</v>
      </c>
      <c r="I141" s="57">
        <f t="shared" ref="I141:I159" si="5">IF(A141&lt;&gt;0,(B141-(B140-D140))/(A141-A140),"")</f>
        <v>4.8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35</v>
      </c>
      <c r="B142" s="60">
        <v>79</v>
      </c>
      <c r="C142" s="50">
        <v>3</v>
      </c>
      <c r="D142" s="60">
        <v>13</v>
      </c>
      <c r="E142" s="51">
        <v>0</v>
      </c>
      <c r="F142" s="51"/>
      <c r="G142" s="51"/>
      <c r="H142" s="51">
        <v>1</v>
      </c>
      <c r="I142" s="57">
        <f t="shared" si="5"/>
        <v>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40</v>
      </c>
      <c r="B143" s="60">
        <v>93</v>
      </c>
      <c r="C143" s="50">
        <v>4</v>
      </c>
      <c r="D143" s="60">
        <v>14</v>
      </c>
      <c r="E143" s="51">
        <v>0.2</v>
      </c>
      <c r="F143" s="51"/>
      <c r="G143" s="51"/>
      <c r="H143" s="51">
        <v>0.8</v>
      </c>
      <c r="I143" s="57">
        <f t="shared" si="5"/>
        <v>5.4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45</v>
      </c>
      <c r="B144" s="60">
        <v>107</v>
      </c>
      <c r="C144" s="50">
        <v>5</v>
      </c>
      <c r="D144" s="60">
        <v>14</v>
      </c>
      <c r="E144" s="51">
        <v>0.2</v>
      </c>
      <c r="F144" s="51"/>
      <c r="G144" s="51"/>
      <c r="H144" s="51">
        <v>0.8</v>
      </c>
      <c r="I144" s="57">
        <f t="shared" si="5"/>
        <v>5.6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50</v>
      </c>
      <c r="B145" s="60">
        <v>121</v>
      </c>
      <c r="C145" s="50">
        <v>6</v>
      </c>
      <c r="D145" s="60">
        <v>14</v>
      </c>
      <c r="E145" s="51">
        <v>0.2</v>
      </c>
      <c r="F145" s="51"/>
      <c r="G145" s="51"/>
      <c r="H145" s="51">
        <v>0.8</v>
      </c>
      <c r="I145" s="57">
        <f t="shared" si="5"/>
        <v>5.6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55</v>
      </c>
      <c r="B146" s="60">
        <v>135</v>
      </c>
      <c r="C146" s="50">
        <v>7</v>
      </c>
      <c r="D146" s="60">
        <v>14</v>
      </c>
      <c r="E146" s="51">
        <v>0.3</v>
      </c>
      <c r="F146" s="51"/>
      <c r="G146" s="51"/>
      <c r="H146" s="51">
        <v>0.7</v>
      </c>
      <c r="I146" s="57">
        <f t="shared" si="5"/>
        <v>5.6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60</v>
      </c>
      <c r="B147" s="60">
        <v>148</v>
      </c>
      <c r="C147" s="50">
        <v>8</v>
      </c>
      <c r="D147" s="60">
        <v>14</v>
      </c>
      <c r="E147" s="51">
        <v>0.3</v>
      </c>
      <c r="F147" s="51"/>
      <c r="G147" s="51"/>
      <c r="H147" s="51">
        <v>0.7</v>
      </c>
      <c r="I147" s="57">
        <f>IF(A147&lt;&gt;0,(B147-(B146-D146))/(A147-A146),"")</f>
        <v>5.4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65</v>
      </c>
      <c r="B148" s="60">
        <v>161</v>
      </c>
      <c r="C148" s="50">
        <v>9</v>
      </c>
      <c r="D148" s="60">
        <v>14</v>
      </c>
      <c r="E148" s="51">
        <v>0.4</v>
      </c>
      <c r="F148" s="51"/>
      <c r="G148" s="51"/>
      <c r="H148" s="51">
        <v>0.6</v>
      </c>
      <c r="I148" s="57">
        <f t="shared" si="5"/>
        <v>5.4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70</v>
      </c>
      <c r="B149" s="60">
        <v>172</v>
      </c>
      <c r="C149" s="50">
        <v>10</v>
      </c>
      <c r="D149" s="60">
        <v>14</v>
      </c>
      <c r="E149" s="51">
        <v>0.5</v>
      </c>
      <c r="F149" s="51"/>
      <c r="G149" s="51"/>
      <c r="H149" s="51">
        <v>0.5</v>
      </c>
      <c r="I149" s="57">
        <f t="shared" si="5"/>
        <v>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75</v>
      </c>
      <c r="B150" s="60">
        <v>183</v>
      </c>
      <c r="C150" s="50">
        <v>11</v>
      </c>
      <c r="D150" s="60">
        <v>14</v>
      </c>
      <c r="E150" s="51">
        <v>0.6</v>
      </c>
      <c r="F150" s="51"/>
      <c r="G150" s="51"/>
      <c r="H150" s="51">
        <v>0.4</v>
      </c>
      <c r="I150" s="57">
        <f t="shared" si="5"/>
        <v>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80</v>
      </c>
      <c r="B151" s="60">
        <v>192</v>
      </c>
      <c r="C151" s="50">
        <v>12</v>
      </c>
      <c r="D151" s="60">
        <v>14</v>
      </c>
      <c r="E151" s="51">
        <v>0.7</v>
      </c>
      <c r="F151" s="51"/>
      <c r="G151" s="51"/>
      <c r="H151" s="51">
        <v>0.3</v>
      </c>
      <c r="I151" s="57">
        <f t="shared" si="5"/>
        <v>4.5999999999999996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>
        <v>85</v>
      </c>
      <c r="B152" s="60">
        <v>200</v>
      </c>
      <c r="C152" s="50">
        <v>13</v>
      </c>
      <c r="D152" s="60">
        <v>14</v>
      </c>
      <c r="E152" s="54">
        <v>0.8</v>
      </c>
      <c r="F152" s="54"/>
      <c r="G152" s="54"/>
      <c r="H152" s="54">
        <v>0.2</v>
      </c>
      <c r="I152" s="57">
        <f t="shared" si="5"/>
        <v>4.4000000000000004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>
        <v>90</v>
      </c>
      <c r="B153" s="60">
        <v>207</v>
      </c>
      <c r="C153" s="50">
        <v>14</v>
      </c>
      <c r="D153" s="60">
        <v>207</v>
      </c>
      <c r="E153" s="54">
        <v>0.8</v>
      </c>
      <c r="F153" s="54"/>
      <c r="G153" s="54"/>
      <c r="H153" s="54">
        <v>0.2</v>
      </c>
      <c r="I153" s="57">
        <f t="shared" si="5"/>
        <v>4.2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Châtaignier</v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>
        <v>10</v>
      </c>
      <c r="B166" s="60">
        <v>11</v>
      </c>
      <c r="C166" s="60">
        <v>1</v>
      </c>
      <c r="D166" s="60">
        <v>0</v>
      </c>
      <c r="E166" s="51">
        <v>0</v>
      </c>
      <c r="F166" s="51"/>
      <c r="G166" s="51"/>
      <c r="H166" s="51">
        <v>0</v>
      </c>
      <c r="I166" s="49">
        <f>IFERROR(B166/A166,"")</f>
        <v>1.1000000000000001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>
        <v>15</v>
      </c>
      <c r="B167" s="60">
        <v>65</v>
      </c>
      <c r="C167" s="60">
        <v>2</v>
      </c>
      <c r="D167" s="60">
        <v>0</v>
      </c>
      <c r="E167" s="51">
        <v>0</v>
      </c>
      <c r="F167" s="51"/>
      <c r="G167" s="51"/>
      <c r="H167" s="51">
        <v>0</v>
      </c>
      <c r="I167" s="49">
        <f t="shared" ref="I167:I185" si="6">IF(A167&lt;&gt;0,(B167-(B166-D166))/(A167-A166),"")</f>
        <v>10.8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>
        <v>20</v>
      </c>
      <c r="B168" s="60">
        <v>102</v>
      </c>
      <c r="C168" s="60">
        <v>3</v>
      </c>
      <c r="D168" s="60">
        <v>0</v>
      </c>
      <c r="E168" s="51">
        <v>0.2</v>
      </c>
      <c r="F168" s="51"/>
      <c r="G168" s="51"/>
      <c r="H168" s="51">
        <v>0.8</v>
      </c>
      <c r="I168" s="49">
        <f t="shared" si="6"/>
        <v>7.4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>
        <v>25</v>
      </c>
      <c r="B169" s="60">
        <v>141</v>
      </c>
      <c r="C169" s="60">
        <v>4</v>
      </c>
      <c r="D169" s="60">
        <v>0</v>
      </c>
      <c r="E169" s="51">
        <v>0.2</v>
      </c>
      <c r="F169" s="51"/>
      <c r="G169" s="51"/>
      <c r="H169" s="51">
        <v>0.8</v>
      </c>
      <c r="I169" s="49">
        <f t="shared" si="6"/>
        <v>7.8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>
        <v>30</v>
      </c>
      <c r="B170" s="60">
        <v>177</v>
      </c>
      <c r="C170" s="60">
        <v>5</v>
      </c>
      <c r="D170" s="60">
        <v>0</v>
      </c>
      <c r="E170" s="51">
        <v>0.3</v>
      </c>
      <c r="F170" s="51"/>
      <c r="G170" s="51"/>
      <c r="H170" s="51">
        <v>0.7</v>
      </c>
      <c r="I170" s="49">
        <f t="shared" si="6"/>
        <v>7.2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>
        <v>35</v>
      </c>
      <c r="B171" s="60">
        <v>206</v>
      </c>
      <c r="C171" s="60">
        <v>6</v>
      </c>
      <c r="D171" s="60">
        <v>35</v>
      </c>
      <c r="E171" s="51">
        <v>0.4</v>
      </c>
      <c r="F171" s="51"/>
      <c r="G171" s="51"/>
      <c r="H171" s="51">
        <v>0.6</v>
      </c>
      <c r="I171" s="49">
        <f t="shared" si="6"/>
        <v>5.8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>
        <v>40</v>
      </c>
      <c r="B172" s="60">
        <v>228</v>
      </c>
      <c r="C172" s="60">
        <v>7</v>
      </c>
      <c r="D172" s="60">
        <v>35</v>
      </c>
      <c r="E172" s="51">
        <v>0.5</v>
      </c>
      <c r="F172" s="51"/>
      <c r="G172" s="51"/>
      <c r="H172" s="51">
        <v>0.5</v>
      </c>
      <c r="I172" s="49">
        <f t="shared" si="6"/>
        <v>11.4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>
        <v>45</v>
      </c>
      <c r="B173" s="50">
        <v>242</v>
      </c>
      <c r="C173" s="50">
        <v>8</v>
      </c>
      <c r="D173" s="50">
        <v>24</v>
      </c>
      <c r="E173" s="51">
        <v>0.6</v>
      </c>
      <c r="F173" s="51"/>
      <c r="G173" s="51"/>
      <c r="H173" s="51">
        <v>0.4</v>
      </c>
      <c r="I173" s="49">
        <f t="shared" si="6"/>
        <v>9.8000000000000007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>
        <v>50</v>
      </c>
      <c r="B174" s="50">
        <v>261</v>
      </c>
      <c r="C174" s="50">
        <v>9</v>
      </c>
      <c r="D174" s="50">
        <v>261</v>
      </c>
      <c r="E174" s="51">
        <v>0.7</v>
      </c>
      <c r="F174" s="51"/>
      <c r="G174" s="51"/>
      <c r="H174" s="51">
        <v>0.3</v>
      </c>
      <c r="I174" s="49">
        <f t="shared" si="6"/>
        <v>8.6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>Alisier torminal</v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>
        <v>25</v>
      </c>
      <c r="B192" s="60">
        <v>30</v>
      </c>
      <c r="C192" s="60">
        <v>1</v>
      </c>
      <c r="D192" s="60">
        <v>0</v>
      </c>
      <c r="E192" s="51">
        <v>0</v>
      </c>
      <c r="F192" s="51"/>
      <c r="G192" s="51"/>
      <c r="H192" s="51">
        <v>1</v>
      </c>
      <c r="I192" s="49">
        <f>IFERROR(B192/A192,"")</f>
        <v>1.2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>
        <v>30</v>
      </c>
      <c r="B193" s="60">
        <v>54</v>
      </c>
      <c r="C193" s="60">
        <v>2</v>
      </c>
      <c r="D193" s="60">
        <v>0</v>
      </c>
      <c r="E193" s="51">
        <v>0</v>
      </c>
      <c r="F193" s="51"/>
      <c r="G193" s="51"/>
      <c r="H193" s="51">
        <v>1</v>
      </c>
      <c r="I193" s="49">
        <f t="shared" ref="I193:I211" si="7">IF(A193&lt;&gt;0,(B193-(B192-D192))/(A193-A192),"")</f>
        <v>4.8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>
        <v>35</v>
      </c>
      <c r="B194" s="60">
        <v>79</v>
      </c>
      <c r="C194" s="60">
        <v>3</v>
      </c>
      <c r="D194" s="60">
        <v>13</v>
      </c>
      <c r="E194" s="51">
        <v>0</v>
      </c>
      <c r="F194" s="51"/>
      <c r="G194" s="51"/>
      <c r="H194" s="51">
        <v>1</v>
      </c>
      <c r="I194" s="49">
        <f t="shared" si="7"/>
        <v>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>
        <v>40</v>
      </c>
      <c r="B195" s="60">
        <v>93</v>
      </c>
      <c r="C195" s="60">
        <v>4</v>
      </c>
      <c r="D195" s="60">
        <v>14</v>
      </c>
      <c r="E195" s="51">
        <v>0</v>
      </c>
      <c r="F195" s="51"/>
      <c r="G195" s="51"/>
      <c r="H195" s="51">
        <v>1</v>
      </c>
      <c r="I195" s="49">
        <f t="shared" si="7"/>
        <v>5.4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>
        <v>45</v>
      </c>
      <c r="B196" s="60">
        <v>107</v>
      </c>
      <c r="C196" s="60">
        <v>5</v>
      </c>
      <c r="D196" s="60">
        <v>14</v>
      </c>
      <c r="E196" s="51">
        <v>0</v>
      </c>
      <c r="F196" s="51"/>
      <c r="G196" s="51"/>
      <c r="H196" s="51">
        <v>1</v>
      </c>
      <c r="I196" s="49">
        <f t="shared" si="7"/>
        <v>5.6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>
        <v>50</v>
      </c>
      <c r="B197" s="60">
        <v>121</v>
      </c>
      <c r="C197" s="60">
        <v>6</v>
      </c>
      <c r="D197" s="60">
        <v>14</v>
      </c>
      <c r="E197" s="51">
        <v>0</v>
      </c>
      <c r="F197" s="51"/>
      <c r="G197" s="51"/>
      <c r="H197" s="51">
        <v>1</v>
      </c>
      <c r="I197" s="49">
        <f t="shared" si="7"/>
        <v>5.6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>
        <v>55</v>
      </c>
      <c r="B198" s="60">
        <v>135</v>
      </c>
      <c r="C198" s="60">
        <v>7</v>
      </c>
      <c r="D198" s="60">
        <v>14</v>
      </c>
      <c r="E198" s="51">
        <v>0</v>
      </c>
      <c r="F198" s="51"/>
      <c r="G198" s="51"/>
      <c r="H198" s="51">
        <v>1</v>
      </c>
      <c r="I198" s="49">
        <f t="shared" si="7"/>
        <v>5.6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>
        <v>60</v>
      </c>
      <c r="B199" s="50">
        <v>148</v>
      </c>
      <c r="C199" s="50">
        <v>8</v>
      </c>
      <c r="D199" s="50">
        <v>14</v>
      </c>
      <c r="E199" s="51">
        <v>0</v>
      </c>
      <c r="F199" s="51"/>
      <c r="G199" s="51"/>
      <c r="H199" s="51">
        <v>1</v>
      </c>
      <c r="I199" s="49">
        <f t="shared" si="7"/>
        <v>5.4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>
        <v>65</v>
      </c>
      <c r="B200" s="50">
        <v>161</v>
      </c>
      <c r="C200" s="50">
        <v>9</v>
      </c>
      <c r="D200" s="50">
        <v>14</v>
      </c>
      <c r="E200" s="51">
        <v>0</v>
      </c>
      <c r="F200" s="51"/>
      <c r="G200" s="51"/>
      <c r="H200" s="51">
        <v>1</v>
      </c>
      <c r="I200" s="49">
        <f t="shared" si="7"/>
        <v>5.4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>
        <v>70</v>
      </c>
      <c r="B201" s="50">
        <v>172</v>
      </c>
      <c r="C201" s="50">
        <v>10</v>
      </c>
      <c r="D201" s="50">
        <v>14</v>
      </c>
      <c r="E201" s="51">
        <v>0</v>
      </c>
      <c r="F201" s="51"/>
      <c r="G201" s="51"/>
      <c r="H201" s="51">
        <v>1</v>
      </c>
      <c r="I201" s="49">
        <f t="shared" si="7"/>
        <v>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>
        <v>75</v>
      </c>
      <c r="B202" s="50">
        <v>183</v>
      </c>
      <c r="C202" s="50">
        <v>11</v>
      </c>
      <c r="D202" s="50">
        <v>14</v>
      </c>
      <c r="E202" s="51">
        <v>0</v>
      </c>
      <c r="F202" s="51"/>
      <c r="G202" s="51"/>
      <c r="H202" s="51">
        <v>1</v>
      </c>
      <c r="I202" s="49">
        <f t="shared" si="7"/>
        <v>5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>
        <v>80</v>
      </c>
      <c r="B203" s="50">
        <v>192</v>
      </c>
      <c r="C203" s="50">
        <v>12</v>
      </c>
      <c r="D203" s="50">
        <v>14</v>
      </c>
      <c r="E203" s="51">
        <v>0.3</v>
      </c>
      <c r="F203" s="51"/>
      <c r="G203" s="51"/>
      <c r="H203" s="51">
        <v>0.7</v>
      </c>
      <c r="I203" s="49">
        <f t="shared" si="7"/>
        <v>4.5999999999999996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>
        <v>85</v>
      </c>
      <c r="B204" s="50">
        <v>200</v>
      </c>
      <c r="C204" s="50">
        <v>13</v>
      </c>
      <c r="D204" s="50">
        <v>14</v>
      </c>
      <c r="E204" s="51">
        <v>0.4</v>
      </c>
      <c r="F204" s="51"/>
      <c r="G204" s="51"/>
      <c r="H204" s="51">
        <v>0.6</v>
      </c>
      <c r="I204" s="49">
        <f t="shared" si="7"/>
        <v>4.4000000000000004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>
        <v>90</v>
      </c>
      <c r="B205" s="50">
        <v>207</v>
      </c>
      <c r="C205" s="50">
        <v>14</v>
      </c>
      <c r="D205" s="50">
        <v>14</v>
      </c>
      <c r="E205" s="51">
        <v>0.5</v>
      </c>
      <c r="F205" s="51"/>
      <c r="G205" s="51"/>
      <c r="H205" s="51">
        <v>0.5</v>
      </c>
      <c r="I205" s="49">
        <f t="shared" si="7"/>
        <v>4.2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>
        <v>100</v>
      </c>
      <c r="B206" s="50">
        <v>216</v>
      </c>
      <c r="C206" s="50">
        <v>16</v>
      </c>
      <c r="D206" s="50">
        <v>14</v>
      </c>
      <c r="E206" s="51">
        <v>0.6</v>
      </c>
      <c r="F206" s="51"/>
      <c r="G206" s="51"/>
      <c r="H206" s="51">
        <v>0.4</v>
      </c>
      <c r="I206" s="49">
        <f t="shared" si="7"/>
        <v>2.2999999999999998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>
        <v>110</v>
      </c>
      <c r="B207" s="50">
        <v>219</v>
      </c>
      <c r="C207" s="50">
        <v>18</v>
      </c>
      <c r="D207" s="50">
        <v>13</v>
      </c>
      <c r="E207" s="51">
        <v>0.7</v>
      </c>
      <c r="F207" s="51"/>
      <c r="G207" s="51"/>
      <c r="H207" s="51">
        <v>0.3</v>
      </c>
      <c r="I207" s="49">
        <f t="shared" si="7"/>
        <v>1.7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>
        <v>120</v>
      </c>
      <c r="B208" s="50">
        <v>221</v>
      </c>
      <c r="C208" s="50">
        <v>20</v>
      </c>
      <c r="D208" s="50">
        <v>221</v>
      </c>
      <c r="E208" s="51">
        <v>0.8</v>
      </c>
      <c r="F208" s="51"/>
      <c r="G208" s="51"/>
      <c r="H208" s="51">
        <v>0.2</v>
      </c>
      <c r="I208" s="49">
        <f t="shared" si="7"/>
        <v>1.5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>Cormier</v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>
        <v>25</v>
      </c>
      <c r="B218" s="60">
        <v>30</v>
      </c>
      <c r="C218" s="50">
        <v>1</v>
      </c>
      <c r="D218" s="60">
        <v>0</v>
      </c>
      <c r="E218" s="63">
        <v>0</v>
      </c>
      <c r="F218" s="63"/>
      <c r="G218" s="63"/>
      <c r="H218" s="63">
        <v>1</v>
      </c>
      <c r="I218" s="53">
        <f>IFERROR(B218/A218,"")</f>
        <v>1.2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>
        <v>30</v>
      </c>
      <c r="B219" s="60">
        <v>54</v>
      </c>
      <c r="C219" s="50">
        <v>2</v>
      </c>
      <c r="D219" s="60">
        <v>0</v>
      </c>
      <c r="E219" s="63">
        <v>0</v>
      </c>
      <c r="F219" s="63"/>
      <c r="G219" s="63"/>
      <c r="H219" s="63">
        <v>1</v>
      </c>
      <c r="I219" s="53">
        <f t="shared" ref="I219:I237" si="8">IF(A219&lt;&gt;0,(B219-(B218-D218))/(A219-A218),"")</f>
        <v>4.8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>
        <v>35</v>
      </c>
      <c r="B220" s="60">
        <v>79</v>
      </c>
      <c r="C220" s="50">
        <v>3</v>
      </c>
      <c r="D220" s="60">
        <v>13</v>
      </c>
      <c r="E220" s="63">
        <v>0</v>
      </c>
      <c r="F220" s="63"/>
      <c r="G220" s="63"/>
      <c r="H220" s="63">
        <v>1</v>
      </c>
      <c r="I220" s="53">
        <f t="shared" si="8"/>
        <v>5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>
        <v>40</v>
      </c>
      <c r="B221" s="55">
        <v>93</v>
      </c>
      <c r="C221" s="55">
        <v>4</v>
      </c>
      <c r="D221" s="55">
        <v>14</v>
      </c>
      <c r="E221" s="63">
        <v>0.2</v>
      </c>
      <c r="F221" s="63"/>
      <c r="G221" s="63"/>
      <c r="H221" s="63">
        <v>0.8</v>
      </c>
      <c r="I221" s="53">
        <f t="shared" si="8"/>
        <v>5.4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>
        <v>45</v>
      </c>
      <c r="B222" s="55">
        <v>107</v>
      </c>
      <c r="C222" s="55">
        <v>5</v>
      </c>
      <c r="D222" s="55">
        <v>14</v>
      </c>
      <c r="E222" s="63">
        <v>0.2</v>
      </c>
      <c r="F222" s="63"/>
      <c r="G222" s="63"/>
      <c r="H222" s="63">
        <v>0.8</v>
      </c>
      <c r="I222" s="53">
        <f t="shared" si="8"/>
        <v>5.6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>
        <v>50</v>
      </c>
      <c r="B223" s="55">
        <v>121</v>
      </c>
      <c r="C223" s="55">
        <v>6</v>
      </c>
      <c r="D223" s="55">
        <v>14</v>
      </c>
      <c r="E223" s="63">
        <v>0.2</v>
      </c>
      <c r="F223" s="63"/>
      <c r="G223" s="63"/>
      <c r="H223" s="63">
        <v>0.8</v>
      </c>
      <c r="I223" s="53">
        <f t="shared" si="8"/>
        <v>5.6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>
        <v>55</v>
      </c>
      <c r="B224" s="55">
        <v>135</v>
      </c>
      <c r="C224" s="55">
        <v>7</v>
      </c>
      <c r="D224" s="55">
        <v>14</v>
      </c>
      <c r="E224" s="63">
        <v>0.3</v>
      </c>
      <c r="F224" s="63"/>
      <c r="G224" s="63"/>
      <c r="H224" s="63">
        <v>0.7</v>
      </c>
      <c r="I224" s="53">
        <f t="shared" si="8"/>
        <v>5.6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>
        <v>60</v>
      </c>
      <c r="B225" s="55">
        <v>148</v>
      </c>
      <c r="C225" s="55">
        <v>8</v>
      </c>
      <c r="D225" s="55">
        <v>14</v>
      </c>
      <c r="E225" s="63">
        <v>0.3</v>
      </c>
      <c r="F225" s="63"/>
      <c r="G225" s="63"/>
      <c r="H225" s="63">
        <v>0.7</v>
      </c>
      <c r="I225" s="53">
        <f t="shared" si="8"/>
        <v>5.4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>
        <v>65</v>
      </c>
      <c r="B226" s="55">
        <v>161</v>
      </c>
      <c r="C226" s="55">
        <v>9</v>
      </c>
      <c r="D226" s="55">
        <v>14</v>
      </c>
      <c r="E226" s="63">
        <v>0.4</v>
      </c>
      <c r="F226" s="63"/>
      <c r="G226" s="63"/>
      <c r="H226" s="63">
        <v>0.6</v>
      </c>
      <c r="I226" s="53">
        <f t="shared" si="8"/>
        <v>5.4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>
        <v>70</v>
      </c>
      <c r="B227" s="55">
        <v>172</v>
      </c>
      <c r="C227" s="55">
        <v>10</v>
      </c>
      <c r="D227" s="55">
        <v>14</v>
      </c>
      <c r="E227" s="63">
        <v>0.4</v>
      </c>
      <c r="F227" s="63"/>
      <c r="G227" s="63"/>
      <c r="H227" s="63">
        <v>0.6</v>
      </c>
      <c r="I227" s="53">
        <f t="shared" si="8"/>
        <v>5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>
        <v>75</v>
      </c>
      <c r="B228" s="55">
        <v>183</v>
      </c>
      <c r="C228" s="55">
        <v>11</v>
      </c>
      <c r="D228" s="55">
        <v>14</v>
      </c>
      <c r="E228" s="63">
        <v>0.5</v>
      </c>
      <c r="F228" s="63"/>
      <c r="G228" s="63"/>
      <c r="H228" s="63">
        <v>0.5</v>
      </c>
      <c r="I228" s="53">
        <f t="shared" si="8"/>
        <v>5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>
        <v>80</v>
      </c>
      <c r="B229" s="55">
        <v>192</v>
      </c>
      <c r="C229" s="55">
        <v>12</v>
      </c>
      <c r="D229" s="55">
        <v>14</v>
      </c>
      <c r="E229" s="63">
        <v>0.5</v>
      </c>
      <c r="F229" s="63"/>
      <c r="G229" s="63"/>
      <c r="H229" s="63">
        <v>0.5</v>
      </c>
      <c r="I229" s="53">
        <f t="shared" si="8"/>
        <v>4.5999999999999996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>
        <v>85</v>
      </c>
      <c r="B230" s="55">
        <v>200</v>
      </c>
      <c r="C230" s="55">
        <v>13</v>
      </c>
      <c r="D230" s="55">
        <v>14</v>
      </c>
      <c r="E230" s="64">
        <v>0.6</v>
      </c>
      <c r="F230" s="64"/>
      <c r="G230" s="64"/>
      <c r="H230" s="64">
        <v>0.4</v>
      </c>
      <c r="I230" s="53">
        <f t="shared" si="8"/>
        <v>4.4000000000000004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>
        <v>90</v>
      </c>
      <c r="B231" s="60">
        <v>207</v>
      </c>
      <c r="C231" s="88">
        <v>14</v>
      </c>
      <c r="D231" s="60">
        <v>14</v>
      </c>
      <c r="E231" s="54">
        <v>0.6</v>
      </c>
      <c r="F231" s="54"/>
      <c r="G231" s="54"/>
      <c r="H231" s="54">
        <v>0.4</v>
      </c>
      <c r="I231" s="53">
        <f t="shared" si="8"/>
        <v>4.2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>
        <v>100</v>
      </c>
      <c r="B232" s="50">
        <v>216</v>
      </c>
      <c r="C232" s="50">
        <v>16</v>
      </c>
      <c r="D232" s="50">
        <v>14</v>
      </c>
      <c r="E232" s="54">
        <v>0.7</v>
      </c>
      <c r="F232" s="54"/>
      <c r="G232" s="54"/>
      <c r="H232" s="54">
        <v>0.3</v>
      </c>
      <c r="I232" s="53">
        <f t="shared" si="8"/>
        <v>2.2999999999999998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>
        <v>110</v>
      </c>
      <c r="B233" s="50">
        <v>219</v>
      </c>
      <c r="C233" s="50">
        <v>18</v>
      </c>
      <c r="D233" s="50">
        <v>13</v>
      </c>
      <c r="E233" s="54">
        <v>0.7</v>
      </c>
      <c r="F233" s="54"/>
      <c r="G233" s="54"/>
      <c r="H233" s="54">
        <v>0.3</v>
      </c>
      <c r="I233" s="53">
        <f t="shared" si="8"/>
        <v>1.7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>
        <v>120</v>
      </c>
      <c r="B234" s="50">
        <v>221</v>
      </c>
      <c r="C234" s="50">
        <v>20</v>
      </c>
      <c r="D234" s="50">
        <v>221</v>
      </c>
      <c r="E234" s="54">
        <v>0.8</v>
      </c>
      <c r="F234" s="54"/>
      <c r="G234" s="54"/>
      <c r="H234" s="54">
        <v>0.2</v>
      </c>
      <c r="I234" s="53">
        <f t="shared" si="8"/>
        <v>1.5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>Chêne pubescent</v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>
        <v>20</v>
      </c>
      <c r="B244" s="60">
        <v>42</v>
      </c>
      <c r="C244" s="60">
        <v>1</v>
      </c>
      <c r="D244" s="60">
        <v>0</v>
      </c>
      <c r="E244" s="51">
        <v>0</v>
      </c>
      <c r="F244" s="51"/>
      <c r="G244" s="51"/>
      <c r="H244" s="63">
        <v>1</v>
      </c>
      <c r="I244" s="53">
        <f>IFERROR(B244/A244,"")</f>
        <v>2.1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>
        <v>25</v>
      </c>
      <c r="B245" s="60">
        <v>70</v>
      </c>
      <c r="C245" s="60">
        <v>2</v>
      </c>
      <c r="D245" s="60">
        <v>0</v>
      </c>
      <c r="E245" s="63">
        <v>0</v>
      </c>
      <c r="F245" s="63"/>
      <c r="G245" s="63"/>
      <c r="H245" s="63">
        <v>1</v>
      </c>
      <c r="I245" s="53">
        <f>IF(A245&lt;&gt;0,(B245-(B244-D244))/(A245-A244),"")</f>
        <v>5.6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>
        <v>30</v>
      </c>
      <c r="B246" s="60">
        <v>97</v>
      </c>
      <c r="C246" s="60">
        <v>3</v>
      </c>
      <c r="D246" s="60">
        <v>0</v>
      </c>
      <c r="E246" s="63">
        <v>0</v>
      </c>
      <c r="F246" s="63"/>
      <c r="G246" s="63"/>
      <c r="H246" s="63">
        <v>1</v>
      </c>
      <c r="I246" s="53">
        <f>IF(A246&lt;&gt;0,(B246-(B245-D245))/(A246-A245),"")</f>
        <v>5.4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>
        <v>35</v>
      </c>
      <c r="B247" s="60">
        <v>116</v>
      </c>
      <c r="C247" s="60">
        <v>4</v>
      </c>
      <c r="D247" s="60">
        <v>21</v>
      </c>
      <c r="E247" s="63">
        <v>0</v>
      </c>
      <c r="F247" s="63"/>
      <c r="G247" s="63"/>
      <c r="H247" s="63">
        <v>1</v>
      </c>
      <c r="I247" s="53">
        <f t="shared" ref="I247:I263" si="9">IF(A247&lt;&gt;0,(B247-(B246-D246))/(A247-A246),"")</f>
        <v>3.8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>
        <v>40</v>
      </c>
      <c r="B248" s="60">
        <v>137</v>
      </c>
      <c r="C248" s="60">
        <v>5</v>
      </c>
      <c r="D248" s="60">
        <v>21</v>
      </c>
      <c r="E248" s="63">
        <v>0.2</v>
      </c>
      <c r="F248" s="63"/>
      <c r="G248" s="63"/>
      <c r="H248" s="63">
        <v>0.8</v>
      </c>
      <c r="I248" s="53">
        <f t="shared" si="9"/>
        <v>8.4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>
        <v>45</v>
      </c>
      <c r="B249" s="60">
        <v>158</v>
      </c>
      <c r="C249" s="60">
        <v>6</v>
      </c>
      <c r="D249" s="60">
        <v>21</v>
      </c>
      <c r="E249" s="63">
        <v>0.2</v>
      </c>
      <c r="F249" s="63"/>
      <c r="G249" s="63"/>
      <c r="H249" s="63">
        <v>0.8</v>
      </c>
      <c r="I249" s="53">
        <f t="shared" si="9"/>
        <v>8.4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>
        <v>50</v>
      </c>
      <c r="B250" s="60">
        <v>178</v>
      </c>
      <c r="C250" s="60">
        <v>7</v>
      </c>
      <c r="D250" s="60">
        <v>21</v>
      </c>
      <c r="E250" s="63">
        <v>0.3</v>
      </c>
      <c r="F250" s="63"/>
      <c r="G250" s="63"/>
      <c r="H250" s="63">
        <v>0.7</v>
      </c>
      <c r="I250" s="53">
        <f t="shared" si="9"/>
        <v>8.1999999999999993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>
        <v>55</v>
      </c>
      <c r="B251" s="55">
        <v>197</v>
      </c>
      <c r="C251" s="55">
        <v>8</v>
      </c>
      <c r="D251" s="55">
        <v>21</v>
      </c>
      <c r="E251" s="63">
        <v>0.3</v>
      </c>
      <c r="F251" s="63"/>
      <c r="G251" s="63"/>
      <c r="H251" s="63">
        <v>0.7</v>
      </c>
      <c r="I251" s="53">
        <f t="shared" si="9"/>
        <v>8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>
        <v>60</v>
      </c>
      <c r="B252" s="55">
        <v>214</v>
      </c>
      <c r="C252" s="55">
        <v>9</v>
      </c>
      <c r="D252" s="55">
        <v>21</v>
      </c>
      <c r="E252" s="63">
        <v>0.4</v>
      </c>
      <c r="F252" s="63"/>
      <c r="G252" s="63"/>
      <c r="H252" s="63">
        <v>0.6</v>
      </c>
      <c r="I252" s="53">
        <f t="shared" si="9"/>
        <v>7.6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>
        <v>65</v>
      </c>
      <c r="B253" s="55">
        <v>229</v>
      </c>
      <c r="C253" s="55">
        <v>10</v>
      </c>
      <c r="D253" s="55">
        <v>21</v>
      </c>
      <c r="E253" s="63">
        <v>0.4</v>
      </c>
      <c r="F253" s="63"/>
      <c r="G253" s="63"/>
      <c r="H253" s="63">
        <v>0.6</v>
      </c>
      <c r="I253" s="53">
        <f t="shared" si="9"/>
        <v>7.2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>
        <v>70</v>
      </c>
      <c r="B254" s="55">
        <v>242</v>
      </c>
      <c r="C254" s="55">
        <v>11</v>
      </c>
      <c r="D254" s="55">
        <v>21</v>
      </c>
      <c r="E254" s="63">
        <v>0.5</v>
      </c>
      <c r="F254" s="63"/>
      <c r="G254" s="63"/>
      <c r="H254" s="63">
        <v>0.5</v>
      </c>
      <c r="I254" s="53">
        <f t="shared" si="9"/>
        <v>6.8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>
        <v>75</v>
      </c>
      <c r="B255" s="55">
        <v>252</v>
      </c>
      <c r="C255" s="55">
        <v>12</v>
      </c>
      <c r="D255" s="55">
        <v>21</v>
      </c>
      <c r="E255" s="63">
        <v>0.5</v>
      </c>
      <c r="F255" s="63"/>
      <c r="G255" s="63"/>
      <c r="H255" s="63">
        <v>0.5</v>
      </c>
      <c r="I255" s="53">
        <f t="shared" si="9"/>
        <v>6.2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>
        <v>80</v>
      </c>
      <c r="B256" s="55">
        <v>261</v>
      </c>
      <c r="C256" s="55">
        <v>13</v>
      </c>
      <c r="D256" s="55">
        <v>21</v>
      </c>
      <c r="E256" s="64">
        <v>0.6</v>
      </c>
      <c r="F256" s="64"/>
      <c r="G256" s="64"/>
      <c r="H256" s="64">
        <v>0.4</v>
      </c>
      <c r="I256" s="53">
        <f t="shared" si="9"/>
        <v>6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>
        <v>85</v>
      </c>
      <c r="B257" s="60">
        <v>269</v>
      </c>
      <c r="C257" s="88">
        <v>14</v>
      </c>
      <c r="D257" s="60">
        <v>21</v>
      </c>
      <c r="E257" s="54">
        <v>0.6</v>
      </c>
      <c r="F257" s="54"/>
      <c r="G257" s="54"/>
      <c r="H257" s="54">
        <v>0.4</v>
      </c>
      <c r="I257" s="53">
        <f t="shared" si="9"/>
        <v>5.8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>
        <v>90</v>
      </c>
      <c r="B258" s="50">
        <v>275</v>
      </c>
      <c r="C258" s="50">
        <v>15</v>
      </c>
      <c r="D258" s="50">
        <v>21</v>
      </c>
      <c r="E258" s="54">
        <v>0.7</v>
      </c>
      <c r="F258" s="54"/>
      <c r="G258" s="54"/>
      <c r="H258" s="54">
        <v>0.3</v>
      </c>
      <c r="I258" s="53">
        <f t="shared" si="9"/>
        <v>5.4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>
        <v>100</v>
      </c>
      <c r="B259" s="50">
        <v>282</v>
      </c>
      <c r="C259" s="50">
        <v>16</v>
      </c>
      <c r="D259" s="50">
        <v>21</v>
      </c>
      <c r="E259" s="54">
        <v>0.7</v>
      </c>
      <c r="F259" s="54"/>
      <c r="G259" s="54"/>
      <c r="H259" s="54">
        <v>0.3</v>
      </c>
      <c r="I259" s="53">
        <f t="shared" si="9"/>
        <v>2.8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>
        <v>110</v>
      </c>
      <c r="B260" s="50">
        <v>285</v>
      </c>
      <c r="C260" s="50">
        <v>17</v>
      </c>
      <c r="D260" s="50">
        <v>19</v>
      </c>
      <c r="E260" s="54">
        <v>0.8</v>
      </c>
      <c r="F260" s="54"/>
      <c r="G260" s="54"/>
      <c r="H260" s="54">
        <v>0.2</v>
      </c>
      <c r="I260" s="53">
        <f t="shared" si="9"/>
        <v>2.4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>
        <v>120</v>
      </c>
      <c r="B261" s="50">
        <v>285</v>
      </c>
      <c r="C261" s="50">
        <v>18</v>
      </c>
      <c r="D261" s="50">
        <v>285</v>
      </c>
      <c r="E261" s="54">
        <v>0.8</v>
      </c>
      <c r="F261" s="54"/>
      <c r="G261" s="54"/>
      <c r="H261" s="54">
        <v>0.2</v>
      </c>
      <c r="I261" s="53">
        <f t="shared" si="9"/>
        <v>1.9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disablePrompts="1"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16" sqref="C16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Chêne sessile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Erable sycomore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Tulipier de Virginie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Chêne rouge d'Amérique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Tilleul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>Châtaignier</v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>Alisier torminal</v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>Cormier</v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>Chêne pubescent</v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408.51124670343137</v>
      </c>
      <c r="T3" s="59">
        <f>IF('Données projet'!E9&gt;30,$R$33-$H$33,LOOKUP('Données projet'!$E$9,$A$3:$A$203,R3:R203)-LOOKUP('Données projet'!$E$9,$A$3:$A$203,$H$3:$H$203))</f>
        <v>250.47702091764884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327.22763817565902</v>
      </c>
      <c r="AO3" s="59">
        <f>IF('Données projet'!E10&gt;30,$AM$33-$H$33,LOOKUP('Données projet'!$E$10,$A$3:$A$203,AM3:AM203)-LOOKUP('Données projet'!$E$10,$A$3:$A$203,$H$3:$H$203))</f>
        <v>311.68541696405975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169.46470423366029</v>
      </c>
      <c r="BJ3" s="59">
        <f>IF('Données projet'!E11&gt;30,$BH$33-$H$33,LOOKUP('Données projet'!$E$11,$A$3:$A$203,BH3:BH203)-LOOKUP('Données projet'!$E$11,$A$3:$A$203,$H$3:$H$203))</f>
        <v>230.78141128389288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342.79161436526499</v>
      </c>
      <c r="CE3" s="59">
        <f>IF('Données projet'!E12&gt;30,$CC$33-$H$33,LOOKUP('Données projet'!$E$12,$A$3:$A$203,CC3:CC203)-LOOKUP('Données projet'!$E$12,$A$3:$A$203,$H$3:$H$203))</f>
        <v>315.50730924873733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201.84651193684252</v>
      </c>
      <c r="CZ3" s="59">
        <f>IF('Données projet'!E13&gt;30,$CX$33-$H$33,LOOKUP('Données projet'!$E$13,$A$3:$A$203,CX3:CX203)-LOOKUP('Données projet'!$E$13,$A$3:$A$203,$H$3:$H$203))</f>
        <v>138.00705940844708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242.21240859696931</v>
      </c>
      <c r="DU3" s="59">
        <f>IF('Données projet'!E14&gt;30,$DS$33-$H$33,LOOKUP('Données projet'!$E$14,$A$3:$A$203,DS3:DS203)-LOOKUP('Données projet'!$E$14,$A$3:$A$203,$H$3:$H$203))</f>
        <v>340.92165104349192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331.7059599630698</v>
      </c>
      <c r="EP3" s="59">
        <f>IF('Données projet'!E15&gt;30,$EN$33-$H$33,LOOKUP('Données projet'!$E$15,$A$3:$A$203,EN3:EN203)-LOOKUP('Données projet'!$E$15,$A$3:$A$203,$H$3:$H$203))</f>
        <v>173.19148969173838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165</v>
      </c>
      <c r="FJ3" s="59">
        <f ca="1">AVERAGE(OFFSET($FI$3,0,0,'Données projet'!$E$16+1,1))-AVERAGE(OFFSET($H$3,0,0,'Données projet'!$E$16+1,1))</f>
        <v>360.86062459677004</v>
      </c>
      <c r="FK3" s="59">
        <f>IF('Données projet'!E16&gt;30,$FI$33-$H$33,LOOKUP('Données projet'!$E$16,$A$3:$A$203,FI3:FI203)-LOOKUP('Données projet'!$E$16,$A$3:$A$203,$H$3:$H$203))</f>
        <v>186.0840067781198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165</v>
      </c>
      <c r="GE3" s="59">
        <f ca="1">AVERAGE(OFFSET($GD$3,0,0,'Données projet'!$E$17+1,1))-AVERAGE(OFFSET($H$3,0,0,'Données projet'!$E$17+1,1))</f>
        <v>448.73339628506784</v>
      </c>
      <c r="GF3" s="59">
        <f>IF('Données projet'!E17&gt;30,$GD$33-$H$33,LOOKUP('Données projet'!$E$17,$A$3:$A$203,GD3:GD203)-LOOKUP('Données projet'!$E$17,$A$3:$A$203,$H$3:$H$203))</f>
        <v>273.35778700650803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1.0907244698905405</v>
      </c>
      <c r="P4" s="13">
        <f>EXP(-1.0587+0.8836*LN(O4)+0.284)</f>
        <v>0.49759623852608204</v>
      </c>
      <c r="Q4" s="20">
        <f t="shared" ref="Q4:Q34" si="2">(O4+P4)*0.475*44/12</f>
        <v>2.7663252338256172</v>
      </c>
      <c r="R4" s="59">
        <f t="shared" si="0"/>
        <v>170.57875918674947</v>
      </c>
      <c r="S4" s="59">
        <f ca="1">AVERAGE(OFFSET($R$3,0,0,'Données projet'!$E$9+1,1))-AVERAGE(OFFSET($H$3,0,0,'Données projet'!$E$9+1,1))</f>
        <v>408.51124670343137</v>
      </c>
      <c r="T4" s="59">
        <f>$T$3</f>
        <v>250.47702091764884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2.4666666666666668</v>
      </c>
      <c r="AI4" s="13">
        <f>IF('Données projet'!$A$62&gt;35,AI3+AH4-AQ3,IF(A4&lt;'Données projet'!$A$62,$AF$205^A4,IF(A4='Données projet'!$A$62,'Données projet'!$B$62,AI3+AH4-AQ3)))</f>
        <v>1.2721747796233518</v>
      </c>
      <c r="AJ4" s="13">
        <f>AI4*VLOOKUP('Données projet'!$B$10,Paramètres!$A$1:$I$89,3,0)*VLOOKUP('Données projet'!$B$10,Paramètres!$A$1:$I$89,5,0)</f>
        <v>1.0121422546683387</v>
      </c>
      <c r="AK4" s="13">
        <f>EXP(-1.0587+0.8836*LN(AJ4)+0.284)</f>
        <v>0.46578286063395047</v>
      </c>
      <c r="AL4" s="20">
        <f t="shared" ref="AL4:AL67" si="4">(AJ4+AK4)*0.475*44/12</f>
        <v>2.574052909151487</v>
      </c>
      <c r="AM4" s="59">
        <f t="shared" ref="AM4:AM67" si="5">AL4+(AD4+AE4)*44/12</f>
        <v>170.38648686207532</v>
      </c>
      <c r="AN4" s="59">
        <f ca="1">AVERAGE(OFFSET($AM$3,0,0,'Données projet'!$E$10+1,1))-AVERAGE(OFFSET($H$3,0,0,'Données projet'!$E$10+1,1))</f>
        <v>327.22763817565902</v>
      </c>
      <c r="AO4" s="59">
        <f>$AO$3</f>
        <v>311.68541696405975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3.4666666666666668</v>
      </c>
      <c r="BD4" s="12">
        <f>IF('Données projet'!$A$88&gt;35,BD3+BC4-BL3,IF(A4&lt;'Données projet'!$A$88,$BA$205^A4,IF(A4='Données projet'!$A$88,'Données projet'!$B$88,BD3+BC4-BL3)))</f>
        <v>1.3013682980565777</v>
      </c>
      <c r="BE4" s="13">
        <f>BD4*VLOOKUP('Données projet'!$B$11,Paramètres!$A$1:$I$89,3,0)*VLOOKUP('Données projet'!$B$11,Paramètres!$A$1:$I$89,5,0)</f>
        <v>0.83235516343698701</v>
      </c>
      <c r="BF4" s="13">
        <f>EXP(-1.0587+0.8836*LN(BE4)+0.284)</f>
        <v>0.39186530423570126</v>
      </c>
      <c r="BG4" s="20">
        <f t="shared" ref="BG4:BG67" si="7">(BE4+BF4)*0.475*44/12</f>
        <v>2.1321839811965986</v>
      </c>
      <c r="BH4" s="59">
        <f t="shared" ref="BH4:BH67" si="8">BG4+(AY4+AZ4)*44/12</f>
        <v>169.94461793412043</v>
      </c>
      <c r="BI4" s="59">
        <f ca="1">AVERAGE(OFFSET($BH$3,0,0,'Données projet'!$E$11+1,1))-AVERAGE(OFFSET($H$3,0,0,'Données projet'!$E$11+1,1))</f>
        <v>169.46470423366029</v>
      </c>
      <c r="BJ4" s="59">
        <f>$BJ$3</f>
        <v>230.78141128389288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2.2999999999999998</v>
      </c>
      <c r="BY4" s="12">
        <f>IF('Données projet'!$A$114&gt;35,BY3+BX4-CG3,IF(A4&lt;'Données projet'!$A$114,$BV$205^A4,IF(A4='Données projet'!$A$114,'Données projet'!$B$114,BY3+BX4-CG3)))</f>
        <v>1.3682730833261529</v>
      </c>
      <c r="BZ4" s="13">
        <f>BY4*VLOOKUP('Données projet'!$B$12,Paramètres!$A$1:$I$89,3,0)*VLOOKUP('Données projet'!$B$12,Paramètres!$A$1:$I$89,5,0)</f>
        <v>1.1953233655937274</v>
      </c>
      <c r="CA4" s="13">
        <f>EXP(-1.0587+0.8836*LN(BZ4)+0.284)</f>
        <v>0.53953319778599107</v>
      </c>
      <c r="CB4" s="20">
        <f t="shared" ref="CB4:CB67" si="10">(BZ4+CA4)*0.475*44/12</f>
        <v>3.0215418478863434</v>
      </c>
      <c r="CC4" s="59">
        <f t="shared" ref="CC4:CC67" si="11">CB4+(BT4+BU4)*44/12</f>
        <v>170.83397580081018</v>
      </c>
      <c r="CD4" s="59">
        <f ca="1">AVERAGE(OFFSET($CC$3,0,0,'Données projet'!$E$12+1,1))-AVERAGE(OFFSET($H$3,0,0,'Données projet'!$E$12+1,1))</f>
        <v>342.79161436526499</v>
      </c>
      <c r="CE4" s="59">
        <f>$CE$3</f>
        <v>315.50730924873733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1.2</v>
      </c>
      <c r="CT4" s="12">
        <f>IF('Données projet'!$A$140&gt;35,CT3+CS4-DB3,IF(A4&lt;'Données projet'!$A$140,$CQ$205^A4,IF(A4='Données projet'!$A$140,'Données projet'!$B$140,CT3+CS4-DB3)))</f>
        <v>1.1457367676485573</v>
      </c>
      <c r="CU4" s="17">
        <f>CT4*VLOOKUP('Données projet'!$B$13,Paramètres!$A$1:$I$89,3,0)*VLOOKUP('Données projet'!$B$13,Paramètres!$A$1:$I$89,5,0)</f>
        <v>0.76856022373865229</v>
      </c>
      <c r="CV4" s="13">
        <f>EXP(-1.0587+0.8836*LN(CU4)+0.284)</f>
        <v>0.36520529108264627</v>
      </c>
      <c r="CW4" s="20">
        <f t="shared" ref="CW4:CW67" si="13">(CU4+CV4)*0.475*44/12</f>
        <v>1.9746416049804285</v>
      </c>
      <c r="CX4" s="59">
        <f t="shared" ref="CX4:CX67" si="14">CW4+(CO4+CP4)*44/12</f>
        <v>169.78707555790427</v>
      </c>
      <c r="CY4" s="59">
        <f ca="1">AVERAGE(OFFSET($CX$3,0,0,'Données projet'!$E$13+1,1))-AVERAGE(OFFSET($H$3,0,0,'Données projet'!$E$13+1,1))</f>
        <v>201.84651193684252</v>
      </c>
      <c r="CZ4" s="59">
        <f>$CZ$3</f>
        <v>138.00705940844708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1.1000000000000001</v>
      </c>
      <c r="DO4" s="12">
        <f>IF('Données projet'!$A$166&gt;35,DO3+DN4-DW3,IF(A4&lt;'Données projet'!$A$166,$DL$205^A4,IF(A4='Données projet'!$A$166,'Données projet'!$B$166,DO3+DN4-DW3)))</f>
        <v>1.2709816152101407</v>
      </c>
      <c r="DP4" s="17">
        <f>DO4*VLOOKUP('Données projet'!$B$14,Paramètres!$A$1:$I$89,3,0)*VLOOKUP('Données projet'!$B$14,Paramètres!$A$1:$I$89,5,0)</f>
        <v>0.93188372027207511</v>
      </c>
      <c r="DQ4" s="13">
        <f>EXP(-1.0587+0.8836*LN(DP4)+0.284)</f>
        <v>0.43299221190803017</v>
      </c>
      <c r="DR4" s="20">
        <f t="shared" ref="DR4:DR67" si="16">(DP4+DQ4)*0.475*44/12</f>
        <v>2.3771589152136832</v>
      </c>
      <c r="DS4" s="59">
        <f t="shared" ref="DS4:DS67" si="17">DR4+(DJ4+DK4)*44/12</f>
        <v>170.18959286813751</v>
      </c>
      <c r="DT4" s="59">
        <f ca="1">AVERAGE(OFFSET($DS$3,0,0,'Données projet'!$E$14+1,1))-AVERAGE(OFFSET($H$3,0,0,'Données projet'!$E$14+1,1))</f>
        <v>242.21240859696931</v>
      </c>
      <c r="DU4" s="59">
        <f>$DU$3</f>
        <v>340.92165104349192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1.2</v>
      </c>
      <c r="EJ4" s="12">
        <f>IF('Données projet'!$A$192&gt;35,EJ3+EI4-ER3,IF(A4&lt;'Données projet'!$A$192,$EG$205^A4,IF(A4='Données projet'!$A$192,'Données projet'!$B$192,EJ3+EI4-ER3)))</f>
        <v>1.1457367676485573</v>
      </c>
      <c r="EK4" s="17">
        <f>EJ4*VLOOKUP('Données projet'!$B$15,Paramètres!$A$1:$I$89,3,0)*VLOOKUP('Données projet'!$B$15,Paramètres!$A$1:$I$89,5,0)</f>
        <v>1.1081566016696847</v>
      </c>
      <c r="EL4" s="13">
        <f>EXP(-1.0587+0.8836*LN(EK4)+0.284)</f>
        <v>0.50461671312632472</v>
      </c>
      <c r="EM4" s="20">
        <f t="shared" ref="EM4:EM67" si="19">(EK4+EL4)*0.475*44/12</f>
        <v>2.808913523269716</v>
      </c>
      <c r="EN4" s="59">
        <f t="shared" ref="EN4:EN67" si="20">EM4+(EE4+EF4)*44/12</f>
        <v>170.62134747619356</v>
      </c>
      <c r="EO4" s="59">
        <f ca="1">AVERAGE(OFFSET($EN$3,0,0,'Données projet'!$E$15+1,1))-AVERAGE(OFFSET($H$3,0,0,'Données projet'!$E$15+1,1))</f>
        <v>331.7059599630698</v>
      </c>
      <c r="EP4" s="59">
        <f>$EP$3</f>
        <v>173.19148969173838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1.2</v>
      </c>
      <c r="FE4" s="12">
        <f>IF('Données projet'!$A$218&gt;35,FE3+FD4-FM3,IF(A4&lt;'Données projet'!$A$218,$FB$205^A4,IF(A4='Données projet'!$A$218,'Données projet'!$B$218,FE3+FD4-FM3)))</f>
        <v>1.1457367676485573</v>
      </c>
      <c r="FF4" s="17">
        <f>FE4*VLOOKUP('Données projet'!$B$16,Paramètres!$A$1:$I$89,3,0)*VLOOKUP('Données projet'!$B$16,Paramètres!$A$1:$I$89,5,0)</f>
        <v>1.233271056696907</v>
      </c>
      <c r="FG4" s="13">
        <f>EXP(-1.0587+0.8836*LN(FF4)+0.284)</f>
        <v>0.55464025923604754</v>
      </c>
      <c r="FH4" s="20">
        <f t="shared" ref="FH4:FH67" si="22">(FF4+FG4)*0.475*44/12</f>
        <v>3.113945541916562</v>
      </c>
      <c r="FI4" s="59">
        <f t="shared" ref="FI4:FI67" si="23">FH4+(EZ4+FA4)*44/12</f>
        <v>170.9263794948404</v>
      </c>
      <c r="FJ4" s="59">
        <f ca="1">AVERAGE(OFFSET($FI$3,0,0,'Données projet'!$E$16+1,1))-AVERAGE(OFFSET($H$3,0,0,'Données projet'!$E$16+1,1))</f>
        <v>360.86062459677004</v>
      </c>
      <c r="FK4" s="59">
        <f>$FK$3</f>
        <v>186.0840067781198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2.1</v>
      </c>
      <c r="FZ4" s="12">
        <f>IF('Données projet'!$A$244&gt;35,FZ3+FY4-GH3,IF(A4&lt;'Données projet'!$A$244,$FW$205^A4,IF(A4='Données projet'!$A$244,'Données projet'!$B$244,FZ3+FY4-GH3)))</f>
        <v>1.2054868146447177</v>
      </c>
      <c r="GA4" s="17">
        <f>FZ4*VLOOKUP('Données projet'!$B$17,Paramètres!$A$1:$I$89,3,0)*VLOOKUP('Données projet'!$B$17,Paramètres!$A$1:$I$89,5,0)</f>
        <v>1.2223636300497438</v>
      </c>
      <c r="GB4" s="13">
        <f>EXP(-1.0587+0.8836*LN(GA4)+0.284)</f>
        <v>0.55030360208821416</v>
      </c>
      <c r="GC4" s="20">
        <f t="shared" ref="GC4:GC67" si="25">(GA4+GB4)*0.475*44/12</f>
        <v>3.0873954293069432</v>
      </c>
      <c r="GD4" s="59">
        <f t="shared" ref="GD4:GD67" si="26">GC4+(FU4+FV4)*44/12</f>
        <v>170.89982938223079</v>
      </c>
      <c r="GE4" s="59">
        <f ca="1">AVERAGE(OFFSET($GD$3,0,0,'Données projet'!$E$17+1,1))-AVERAGE(OFFSET($H$3,0,0,'Données projet'!$E$17+1,1))</f>
        <v>448.73339628506784</v>
      </c>
      <c r="GF4" s="59">
        <f>$GF$3</f>
        <v>273.35778700650803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1.3148539668633961</v>
      </c>
      <c r="P5" s="13">
        <f t="shared" ref="P5:P68" si="33">EXP(-1.0587+0.8836*LN(O5)+0.284)</f>
        <v>0.58693801963664449</v>
      </c>
      <c r="Q5" s="20">
        <f t="shared" si="2"/>
        <v>3.3122877098209038</v>
      </c>
      <c r="R5" s="59">
        <f t="shared" si="0"/>
        <v>173.90956899732174</v>
      </c>
      <c r="S5" s="59">
        <f ca="1">AVERAGE(OFFSET($R$3,0,0,'Données projet'!$E$9+1,1))-AVERAGE(OFFSET($H$3,0,0,'Données projet'!$E$9+1,1))</f>
        <v>408.51124670343137</v>
      </c>
      <c r="T5" s="59">
        <f t="shared" ref="T5:T68" si="34">$T$3</f>
        <v>250.47702091764884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2.4666666666666668</v>
      </c>
      <c r="AI5" s="13">
        <f>IF('Données projet'!$A$62&gt;35,AI4+AH5-AQ4,IF(A5&lt;'Données projet'!$A$62,$AF$205^A5,IF(A5='Données projet'!$A$62,'Données projet'!$B$62,AI4+AH5-AQ4)))</f>
        <v>1.6184286699097237</v>
      </c>
      <c r="AJ5" s="13">
        <f>AI5*VLOOKUP('Données projet'!$B$10,Paramètres!$A$1:$I$89,3,0)*VLOOKUP('Données projet'!$B$10,Paramètres!$A$1:$I$89,5,0)</f>
        <v>1.2876218497801761</v>
      </c>
      <c r="AK5" s="13">
        <f t="shared" ref="AK5:AK68" si="35">EXP(-1.0587+0.8836*LN(AJ5)+0.284)</f>
        <v>0.57618379541883336</v>
      </c>
      <c r="AL5" s="20">
        <f t="shared" si="4"/>
        <v>3.2461281653882743</v>
      </c>
      <c r="AM5" s="59">
        <f t="shared" si="5"/>
        <v>173.84340945288912</v>
      </c>
      <c r="AN5" s="59">
        <f ca="1">AVERAGE(OFFSET($AM$3,0,0,'Données projet'!$E$10+1,1))-AVERAGE(OFFSET($H$3,0,0,'Données projet'!$E$10+1,1))</f>
        <v>327.22763817565902</v>
      </c>
      <c r="AO5" s="59">
        <f t="shared" ref="AO5:AO68" si="36">$AO$3</f>
        <v>311.68541696405975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3.4666666666666668</v>
      </c>
      <c r="BD5" s="12">
        <f>IF('Données projet'!$A$88&gt;35,BD4+BC5-BL4,IF(A5&lt;'Données projet'!$A$88,$BA$205^A5,IF(A5='Données projet'!$A$88,'Données projet'!$B$88,BD4+BC5-BL4)))</f>
        <v>1.6935594471866737</v>
      </c>
      <c r="BE5" s="13">
        <f>BD5*VLOOKUP('Données projet'!$B$11,Paramètres!$A$1:$I$89,3,0)*VLOOKUP('Données projet'!$B$11,Paramètres!$A$1:$I$89,5,0)</f>
        <v>1.0832006224205966</v>
      </c>
      <c r="BF5" s="13">
        <f t="shared" ref="BF5:BF68" si="37">EXP(-1.0587+0.8836*LN(BE5)+0.284)</f>
        <v>0.49456212036341696</v>
      </c>
      <c r="BG5" s="20">
        <f t="shared" si="7"/>
        <v>2.7479367770154899</v>
      </c>
      <c r="BH5" s="59">
        <f t="shared" si="8"/>
        <v>173.34521806451633</v>
      </c>
      <c r="BI5" s="59">
        <f ca="1">AVERAGE(OFFSET($BH$3,0,0,'Données projet'!$E$11+1,1))-AVERAGE(OFFSET($H$3,0,0,'Données projet'!$E$11+1,1))</f>
        <v>169.46470423366029</v>
      </c>
      <c r="BJ5" s="59">
        <f t="shared" ref="BJ5:BJ68" si="38">$BJ$3</f>
        <v>230.78141128389288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2.2999999999999998</v>
      </c>
      <c r="BY5" s="12">
        <f>IF('Données projet'!$A$114&gt;35,BY4+BX5-CG4,IF(A5&lt;'Données projet'!$A$114,$BV$205^A5,IF(A5='Données projet'!$A$114,'Données projet'!$B$114,BY4+BX5-CG4)))</f>
        <v>1.8721712305548575</v>
      </c>
      <c r="BZ5" s="13">
        <f>BY5*VLOOKUP('Données projet'!$B$12,Paramètres!$A$1:$I$89,3,0)*VLOOKUP('Données projet'!$B$12,Paramètres!$A$1:$I$89,5,0)</f>
        <v>1.6355287870127238</v>
      </c>
      <c r="CA5" s="13">
        <f t="shared" ref="CA5:CA68" si="39">EXP(-1.0587+0.8836*LN(BZ5)+0.284)</f>
        <v>0.71177125311828726</v>
      </c>
      <c r="CB5" s="20">
        <f t="shared" si="10"/>
        <v>4.0882142365615106</v>
      </c>
      <c r="CC5" s="59">
        <f t="shared" si="11"/>
        <v>174.68549552406233</v>
      </c>
      <c r="CD5" s="59">
        <f ca="1">AVERAGE(OFFSET($CC$3,0,0,'Données projet'!$E$12+1,1))-AVERAGE(OFFSET($H$3,0,0,'Données projet'!$E$12+1,1))</f>
        <v>342.79161436526499</v>
      </c>
      <c r="CE5" s="59">
        <f t="shared" ref="CE5:CE68" si="40">$CE$3</f>
        <v>315.50730924873733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1.2</v>
      </c>
      <c r="CT5" s="12">
        <f>IF('Données projet'!$A$140&gt;35,CT4+CS5-DB4,IF(A5&lt;'Données projet'!$A$140,$CQ$205^A5,IF(A5='Données projet'!$A$140,'Données projet'!$B$140,CT4+CS5-DB4)))</f>
        <v>1.312712740741764</v>
      </c>
      <c r="CU5" s="17">
        <f>CT5*VLOOKUP('Données projet'!$B$13,Paramètres!$A$1:$I$89,3,0)*VLOOKUP('Données projet'!$B$13,Paramètres!$A$1:$I$89,5,0)</f>
        <v>0.88056770648957527</v>
      </c>
      <c r="CV5" s="13">
        <f t="shared" ref="CV5:CV68" si="41">EXP(-1.0587+0.8836*LN(CU5)+0.284)</f>
        <v>0.41185508706430995</v>
      </c>
      <c r="CW5" s="20">
        <f t="shared" si="13"/>
        <v>2.2509696987730163</v>
      </c>
      <c r="CX5" s="59">
        <f t="shared" si="14"/>
        <v>172.84825098627385</v>
      </c>
      <c r="CY5" s="59">
        <f ca="1">AVERAGE(OFFSET($CX$3,0,0,'Données projet'!$E$13+1,1))-AVERAGE(OFFSET($H$3,0,0,'Données projet'!$E$13+1,1))</f>
        <v>201.84651193684252</v>
      </c>
      <c r="CZ5" s="59">
        <f t="shared" ref="CZ5:CZ68" si="42">$CZ$3</f>
        <v>138.00705940844708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1.1000000000000001</v>
      </c>
      <c r="DO5" s="12">
        <f>IF('Données projet'!$A$166&gt;35,DO4+DN5-DW4,IF(A5&lt;'Données projet'!$A$166,$DL$205^A5,IF(A5='Données projet'!$A$166,'Données projet'!$B$166,DO4+DN5-DW4)))</f>
        <v>1.6153942662021783</v>
      </c>
      <c r="DP5" s="17">
        <f>DO5*VLOOKUP('Données projet'!$B$14,Paramètres!$A$1:$I$89,3,0)*VLOOKUP('Données projet'!$B$14,Paramètres!$A$1:$I$89,5,0)</f>
        <v>1.1844070759794372</v>
      </c>
      <c r="DQ5" s="13">
        <f t="shared" ref="DQ5:DQ68" si="43">EXP(-1.0587+0.8836*LN(DP5)+0.284)</f>
        <v>0.53517712549257934</v>
      </c>
      <c r="DR5" s="20">
        <f t="shared" si="16"/>
        <v>2.9949424842304286</v>
      </c>
      <c r="DS5" s="59">
        <f t="shared" si="17"/>
        <v>173.59222377173126</v>
      </c>
      <c r="DT5" s="59">
        <f ca="1">AVERAGE(OFFSET($DS$3,0,0,'Données projet'!$E$14+1,1))-AVERAGE(OFFSET($H$3,0,0,'Données projet'!$E$14+1,1))</f>
        <v>242.21240859696931</v>
      </c>
      <c r="DU5" s="59">
        <f t="shared" ref="DU5:DU68" si="44">$DU$3</f>
        <v>340.92165104349192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1.2</v>
      </c>
      <c r="EJ5" s="12">
        <f>IF('Données projet'!$A$192&gt;35,EJ4+EI5-ER4,IF(A5&lt;'Données projet'!$A$192,$EG$205^A5,IF(A5='Données projet'!$A$192,'Données projet'!$B$192,EJ4+EI5-ER4)))</f>
        <v>1.312712740741764</v>
      </c>
      <c r="EK5" s="17">
        <f>EJ5*VLOOKUP('Données projet'!$B$15,Paramètres!$A$1:$I$89,3,0)*VLOOKUP('Données projet'!$B$15,Paramètres!$A$1:$I$89,5,0)</f>
        <v>1.2696557628454344</v>
      </c>
      <c r="EL5" s="13">
        <f t="shared" ref="EL5:EL68" si="45">EXP(-1.0587+0.8836*LN(EK5)+0.284)</f>
        <v>0.56907434090738995</v>
      </c>
      <c r="EM5" s="20">
        <f t="shared" si="19"/>
        <v>3.2024549307028356</v>
      </c>
      <c r="EN5" s="59">
        <f t="shared" si="20"/>
        <v>173.79973621820366</v>
      </c>
      <c r="EO5" s="59">
        <f ca="1">AVERAGE(OFFSET($EN$3,0,0,'Données projet'!$E$15+1,1))-AVERAGE(OFFSET($H$3,0,0,'Données projet'!$E$15+1,1))</f>
        <v>331.7059599630698</v>
      </c>
      <c r="EP5" s="59">
        <f t="shared" ref="EP5:EP68" si="46">$EP$3</f>
        <v>173.19148969173838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1.2</v>
      </c>
      <c r="FE5" s="12">
        <f>IF('Données projet'!$A$218&gt;35,FE4+FD5-FM4,IF(A5&lt;'Données projet'!$A$218,$FB$205^A5,IF(A5='Données projet'!$A$218,'Données projet'!$B$218,FE4+FD5-FM4)))</f>
        <v>1.312712740741764</v>
      </c>
      <c r="FF5" s="17">
        <f>FE5*VLOOKUP('Données projet'!$B$16,Paramètres!$A$1:$I$89,3,0)*VLOOKUP('Données projet'!$B$16,Paramètres!$A$1:$I$89,5,0)</f>
        <v>1.4130039941344348</v>
      </c>
      <c r="FG5" s="13">
        <f t="shared" ref="FG5:FG68" si="47">EXP(-1.0587+0.8836*LN(FF5)+0.284)</f>
        <v>0.62548768551477418</v>
      </c>
      <c r="FH5" s="20">
        <f t="shared" si="22"/>
        <v>3.5503730087223722</v>
      </c>
      <c r="FI5" s="59">
        <f t="shared" si="23"/>
        <v>174.14765429622321</v>
      </c>
      <c r="FJ5" s="59">
        <f ca="1">AVERAGE(OFFSET($FI$3,0,0,'Données projet'!$E$16+1,1))-AVERAGE(OFFSET($H$3,0,0,'Données projet'!$E$16+1,1))</f>
        <v>360.86062459677004</v>
      </c>
      <c r="FK5" s="59">
        <f t="shared" ref="FK5:FK68" si="48">$FK$3</f>
        <v>186.0840067781198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2.1</v>
      </c>
      <c r="FZ5" s="12">
        <f>IF('Données projet'!$A$244&gt;35,FZ4+FY5-GH4,IF(A5&lt;'Données projet'!$A$244,$FW$205^A5,IF(A5='Données projet'!$A$244,'Données projet'!$B$244,FZ4+FY5-GH4)))</f>
        <v>1.4531984602822681</v>
      </c>
      <c r="GA5" s="17">
        <f>FZ5*VLOOKUP('Données projet'!$B$17,Paramètres!$A$1:$I$89,3,0)*VLOOKUP('Données projet'!$B$17,Paramètres!$A$1:$I$89,5,0)</f>
        <v>1.47354323872622</v>
      </c>
      <c r="GB5" s="13">
        <f t="shared" ref="GB5:GB68" si="49">EXP(-1.0587+0.8836*LN(GA5)+0.284)</f>
        <v>0.64910881835703094</v>
      </c>
      <c r="GC5" s="20">
        <f t="shared" si="25"/>
        <v>3.6969523327533285</v>
      </c>
      <c r="GD5" s="59">
        <f t="shared" si="26"/>
        <v>174.29423362025418</v>
      </c>
      <c r="GE5" s="59">
        <f ca="1">AVERAGE(OFFSET($GD$3,0,0,'Données projet'!$E$17+1,1))-AVERAGE(OFFSET($H$3,0,0,'Données projet'!$E$17+1,1))</f>
        <v>448.73339628506784</v>
      </c>
      <c r="GF5" s="59">
        <f t="shared" ref="GF5:GF68" si="50">$GF$3</f>
        <v>273.35778700650803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1.5850391202371266</v>
      </c>
      <c r="P6" s="13">
        <f t="shared" si="33"/>
        <v>0.69232082604846479</v>
      </c>
      <c r="Q6" s="20">
        <f t="shared" si="2"/>
        <v>3.966401906447405</v>
      </c>
      <c r="R6" s="59">
        <f t="shared" si="0"/>
        <v>177.32142247633229</v>
      </c>
      <c r="S6" s="59">
        <f ca="1">AVERAGE(OFFSET($R$3,0,0,'Données projet'!$E$9+1,1))-AVERAGE(OFFSET($H$3,0,0,'Données projet'!$E$9+1,1))</f>
        <v>408.51124670343137</v>
      </c>
      <c r="T6" s="59">
        <f t="shared" si="34"/>
        <v>250.47702091764884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2.4666666666666668</v>
      </c>
      <c r="AI6" s="13">
        <f>IF('Données projet'!$A$62&gt;35,AI5+AH6-AQ5,IF(A6&lt;'Données projet'!$A$62,$AF$205^A6,IF(A6='Données projet'!$A$62,'Données projet'!$B$62,AI5+AH6-AQ5)))</f>
        <v>2.0589241364785171</v>
      </c>
      <c r="AJ6" s="13">
        <f>AI6*VLOOKUP('Données projet'!$B$10,Paramètres!$A$1:$I$89,3,0)*VLOOKUP('Données projet'!$B$10,Paramètres!$A$1:$I$89,5,0)</f>
        <v>1.6380800429823084</v>
      </c>
      <c r="AK6" s="13">
        <f t="shared" si="35"/>
        <v>0.71275221602487127</v>
      </c>
      <c r="AL6" s="20">
        <f t="shared" si="4"/>
        <v>4.0943661844375043</v>
      </c>
      <c r="AM6" s="59">
        <f t="shared" si="5"/>
        <v>177.4493867543224</v>
      </c>
      <c r="AN6" s="59">
        <f ca="1">AVERAGE(OFFSET($AM$3,0,0,'Données projet'!$E$10+1,1))-AVERAGE(OFFSET($H$3,0,0,'Données projet'!$E$10+1,1))</f>
        <v>327.22763817565902</v>
      </c>
      <c r="AO6" s="59">
        <f t="shared" si="36"/>
        <v>311.68541696405975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3.4666666666666668</v>
      </c>
      <c r="BD6" s="12">
        <f>IF('Données projet'!$A$88&gt;35,BD5+BC6-BL5,IF(A6&lt;'Données projet'!$A$88,$BA$205^A6,IF(A6='Données projet'!$A$88,'Données projet'!$B$88,BD5+BC6-BL5)))</f>
        <v>2.2039445754429603</v>
      </c>
      <c r="BE6" s="13">
        <f>BD6*VLOOKUP('Données projet'!$B$11,Paramètres!$A$1:$I$89,3,0)*VLOOKUP('Données projet'!$B$11,Paramètres!$A$1:$I$89,5,0)</f>
        <v>1.4096429504533174</v>
      </c>
      <c r="BF6" s="13">
        <f t="shared" si="37"/>
        <v>0.62417286821402418</v>
      </c>
      <c r="BG6" s="20">
        <f t="shared" si="7"/>
        <v>3.5422292175122867</v>
      </c>
      <c r="BH6" s="59">
        <f t="shared" si="8"/>
        <v>176.89724978739719</v>
      </c>
      <c r="BI6" s="59">
        <f ca="1">AVERAGE(OFFSET($BH$3,0,0,'Données projet'!$E$11+1,1))-AVERAGE(OFFSET($H$3,0,0,'Données projet'!$E$11+1,1))</f>
        <v>169.46470423366029</v>
      </c>
      <c r="BJ6" s="59">
        <f t="shared" si="38"/>
        <v>230.78141128389288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2.2999999999999998</v>
      </c>
      <c r="BY6" s="12">
        <f>IF('Données projet'!$A$114&gt;35,BY5+BX6-CG5,IF(A6&lt;'Données projet'!$A$114,$BV$205^A6,IF(A6='Données projet'!$A$114,'Données projet'!$B$114,BY5+BX6-CG5)))</f>
        <v>2.5616415021458128</v>
      </c>
      <c r="BZ6" s="13">
        <f>BY6*VLOOKUP('Données projet'!$B$12,Paramètres!$A$1:$I$89,3,0)*VLOOKUP('Données projet'!$B$12,Paramètres!$A$1:$I$89,5,0)</f>
        <v>2.237850016274582</v>
      </c>
      <c r="CA6" s="13">
        <f t="shared" si="39"/>
        <v>0.93899377989068589</v>
      </c>
      <c r="CB6" s="20">
        <f t="shared" si="10"/>
        <v>5.5330029449878415</v>
      </c>
      <c r="CC6" s="59">
        <f t="shared" si="11"/>
        <v>178.88802351487271</v>
      </c>
      <c r="CD6" s="59">
        <f ca="1">AVERAGE(OFFSET($CC$3,0,0,'Données projet'!$E$12+1,1))-AVERAGE(OFFSET($H$3,0,0,'Données projet'!$E$12+1,1))</f>
        <v>342.79161436526499</v>
      </c>
      <c r="CE6" s="59">
        <f t="shared" si="40"/>
        <v>315.50730924873733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1.2</v>
      </c>
      <c r="CT6" s="12">
        <f>IF('Données projet'!$A$140&gt;35,CT5+CS6-DB5,IF(A6&lt;'Données projet'!$A$140,$CQ$205^A6,IF(A6='Données projet'!$A$140,'Données projet'!$B$140,CT5+CS6-DB5)))</f>
        <v>1.5040232524285473</v>
      </c>
      <c r="CU6" s="17">
        <f>CT6*VLOOKUP('Données projet'!$B$13,Paramètres!$A$1:$I$89,3,0)*VLOOKUP('Données projet'!$B$13,Paramètres!$A$1:$I$89,5,0)</f>
        <v>1.0088987977290695</v>
      </c>
      <c r="CV6" s="13">
        <f t="shared" si="41"/>
        <v>0.46446373281696007</v>
      </c>
      <c r="CW6" s="20">
        <f t="shared" si="13"/>
        <v>2.566106407367668</v>
      </c>
      <c r="CX6" s="59">
        <f t="shared" si="14"/>
        <v>175.92112697725256</v>
      </c>
      <c r="CY6" s="59">
        <f ca="1">AVERAGE(OFFSET($CX$3,0,0,'Données projet'!$E$13+1,1))-AVERAGE(OFFSET($H$3,0,0,'Données projet'!$E$13+1,1))</f>
        <v>201.84651193684252</v>
      </c>
      <c r="CZ6" s="59">
        <f t="shared" si="42"/>
        <v>138.00705940844708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1.1000000000000001</v>
      </c>
      <c r="DO6" s="12">
        <f>IF('Données projet'!$A$166&gt;35,DO5+DN6-DW5,IF(A6&lt;'Données projet'!$A$166,$DL$205^A6,IF(A6='Données projet'!$A$166,'Données projet'!$B$166,DO5+DN6-DW5)))</f>
        <v>2.0531364136588448</v>
      </c>
      <c r="DP6" s="17">
        <f>DO6*VLOOKUP('Données projet'!$B$14,Paramètres!$A$1:$I$89,3,0)*VLOOKUP('Données projet'!$B$14,Paramètres!$A$1:$I$89,5,0)</f>
        <v>1.5053596184946649</v>
      </c>
      <c r="DQ6" s="13">
        <f t="shared" si="43"/>
        <v>0.66147738405820555</v>
      </c>
      <c r="DR6" s="20">
        <f t="shared" si="16"/>
        <v>3.7739077794462492</v>
      </c>
      <c r="DS6" s="59">
        <f t="shared" si="17"/>
        <v>177.12892834933115</v>
      </c>
      <c r="DT6" s="59">
        <f ca="1">AVERAGE(OFFSET($DS$3,0,0,'Données projet'!$E$14+1,1))-AVERAGE(OFFSET($H$3,0,0,'Données projet'!$E$14+1,1))</f>
        <v>242.21240859696931</v>
      </c>
      <c r="DU6" s="59">
        <f t="shared" si="44"/>
        <v>340.92165104349192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1.2</v>
      </c>
      <c r="EJ6" s="12">
        <f>IF('Données projet'!$A$192&gt;35,EJ5+EI6-ER5,IF(A6&lt;'Données projet'!$A$192,$EG$205^A6,IF(A6='Données projet'!$A$192,'Données projet'!$B$192,EJ5+EI6-ER5)))</f>
        <v>1.5040232524285473</v>
      </c>
      <c r="EK6" s="17">
        <f>EJ6*VLOOKUP('Données projet'!$B$15,Paramètres!$A$1:$I$89,3,0)*VLOOKUP('Données projet'!$B$15,Paramètres!$A$1:$I$89,5,0)</f>
        <v>1.4546912897488911</v>
      </c>
      <c r="EL6" s="13">
        <f t="shared" si="45"/>
        <v>0.64176551639126822</v>
      </c>
      <c r="EM6" s="20">
        <f t="shared" si="19"/>
        <v>3.6513289373607773</v>
      </c>
      <c r="EN6" s="59">
        <f t="shared" si="20"/>
        <v>177.00634950724566</v>
      </c>
      <c r="EO6" s="59">
        <f ca="1">AVERAGE(OFFSET($EN$3,0,0,'Données projet'!$E$15+1,1))-AVERAGE(OFFSET($H$3,0,0,'Données projet'!$E$15+1,1))</f>
        <v>331.7059599630698</v>
      </c>
      <c r="EP6" s="59">
        <f t="shared" si="46"/>
        <v>173.19148969173838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1.2</v>
      </c>
      <c r="FE6" s="12">
        <f>IF('Données projet'!$A$218&gt;35,FE5+FD6-FM5,IF(A6&lt;'Données projet'!$A$218,$FB$205^A6,IF(A6='Données projet'!$A$218,'Données projet'!$B$218,FE5+FD6-FM5)))</f>
        <v>1.5040232524285473</v>
      </c>
      <c r="FF6" s="17">
        <f>FE6*VLOOKUP('Données projet'!$B$16,Paramètres!$A$1:$I$89,3,0)*VLOOKUP('Données projet'!$B$16,Paramètres!$A$1:$I$89,5,0)</f>
        <v>1.6189306289140883</v>
      </c>
      <c r="FG6" s="13">
        <f t="shared" si="47"/>
        <v>0.70538486562354785</v>
      </c>
      <c r="FH6" s="20">
        <f t="shared" si="22"/>
        <v>4.0481828196530492</v>
      </c>
      <c r="FI6" s="59">
        <f t="shared" si="23"/>
        <v>177.40320338953794</v>
      </c>
      <c r="FJ6" s="59">
        <f ca="1">AVERAGE(OFFSET($FI$3,0,0,'Données projet'!$E$16+1,1))-AVERAGE(OFFSET($H$3,0,0,'Données projet'!$E$16+1,1))</f>
        <v>360.86062459677004</v>
      </c>
      <c r="FK6" s="59">
        <f t="shared" si="48"/>
        <v>186.0840067781198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2.1</v>
      </c>
      <c r="FZ6" s="12">
        <f>IF('Données projet'!$A$244&gt;35,FZ5+FY6-GH5,IF(A6&lt;'Données projet'!$A$244,$FW$205^A6,IF(A6='Données projet'!$A$244,'Données projet'!$B$244,FZ5+FY6-GH5)))</f>
        <v>1.7518115829322798</v>
      </c>
      <c r="GA6" s="17">
        <f>FZ6*VLOOKUP('Données projet'!$B$17,Paramètres!$A$1:$I$89,3,0)*VLOOKUP('Données projet'!$B$17,Paramètres!$A$1:$I$89,5,0)</f>
        <v>1.7763369450933317</v>
      </c>
      <c r="GB6" s="13">
        <f t="shared" si="49"/>
        <v>0.76565418883323866</v>
      </c>
      <c r="GC6" s="20">
        <f t="shared" si="25"/>
        <v>4.4273012249221102</v>
      </c>
      <c r="GD6" s="59">
        <f t="shared" si="26"/>
        <v>177.78232179480699</v>
      </c>
      <c r="GE6" s="59">
        <f ca="1">AVERAGE(OFFSET($GD$3,0,0,'Données projet'!$E$17+1,1))-AVERAGE(OFFSET($H$3,0,0,'Données projet'!$E$17+1,1))</f>
        <v>448.73339628506784</v>
      </c>
      <c r="GF6" s="59">
        <f t="shared" si="50"/>
        <v>273.35778700650803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1.9107437601419195</v>
      </c>
      <c r="P7" s="13">
        <f t="shared" si="33"/>
        <v>0.81662477151702284</v>
      </c>
      <c r="Q7" s="20">
        <f t="shared" si="2"/>
        <v>4.7501668593059909</v>
      </c>
      <c r="R7" s="59">
        <f t="shared" si="0"/>
        <v>180.83628892348293</v>
      </c>
      <c r="S7" s="59">
        <f ca="1">AVERAGE(OFFSET($R$3,0,0,'Données projet'!$E$9+1,1))-AVERAGE(OFFSET($H$3,0,0,'Données projet'!$E$9+1,1))</f>
        <v>408.51124670343137</v>
      </c>
      <c r="T7" s="59">
        <f t="shared" si="34"/>
        <v>250.47702091764884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2.4666666666666668</v>
      </c>
      <c r="AI7" s="13">
        <f>IF('Données projet'!$A$62&gt;35,AI6+AH7-AQ6,IF(A7&lt;'Données projet'!$A$62,$AF$205^A7,IF(A7='Données projet'!$A$62,'Données projet'!$B$62,AI6+AH7-AQ6)))</f>
        <v>2.6193113595857573</v>
      </c>
      <c r="AJ7" s="13">
        <f>AI7*VLOOKUP('Données projet'!$B$10,Paramètres!$A$1:$I$89,3,0)*VLOOKUP('Données projet'!$B$10,Paramètres!$A$1:$I$89,5,0)</f>
        <v>2.0839241176864287</v>
      </c>
      <c r="AK7" s="13">
        <f t="shared" si="35"/>
        <v>0.88169040068036508</v>
      </c>
      <c r="AL7" s="20">
        <f t="shared" si="4"/>
        <v>5.1651119528221656</v>
      </c>
      <c r="AM7" s="59">
        <f t="shared" si="5"/>
        <v>181.25123401699912</v>
      </c>
      <c r="AN7" s="59">
        <f ca="1">AVERAGE(OFFSET($AM$3,0,0,'Données projet'!$E$10+1,1))-AVERAGE(OFFSET($H$3,0,0,'Données projet'!$E$10+1,1))</f>
        <v>327.22763817565902</v>
      </c>
      <c r="AO7" s="59">
        <f t="shared" si="36"/>
        <v>311.68541696405975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3.4666666666666668</v>
      </c>
      <c r="BD7" s="12">
        <f>IF('Données projet'!$A$88&gt;35,BD6+BC7-BL6,IF(A7&lt;'Données projet'!$A$88,$BA$205^A7,IF(A7='Données projet'!$A$88,'Données projet'!$B$88,BD6+BC7-BL6)))</f>
        <v>2.8681436011552317</v>
      </c>
      <c r="BE7" s="13">
        <f>BD7*VLOOKUP('Données projet'!$B$11,Paramètres!$A$1:$I$89,3,0)*VLOOKUP('Données projet'!$B$11,Paramètres!$A$1:$I$89,5,0)</f>
        <v>1.8344646472988861</v>
      </c>
      <c r="BF7" s="13">
        <f t="shared" si="37"/>
        <v>0.78775092829236404</v>
      </c>
      <c r="BG7" s="20">
        <f t="shared" si="7"/>
        <v>4.5670254608214265</v>
      </c>
      <c r="BH7" s="59">
        <f t="shared" si="8"/>
        <v>180.65314752499836</v>
      </c>
      <c r="BI7" s="59">
        <f ca="1">AVERAGE(OFFSET($BH$3,0,0,'Données projet'!$E$11+1,1))-AVERAGE(OFFSET($H$3,0,0,'Données projet'!$E$11+1,1))</f>
        <v>169.46470423366029</v>
      </c>
      <c r="BJ7" s="59">
        <f t="shared" si="38"/>
        <v>230.78141128389288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2.2999999999999998</v>
      </c>
      <c r="BY7" s="12">
        <f>IF('Données projet'!$A$114&gt;35,BY6+BX7-CG6,IF(A7&lt;'Données projet'!$A$114,$BV$205^A7,IF(A7='Données projet'!$A$114,'Données projet'!$B$114,BY6+BX7-CG6)))</f>
        <v>3.5050251165172894</v>
      </c>
      <c r="BZ7" s="13">
        <f>BY7*VLOOKUP('Données projet'!$B$12,Paramètres!$A$1:$I$89,3,0)*VLOOKUP('Données projet'!$B$12,Paramètres!$A$1:$I$89,5,0)</f>
        <v>3.0619899417895042</v>
      </c>
      <c r="CA7" s="13">
        <f t="shared" si="39"/>
        <v>1.2387537636714157</v>
      </c>
      <c r="CB7" s="20">
        <f t="shared" si="10"/>
        <v>7.4904619536777686</v>
      </c>
      <c r="CC7" s="59">
        <f t="shared" si="11"/>
        <v>183.57658401785471</v>
      </c>
      <c r="CD7" s="59">
        <f ca="1">AVERAGE(OFFSET($CC$3,0,0,'Données projet'!$E$12+1,1))-AVERAGE(OFFSET($H$3,0,0,'Données projet'!$E$12+1,1))</f>
        <v>342.79161436526499</v>
      </c>
      <c r="CE7" s="59">
        <f t="shared" si="40"/>
        <v>315.50730924873733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1.2</v>
      </c>
      <c r="CT7" s="12">
        <f>IF('Données projet'!$A$140&gt;35,CT6+CS7-DB6,IF(A7&lt;'Données projet'!$A$140,$CQ$205^A7,IF(A7='Données projet'!$A$140,'Données projet'!$B$140,CT6+CS7-DB6)))</f>
        <v>1.7232147397057538</v>
      </c>
      <c r="CU7" s="17">
        <f>CT7*VLOOKUP('Données projet'!$B$13,Paramètres!$A$1:$I$89,3,0)*VLOOKUP('Données projet'!$B$13,Paramètres!$A$1:$I$89,5,0)</f>
        <v>1.1559324473946198</v>
      </c>
      <c r="CV7" s="13">
        <f t="shared" si="41"/>
        <v>0.5237923868804355</v>
      </c>
      <c r="CW7" s="20">
        <f t="shared" si="13"/>
        <v>2.9255207530290543</v>
      </c>
      <c r="CX7" s="59">
        <f t="shared" si="14"/>
        <v>179.011642817206</v>
      </c>
      <c r="CY7" s="59">
        <f ca="1">AVERAGE(OFFSET($CX$3,0,0,'Données projet'!$E$13+1,1))-AVERAGE(OFFSET($H$3,0,0,'Données projet'!$E$13+1,1))</f>
        <v>201.84651193684252</v>
      </c>
      <c r="CZ7" s="59">
        <f t="shared" si="42"/>
        <v>138.00705940844708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1.1000000000000001</v>
      </c>
      <c r="DO7" s="12">
        <f>IF('Données projet'!$A$166&gt;35,DO6+DN7-DW6,IF(A7&lt;'Données projet'!$A$166,$DL$205^A7,IF(A7='Données projet'!$A$166,'Données projet'!$B$166,DO6+DN7-DW6)))</f>
        <v>2.6094986352788743</v>
      </c>
      <c r="DP7" s="17">
        <f>DO7*VLOOKUP('Données projet'!$B$14,Paramètres!$A$1:$I$89,3,0)*VLOOKUP('Données projet'!$B$14,Paramètres!$A$1:$I$89,5,0)</f>
        <v>1.9132843993864705</v>
      </c>
      <c r="DQ7" s="13">
        <f t="shared" si="43"/>
        <v>0.81758413948982178</v>
      </c>
      <c r="DR7" s="20">
        <f t="shared" si="16"/>
        <v>4.7562627052095419</v>
      </c>
      <c r="DS7" s="59">
        <f t="shared" si="17"/>
        <v>180.84238476938648</v>
      </c>
      <c r="DT7" s="59">
        <f ca="1">AVERAGE(OFFSET($DS$3,0,0,'Données projet'!$E$14+1,1))-AVERAGE(OFFSET($H$3,0,0,'Données projet'!$E$14+1,1))</f>
        <v>242.21240859696931</v>
      </c>
      <c r="DU7" s="59">
        <f t="shared" si="44"/>
        <v>340.92165104349192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1.2</v>
      </c>
      <c r="EJ7" s="12">
        <f>IF('Données projet'!$A$192&gt;35,EJ6+EI7-ER6,IF(A7&lt;'Données projet'!$A$192,$EG$205^A7,IF(A7='Données projet'!$A$192,'Données projet'!$B$192,EJ6+EI7-ER6)))</f>
        <v>1.7232147397057538</v>
      </c>
      <c r="EK7" s="17">
        <f>EJ7*VLOOKUP('Données projet'!$B$15,Paramètres!$A$1:$I$89,3,0)*VLOOKUP('Données projet'!$B$15,Paramètres!$A$1:$I$89,5,0)</f>
        <v>1.6666932962434051</v>
      </c>
      <c r="EL7" s="13">
        <f t="shared" si="45"/>
        <v>0.72374195851500689</v>
      </c>
      <c r="EM7" s="20">
        <f t="shared" si="19"/>
        <v>4.1633414020375676</v>
      </c>
      <c r="EN7" s="59">
        <f t="shared" si="20"/>
        <v>180.24946346621451</v>
      </c>
      <c r="EO7" s="59">
        <f ca="1">AVERAGE(OFFSET($EN$3,0,0,'Données projet'!$E$15+1,1))-AVERAGE(OFFSET($H$3,0,0,'Données projet'!$E$15+1,1))</f>
        <v>331.7059599630698</v>
      </c>
      <c r="EP7" s="59">
        <f t="shared" si="46"/>
        <v>173.19148969173838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1.2</v>
      </c>
      <c r="FE7" s="12">
        <f>IF('Données projet'!$A$218&gt;35,FE6+FD7-FM6,IF(A7&lt;'Données projet'!$A$218,$FB$205^A7,IF(A7='Données projet'!$A$218,'Données projet'!$B$218,FE6+FD7-FM6)))</f>
        <v>1.7232147397057538</v>
      </c>
      <c r="FF7" s="17">
        <f>FE7*VLOOKUP('Données projet'!$B$16,Paramètres!$A$1:$I$89,3,0)*VLOOKUP('Données projet'!$B$16,Paramètres!$A$1:$I$89,5,0)</f>
        <v>1.8548683458192732</v>
      </c>
      <c r="FG7" s="13">
        <f t="shared" si="47"/>
        <v>0.79548777725536501</v>
      </c>
      <c r="FH7" s="20">
        <f t="shared" si="22"/>
        <v>4.6160369143549937</v>
      </c>
      <c r="FI7" s="59">
        <f t="shared" si="23"/>
        <v>180.70215897853194</v>
      </c>
      <c r="FJ7" s="59">
        <f ca="1">AVERAGE(OFFSET($FI$3,0,0,'Données projet'!$E$16+1,1))-AVERAGE(OFFSET($H$3,0,0,'Données projet'!$E$16+1,1))</f>
        <v>360.86062459677004</v>
      </c>
      <c r="FK7" s="59">
        <f t="shared" si="48"/>
        <v>186.0840067781198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2.1</v>
      </c>
      <c r="FZ7" s="12">
        <f>IF('Données projet'!$A$244&gt;35,FZ6+FY7-GH6,IF(A7&lt;'Données projet'!$A$244,$FW$205^A7,IF(A7='Données projet'!$A$244,'Données projet'!$B$244,FZ6+FY7-GH6)))</f>
        <v>2.1117857649667546</v>
      </c>
      <c r="GA7" s="17">
        <f>FZ7*VLOOKUP('Données projet'!$B$17,Paramètres!$A$1:$I$89,3,0)*VLOOKUP('Données projet'!$B$17,Paramètres!$A$1:$I$89,5,0)</f>
        <v>2.1413507656762891</v>
      </c>
      <c r="GB7" s="13">
        <f t="shared" si="49"/>
        <v>0.9031249003236328</v>
      </c>
      <c r="GC7" s="20">
        <f t="shared" si="25"/>
        <v>5.3024617849498643</v>
      </c>
      <c r="GD7" s="59">
        <f t="shared" si="26"/>
        <v>181.3885838491268</v>
      </c>
      <c r="GE7" s="59">
        <f ca="1">AVERAGE(OFFSET($GD$3,0,0,'Données projet'!$E$17+1,1))-AVERAGE(OFFSET($H$3,0,0,'Données projet'!$E$17+1,1))</f>
        <v>448.73339628506784</v>
      </c>
      <c r="GF7" s="59">
        <f t="shared" si="50"/>
        <v>273.35778700650803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2.3033764090157529</v>
      </c>
      <c r="P8" s="13">
        <f t="shared" si="33"/>
        <v>0.96324708482559218</v>
      </c>
      <c r="Q8" s="20">
        <f t="shared" si="2"/>
        <v>5.6893692517736758</v>
      </c>
      <c r="R8" s="59">
        <f t="shared" si="0"/>
        <v>184.48041712822103</v>
      </c>
      <c r="S8" s="59">
        <f ca="1">AVERAGE(OFFSET($R$3,0,0,'Données projet'!$E$9+1,1))-AVERAGE(OFFSET($H$3,0,0,'Données projet'!$E$9+1,1))</f>
        <v>408.51124670343137</v>
      </c>
      <c r="T8" s="59">
        <f t="shared" si="34"/>
        <v>250.47702091764884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2.4666666666666668</v>
      </c>
      <c r="AI8" s="13">
        <f>IF('Données projet'!$A$62&gt;35,AI7+AH8-AQ7,IF(A8&lt;'Données projet'!$A$62,$AF$205^A8,IF(A8='Données projet'!$A$62,'Données projet'!$B$62,AI7+AH8-AQ7)))</f>
        <v>3.332221851645953</v>
      </c>
      <c r="AJ8" s="13">
        <f>AI8*VLOOKUP('Données projet'!$B$10,Paramètres!$A$1:$I$89,3,0)*VLOOKUP('Données projet'!$B$10,Paramètres!$A$1:$I$89,5,0)</f>
        <v>2.6511157051695204</v>
      </c>
      <c r="AK8" s="13">
        <f t="shared" si="35"/>
        <v>1.0906707059957799</v>
      </c>
      <c r="AL8" s="20">
        <f t="shared" si="4"/>
        <v>6.5169446661128978</v>
      </c>
      <c r="AM8" s="59">
        <f t="shared" si="5"/>
        <v>185.30799254256024</v>
      </c>
      <c r="AN8" s="59">
        <f ca="1">AVERAGE(OFFSET($AM$3,0,0,'Données projet'!$E$10+1,1))-AVERAGE(OFFSET($H$3,0,0,'Données projet'!$E$10+1,1))</f>
        <v>327.22763817565902</v>
      </c>
      <c r="AO8" s="59">
        <f t="shared" si="36"/>
        <v>311.68541696405975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3.4666666666666668</v>
      </c>
      <c r="BD8" s="12">
        <f>IF('Données projet'!$A$88&gt;35,BD7+BC8-BL7,IF(A8&lt;'Données projet'!$A$88,$BA$205^A8,IF(A8='Données projet'!$A$88,'Données projet'!$B$88,BD7+BC8-BL7)))</f>
        <v>3.7325111568172478</v>
      </c>
      <c r="BE8" s="13">
        <f>BD8*VLOOKUP('Données projet'!$B$11,Paramètres!$A$1:$I$89,3,0)*VLOOKUP('Données projet'!$B$11,Paramètres!$A$1:$I$89,5,0)</f>
        <v>2.3873141359003118</v>
      </c>
      <c r="BF8" s="13">
        <f t="shared" si="37"/>
        <v>0.9941981726970851</v>
      </c>
      <c r="BG8" s="20">
        <f t="shared" si="7"/>
        <v>5.8894672708071321</v>
      </c>
      <c r="BH8" s="59">
        <f t="shared" si="8"/>
        <v>184.68051514725448</v>
      </c>
      <c r="BI8" s="59">
        <f ca="1">AVERAGE(OFFSET($BH$3,0,0,'Données projet'!$E$11+1,1))-AVERAGE(OFFSET($H$3,0,0,'Données projet'!$E$11+1,1))</f>
        <v>169.46470423366029</v>
      </c>
      <c r="BJ8" s="59">
        <f t="shared" si="38"/>
        <v>230.78141128389288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2.2999999999999998</v>
      </c>
      <c r="BY8" s="12">
        <f>IF('Données projet'!$A$114&gt;35,BY7+BX8-CG7,IF(A8&lt;'Données projet'!$A$114,$BV$205^A8,IF(A8='Données projet'!$A$114,'Données projet'!$B$114,BY7+BX8-CG7)))</f>
        <v>4.79583152331272</v>
      </c>
      <c r="BZ8" s="13">
        <f>BY8*VLOOKUP('Données projet'!$B$12,Paramètres!$A$1:$I$89,3,0)*VLOOKUP('Données projet'!$B$12,Paramètres!$A$1:$I$89,5,0)</f>
        <v>4.189638418765993</v>
      </c>
      <c r="CA8" s="13">
        <f t="shared" si="39"/>
        <v>1.6342077230679199</v>
      </c>
      <c r="CB8" s="20">
        <f t="shared" si="10"/>
        <v>10.143198697027399</v>
      </c>
      <c r="CC8" s="59">
        <f t="shared" si="11"/>
        <v>188.93424657347475</v>
      </c>
      <c r="CD8" s="59">
        <f ca="1">AVERAGE(OFFSET($CC$3,0,0,'Données projet'!$E$12+1,1))-AVERAGE(OFFSET($H$3,0,0,'Données projet'!$E$12+1,1))</f>
        <v>342.79161436526499</v>
      </c>
      <c r="CE8" s="59">
        <f t="shared" si="40"/>
        <v>315.50730924873733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1.2</v>
      </c>
      <c r="CT8" s="12">
        <f>IF('Données projet'!$A$140&gt;35,CT7+CS8-DB7,IF(A8&lt;'Données projet'!$A$140,$CQ$205^A8,IF(A8='Données projet'!$A$140,'Données projet'!$B$140,CT7+CS8-DB7)))</f>
        <v>1.9743504858348202</v>
      </c>
      <c r="CU8" s="17">
        <f>CT8*VLOOKUP('Données projet'!$B$13,Paramètres!$A$1:$I$89,3,0)*VLOOKUP('Données projet'!$B$13,Paramètres!$A$1:$I$89,5,0)</f>
        <v>1.3243943058979974</v>
      </c>
      <c r="CV8" s="13">
        <f t="shared" si="41"/>
        <v>0.59069943500201205</v>
      </c>
      <c r="CW8" s="20">
        <f t="shared" si="13"/>
        <v>3.3354549320675164</v>
      </c>
      <c r="CX8" s="59">
        <f t="shared" si="14"/>
        <v>182.12650280851486</v>
      </c>
      <c r="CY8" s="59">
        <f ca="1">AVERAGE(OFFSET($CX$3,0,0,'Données projet'!$E$13+1,1))-AVERAGE(OFFSET($H$3,0,0,'Données projet'!$E$13+1,1))</f>
        <v>201.84651193684252</v>
      </c>
      <c r="CZ8" s="59">
        <f t="shared" si="42"/>
        <v>138.00705940844708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1.1000000000000001</v>
      </c>
      <c r="DO8" s="12">
        <f>IF('Données projet'!$A$166&gt;35,DO7+DN8-DW7,IF(A8&lt;'Données projet'!$A$166,$DL$205^A8,IF(A8='Données projet'!$A$166,'Données projet'!$B$166,DO7+DN8-DW7)))</f>
        <v>3.3166247903554016</v>
      </c>
      <c r="DP8" s="17">
        <f>DO8*VLOOKUP('Données projet'!$B$14,Paramètres!$A$1:$I$89,3,0)*VLOOKUP('Données projet'!$B$14,Paramètres!$A$1:$I$89,5,0)</f>
        <v>2.4317492962885807</v>
      </c>
      <c r="DQ8" s="13">
        <f t="shared" si="43"/>
        <v>1.010531639108154</v>
      </c>
      <c r="DR8" s="20">
        <f t="shared" si="16"/>
        <v>5.9953059624826457</v>
      </c>
      <c r="DS8" s="59">
        <f t="shared" si="17"/>
        <v>184.78635383892998</v>
      </c>
      <c r="DT8" s="59">
        <f ca="1">AVERAGE(OFFSET($DS$3,0,0,'Données projet'!$E$14+1,1))-AVERAGE(OFFSET($H$3,0,0,'Données projet'!$E$14+1,1))</f>
        <v>242.21240859696931</v>
      </c>
      <c r="DU8" s="59">
        <f t="shared" si="44"/>
        <v>340.92165104349192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1.2</v>
      </c>
      <c r="EJ8" s="12">
        <f>IF('Données projet'!$A$192&gt;35,EJ7+EI8-ER7,IF(A8&lt;'Données projet'!$A$192,$EG$205^A8,IF(A8='Données projet'!$A$192,'Données projet'!$B$192,EJ7+EI8-ER7)))</f>
        <v>1.9743504858348202</v>
      </c>
      <c r="EK8" s="17">
        <f>EJ8*VLOOKUP('Données projet'!$B$15,Paramètres!$A$1:$I$89,3,0)*VLOOKUP('Données projet'!$B$15,Paramètres!$A$1:$I$89,5,0)</f>
        <v>1.9095917898994379</v>
      </c>
      <c r="EL8" s="13">
        <f t="shared" si="45"/>
        <v>0.81618972839261894</v>
      </c>
      <c r="EM8" s="20">
        <f t="shared" si="19"/>
        <v>4.7474028110253315</v>
      </c>
      <c r="EN8" s="59">
        <f t="shared" si="20"/>
        <v>183.53845068747268</v>
      </c>
      <c r="EO8" s="59">
        <f ca="1">AVERAGE(OFFSET($EN$3,0,0,'Données projet'!$E$15+1,1))-AVERAGE(OFFSET($H$3,0,0,'Données projet'!$E$15+1,1))</f>
        <v>331.7059599630698</v>
      </c>
      <c r="EP8" s="59">
        <f t="shared" si="46"/>
        <v>173.19148969173838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1.2</v>
      </c>
      <c r="FE8" s="12">
        <f>IF('Données projet'!$A$218&gt;35,FE7+FD8-FM7,IF(A8&lt;'Données projet'!$A$218,$FB$205^A8,IF(A8='Données projet'!$A$218,'Données projet'!$B$218,FE7+FD8-FM7)))</f>
        <v>1.9743504858348202</v>
      </c>
      <c r="FF8" s="17">
        <f>FE8*VLOOKUP('Données projet'!$B$16,Paramètres!$A$1:$I$89,3,0)*VLOOKUP('Données projet'!$B$16,Paramètres!$A$1:$I$89,5,0)</f>
        <v>2.1251908629526004</v>
      </c>
      <c r="FG8" s="13">
        <f t="shared" si="47"/>
        <v>0.89710005785748825</v>
      </c>
      <c r="FH8" s="20">
        <f t="shared" si="22"/>
        <v>5.2638233537442369</v>
      </c>
      <c r="FI8" s="59">
        <f t="shared" si="23"/>
        <v>184.05487123019159</v>
      </c>
      <c r="FJ8" s="59">
        <f ca="1">AVERAGE(OFFSET($FI$3,0,0,'Données projet'!$E$16+1,1))-AVERAGE(OFFSET($H$3,0,0,'Données projet'!$E$16+1,1))</f>
        <v>360.86062459677004</v>
      </c>
      <c r="FK8" s="59">
        <f t="shared" si="48"/>
        <v>186.0840067781198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2.1</v>
      </c>
      <c r="FZ8" s="12">
        <f>IF('Données projet'!$A$244&gt;35,FZ7+FY8-GH7,IF(A8&lt;'Données projet'!$A$244,$FW$205^A8,IF(A8='Données projet'!$A$244,'Données projet'!$B$244,FZ7+FY8-GH7)))</f>
        <v>2.5457298950218314</v>
      </c>
      <c r="GA8" s="17">
        <f>FZ8*VLOOKUP('Données projet'!$B$17,Paramètres!$A$1:$I$89,3,0)*VLOOKUP('Données projet'!$B$17,Paramètres!$A$1:$I$89,5,0)</f>
        <v>2.5813701135521372</v>
      </c>
      <c r="GB8" s="13">
        <f t="shared" si="49"/>
        <v>1.0652780295337991</v>
      </c>
      <c r="GC8" s="20">
        <f t="shared" si="25"/>
        <v>6.3512455158746723</v>
      </c>
      <c r="GD8" s="59">
        <f t="shared" si="26"/>
        <v>185.14229339232202</v>
      </c>
      <c r="GE8" s="59">
        <f ca="1">AVERAGE(OFFSET($GD$3,0,0,'Données projet'!$E$17+1,1))-AVERAGE(OFFSET($H$3,0,0,'Données projet'!$E$17+1,1))</f>
        <v>448.73339628506784</v>
      </c>
      <c r="GF8" s="59">
        <f t="shared" si="50"/>
        <v>273.35778700650803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2.7766898902321886</v>
      </c>
      <c r="P9" s="13">
        <f t="shared" si="33"/>
        <v>1.1361949561012803</v>
      </c>
      <c r="Q9" s="20">
        <f t="shared" si="2"/>
        <v>6.8149411073641248</v>
      </c>
      <c r="R9" s="59">
        <f t="shared" si="0"/>
        <v>188.28519320362309</v>
      </c>
      <c r="S9" s="59">
        <f ca="1">AVERAGE(OFFSET($R$3,0,0,'Données projet'!$E$9+1,1))-AVERAGE(OFFSET($H$3,0,0,'Données projet'!$E$9+1,1))</f>
        <v>408.51124670343137</v>
      </c>
      <c r="T9" s="59">
        <f t="shared" si="34"/>
        <v>250.47702091764884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2.4666666666666668</v>
      </c>
      <c r="AI9" s="13">
        <f>IF('Données projet'!$A$62&gt;35,AI8+AH9-AQ8,IF(A9&lt;'Données projet'!$A$62,$AF$205^A9,IF(A9='Données projet'!$A$62,'Données projet'!$B$62,AI8+AH9-AQ8)))</f>
        <v>4.2391685997738069</v>
      </c>
      <c r="AJ9" s="13">
        <f>AI9*VLOOKUP('Données projet'!$B$10,Paramètres!$A$1:$I$89,3,0)*VLOOKUP('Données projet'!$B$10,Paramètres!$A$1:$I$89,5,0)</f>
        <v>3.3726825379800407</v>
      </c>
      <c r="AK9" s="13">
        <f t="shared" si="35"/>
        <v>1.3491840083541735</v>
      </c>
      <c r="AL9" s="20">
        <f t="shared" si="4"/>
        <v>8.2239175681987557</v>
      </c>
      <c r="AM9" s="59">
        <f t="shared" si="5"/>
        <v>189.69416966445772</v>
      </c>
      <c r="AN9" s="59">
        <f ca="1">AVERAGE(OFFSET($AM$3,0,0,'Données projet'!$E$10+1,1))-AVERAGE(OFFSET($H$3,0,0,'Données projet'!$E$10+1,1))</f>
        <v>327.22763817565902</v>
      </c>
      <c r="AO9" s="59">
        <f t="shared" si="36"/>
        <v>311.68541696405975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3.4666666666666668</v>
      </c>
      <c r="BD9" s="12">
        <f>IF('Données projet'!$A$88&gt;35,BD8+BC9-BL8,IF(A9&lt;'Données projet'!$A$88,$BA$205^A9,IF(A9='Données projet'!$A$88,'Données projet'!$B$88,BD8+BC9-BL8)))</f>
        <v>4.8573716916244498</v>
      </c>
      <c r="BE9" s="13">
        <f>BD9*VLOOKUP('Données projet'!$B$11,Paramètres!$A$1:$I$89,3,0)*VLOOKUP('Données projet'!$B$11,Paramètres!$A$1:$I$89,5,0)</f>
        <v>3.1067749339629978</v>
      </c>
      <c r="BF9" s="13">
        <f t="shared" si="37"/>
        <v>1.2547494025007095</v>
      </c>
      <c r="BG9" s="20">
        <f t="shared" si="7"/>
        <v>7.59632155267429</v>
      </c>
      <c r="BH9" s="59">
        <f t="shared" si="8"/>
        <v>189.06657364893326</v>
      </c>
      <c r="BI9" s="59">
        <f ca="1">AVERAGE(OFFSET($BH$3,0,0,'Données projet'!$E$11+1,1))-AVERAGE(OFFSET($H$3,0,0,'Données projet'!$E$11+1,1))</f>
        <v>169.46470423366029</v>
      </c>
      <c r="BJ9" s="59">
        <f t="shared" si="38"/>
        <v>230.78141128389288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2.2999999999999998</v>
      </c>
      <c r="BY9" s="12">
        <f>IF('Données projet'!$A$114&gt;35,BY8+BX9-CG8,IF(A9&lt;'Données projet'!$A$114,$BV$205^A9,IF(A9='Données projet'!$A$114,'Données projet'!$B$114,BY8+BX9-CG8)))</f>
        <v>6.5620071855158564</v>
      </c>
      <c r="BZ9" s="13">
        <f>BY9*VLOOKUP('Données projet'!$B$12,Paramètres!$A$1:$I$89,3,0)*VLOOKUP('Données projet'!$B$12,Paramètres!$A$1:$I$89,5,0)</f>
        <v>5.7325694772666536</v>
      </c>
      <c r="CA9" s="13">
        <f t="shared" si="39"/>
        <v>2.1559045554135094</v>
      </c>
      <c r="CB9" s="20">
        <f t="shared" si="10"/>
        <v>13.739092273584617</v>
      </c>
      <c r="CC9" s="59">
        <f t="shared" si="11"/>
        <v>195.20934436984359</v>
      </c>
      <c r="CD9" s="59">
        <f ca="1">AVERAGE(OFFSET($CC$3,0,0,'Données projet'!$E$12+1,1))-AVERAGE(OFFSET($H$3,0,0,'Données projet'!$E$12+1,1))</f>
        <v>342.79161436526499</v>
      </c>
      <c r="CE9" s="59">
        <f t="shared" si="40"/>
        <v>315.50730924873733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1.2</v>
      </c>
      <c r="CT9" s="12">
        <f>IF('Données projet'!$A$140&gt;35,CT8+CS9-DB8,IF(A9&lt;'Données projet'!$A$140,$CQ$205^A9,IF(A9='Données projet'!$A$140,'Données projet'!$B$140,CT8+CS9-DB8)))</f>
        <v>2.2620859438457455</v>
      </c>
      <c r="CU9" s="17">
        <f>CT9*VLOOKUP('Données projet'!$B$13,Paramètres!$A$1:$I$89,3,0)*VLOOKUP('Données projet'!$B$13,Paramètres!$A$1:$I$89,5,0)</f>
        <v>1.517407251131726</v>
      </c>
      <c r="CV9" s="13">
        <f t="shared" si="41"/>
        <v>0.66615290953311335</v>
      </c>
      <c r="CW9" s="20">
        <f t="shared" si="13"/>
        <v>3.8030339464912619</v>
      </c>
      <c r="CX9" s="59">
        <f t="shared" si="14"/>
        <v>185.27328604275024</v>
      </c>
      <c r="CY9" s="59">
        <f ca="1">AVERAGE(OFFSET($CX$3,0,0,'Données projet'!$E$13+1,1))-AVERAGE(OFFSET($H$3,0,0,'Données projet'!$E$13+1,1))</f>
        <v>201.84651193684252</v>
      </c>
      <c r="CZ9" s="59">
        <f t="shared" si="42"/>
        <v>138.00705940844708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1.1000000000000001</v>
      </c>
      <c r="DO9" s="12">
        <f>IF('Données projet'!$A$166&gt;35,DO8+DN9-DW8,IF(A9&lt;'Données projet'!$A$166,$DL$205^A9,IF(A9='Données projet'!$A$166,'Données projet'!$B$166,DO8+DN9-DW8)))</f>
        <v>4.2153691330919028</v>
      </c>
      <c r="DP9" s="17">
        <f>DO9*VLOOKUP('Données projet'!$B$14,Paramètres!$A$1:$I$89,3,0)*VLOOKUP('Données projet'!$B$14,Paramètres!$A$1:$I$89,5,0)</f>
        <v>3.0907086483829831</v>
      </c>
      <c r="DQ9" s="13">
        <f t="shared" si="43"/>
        <v>1.2490141923201104</v>
      </c>
      <c r="DR9" s="20">
        <f t="shared" si="16"/>
        <v>7.5583506142245538</v>
      </c>
      <c r="DS9" s="59">
        <f t="shared" si="17"/>
        <v>189.02860271048354</v>
      </c>
      <c r="DT9" s="59">
        <f ca="1">AVERAGE(OFFSET($DS$3,0,0,'Données projet'!$E$14+1,1))-AVERAGE(OFFSET($H$3,0,0,'Données projet'!$E$14+1,1))</f>
        <v>242.21240859696931</v>
      </c>
      <c r="DU9" s="59">
        <f t="shared" si="44"/>
        <v>340.92165104349192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1.2</v>
      </c>
      <c r="EJ9" s="12">
        <f>IF('Données projet'!$A$192&gt;35,EJ8+EI9-ER8,IF(A9&lt;'Données projet'!$A$192,$EG$205^A9,IF(A9='Données projet'!$A$192,'Données projet'!$B$192,EJ8+EI9-ER8)))</f>
        <v>2.2620859438457455</v>
      </c>
      <c r="EK9" s="17">
        <f>EJ9*VLOOKUP('Données projet'!$B$15,Paramètres!$A$1:$I$89,3,0)*VLOOKUP('Données projet'!$B$15,Paramètres!$A$1:$I$89,5,0)</f>
        <v>2.1878895248876051</v>
      </c>
      <c r="EL9" s="13">
        <f t="shared" si="45"/>
        <v>0.92044638962272363</v>
      </c>
      <c r="EM9" s="20">
        <f t="shared" si="19"/>
        <v>5.4136850511054888</v>
      </c>
      <c r="EN9" s="59">
        <f t="shared" si="20"/>
        <v>186.88393714736446</v>
      </c>
      <c r="EO9" s="59">
        <f ca="1">AVERAGE(OFFSET($EN$3,0,0,'Données projet'!$E$15+1,1))-AVERAGE(OFFSET($H$3,0,0,'Données projet'!$E$15+1,1))</f>
        <v>331.7059599630698</v>
      </c>
      <c r="EP9" s="59">
        <f t="shared" si="46"/>
        <v>173.19148969173838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1.2</v>
      </c>
      <c r="FE9" s="12">
        <f>IF('Données projet'!$A$218&gt;35,FE8+FD9-FM8,IF(A9&lt;'Données projet'!$A$218,$FB$205^A9,IF(A9='Données projet'!$A$218,'Données projet'!$B$218,FE8+FD9-FM8)))</f>
        <v>2.2620859438457455</v>
      </c>
      <c r="FF9" s="17">
        <f>FE9*VLOOKUP('Données projet'!$B$16,Paramètres!$A$1:$I$89,3,0)*VLOOKUP('Données projet'!$B$16,Paramètres!$A$1:$I$89,5,0)</f>
        <v>2.4349093099555601</v>
      </c>
      <c r="FG9" s="13">
        <f t="shared" si="47"/>
        <v>1.0116918660706939</v>
      </c>
      <c r="FH9" s="20">
        <f t="shared" si="22"/>
        <v>6.0028303815790593</v>
      </c>
      <c r="FI9" s="59">
        <f t="shared" si="23"/>
        <v>187.47308247783803</v>
      </c>
      <c r="FJ9" s="59">
        <f ca="1">AVERAGE(OFFSET($FI$3,0,0,'Données projet'!$E$16+1,1))-AVERAGE(OFFSET($H$3,0,0,'Données projet'!$E$16+1,1))</f>
        <v>360.86062459677004</v>
      </c>
      <c r="FK9" s="59">
        <f t="shared" si="48"/>
        <v>186.0840067781198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2.1</v>
      </c>
      <c r="FZ9" s="12">
        <f>IF('Données projet'!$A$244&gt;35,FZ8+FY9-GH8,IF(A9&lt;'Données projet'!$A$244,$FW$205^A9,IF(A9='Données projet'!$A$244,'Données projet'!$B$244,FZ8+FY9-GH8)))</f>
        <v>3.0688438220956993</v>
      </c>
      <c r="GA9" s="17">
        <f>FZ9*VLOOKUP('Données projet'!$B$17,Paramètres!$A$1:$I$89,3,0)*VLOOKUP('Données projet'!$B$17,Paramètres!$A$1:$I$89,5,0)</f>
        <v>3.111807635605039</v>
      </c>
      <c r="GB9" s="13">
        <f t="shared" si="49"/>
        <v>1.2565452240335246</v>
      </c>
      <c r="GC9" s="20">
        <f t="shared" si="25"/>
        <v>7.6082145638704972</v>
      </c>
      <c r="GD9" s="59">
        <f t="shared" si="26"/>
        <v>189.07846666012946</v>
      </c>
      <c r="GE9" s="59">
        <f ca="1">AVERAGE(OFFSET($GD$3,0,0,'Données projet'!$E$17+1,1))-AVERAGE(OFFSET($H$3,0,0,'Données projet'!$E$17+1,1))</f>
        <v>448.73339628506784</v>
      </c>
      <c r="GF9" s="59">
        <f t="shared" si="50"/>
        <v>273.35778700650803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3.3472630510321921</v>
      </c>
      <c r="P10" s="13">
        <f t="shared" si="33"/>
        <v>1.34019505338418</v>
      </c>
      <c r="Q10" s="20">
        <f t="shared" si="2"/>
        <v>8.1639895318585136</v>
      </c>
      <c r="R10" s="59">
        <f t="shared" si="0"/>
        <v>192.28817046759474</v>
      </c>
      <c r="S10" s="59">
        <f ca="1">AVERAGE(OFFSET($R$3,0,0,'Données projet'!$E$9+1,1))-AVERAGE(OFFSET($H$3,0,0,'Données projet'!$E$9+1,1))</f>
        <v>408.51124670343137</v>
      </c>
      <c r="T10" s="59">
        <f t="shared" si="34"/>
        <v>250.47702091764884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2.4666666666666668</v>
      </c>
      <c r="AI10" s="13">
        <f>IF('Données projet'!$A$62&gt;35,AI9+AH10-AQ9,IF(A10&lt;'Données projet'!$A$62,$AF$205^A10,IF(A10='Données projet'!$A$62,'Données projet'!$B$62,AI9+AH10-AQ9)))</f>
        <v>5.3929633792034757</v>
      </c>
      <c r="AJ10" s="13">
        <f>AI10*VLOOKUP('Données projet'!$B$10,Paramètres!$A$1:$I$89,3,0)*VLOOKUP('Données projet'!$B$10,Paramètres!$A$1:$I$89,5,0)</f>
        <v>4.2906416644942853</v>
      </c>
      <c r="AK10" s="13">
        <f t="shared" si="35"/>
        <v>1.6689707336887791</v>
      </c>
      <c r="AL10" s="20">
        <f t="shared" si="4"/>
        <v>10.379658260168837</v>
      </c>
      <c r="AM10" s="59">
        <f t="shared" si="5"/>
        <v>194.50383919590507</v>
      </c>
      <c r="AN10" s="59">
        <f ca="1">AVERAGE(OFFSET($AM$3,0,0,'Données projet'!$E$10+1,1))-AVERAGE(OFFSET($H$3,0,0,'Données projet'!$E$10+1,1))</f>
        <v>327.22763817565902</v>
      </c>
      <c r="AO10" s="59">
        <f t="shared" si="36"/>
        <v>311.68541696405975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3.4666666666666668</v>
      </c>
      <c r="BD10" s="12">
        <f>IF('Données projet'!$A$88&gt;35,BD9+BC10-BL9,IF(A10&lt;'Données projet'!$A$88,$BA$205^A10,IF(A10='Données projet'!$A$88,'Données projet'!$B$88,BD9+BC10-BL9)))</f>
        <v>6.3212295313575106</v>
      </c>
      <c r="BE10" s="13">
        <f>BD10*VLOOKUP('Données projet'!$B$11,Paramètres!$A$1:$I$89,3,0)*VLOOKUP('Données projet'!$B$11,Paramètres!$A$1:$I$89,5,0)</f>
        <v>4.0430584082562637</v>
      </c>
      <c r="BF10" s="13">
        <f t="shared" si="37"/>
        <v>1.5835837424693986</v>
      </c>
      <c r="BG10" s="20">
        <f t="shared" si="7"/>
        <v>9.7997350791805271</v>
      </c>
      <c r="BH10" s="59">
        <f t="shared" si="8"/>
        <v>193.92391601491676</v>
      </c>
      <c r="BI10" s="59">
        <f ca="1">AVERAGE(OFFSET($BH$3,0,0,'Données projet'!$E$11+1,1))-AVERAGE(OFFSET($H$3,0,0,'Données projet'!$E$11+1,1))</f>
        <v>169.46470423366029</v>
      </c>
      <c r="BJ10" s="59">
        <f t="shared" si="38"/>
        <v>230.78141128389288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2.2999999999999998</v>
      </c>
      <c r="BY10" s="12">
        <f>IF('Données projet'!$A$114&gt;35,BY9+BX10-CG9,IF(A10&lt;'Données projet'!$A$114,$BV$205^A10,IF(A10='Données projet'!$A$114,'Données projet'!$B$114,BY9+BX10-CG9)))</f>
        <v>8.9786178045341511</v>
      </c>
      <c r="BZ10" s="13">
        <f>BY10*VLOOKUP('Données projet'!$B$12,Paramètres!$A$1:$I$89,3,0)*VLOOKUP('Données projet'!$B$12,Paramètres!$A$1:$I$89,5,0)</f>
        <v>7.8437205140410358</v>
      </c>
      <c r="CA10" s="13">
        <f t="shared" si="39"/>
        <v>2.8441454451868036</v>
      </c>
      <c r="CB10" s="20">
        <f t="shared" si="10"/>
        <v>18.614699878988485</v>
      </c>
      <c r="CC10" s="59">
        <f t="shared" si="11"/>
        <v>202.73888081472472</v>
      </c>
      <c r="CD10" s="59">
        <f ca="1">AVERAGE(OFFSET($CC$3,0,0,'Données projet'!$E$12+1,1))-AVERAGE(OFFSET($H$3,0,0,'Données projet'!$E$12+1,1))</f>
        <v>342.79161436526499</v>
      </c>
      <c r="CE10" s="59">
        <f t="shared" si="40"/>
        <v>315.50730924873733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1.2</v>
      </c>
      <c r="CT10" s="12">
        <f>IF('Données projet'!$A$140&gt;35,CT9+CS10-DB9,IF(A10&lt;'Données projet'!$A$140,$CQ$205^A10,IF(A10='Données projet'!$A$140,'Données projet'!$B$140,CT9+CS10-DB9)))</f>
        <v>2.5917550374450604</v>
      </c>
      <c r="CU10" s="17">
        <f>CT10*VLOOKUP('Données projet'!$B$13,Paramètres!$A$1:$I$89,3,0)*VLOOKUP('Données projet'!$B$13,Paramètres!$A$1:$I$89,5,0)</f>
        <v>1.7385492791181465</v>
      </c>
      <c r="CV10" s="13">
        <f t="shared" si="41"/>
        <v>0.75124449522779846</v>
      </c>
      <c r="CW10" s="20">
        <f t="shared" si="13"/>
        <v>4.3363908236525202</v>
      </c>
      <c r="CX10" s="59">
        <f t="shared" si="14"/>
        <v>188.46057175938876</v>
      </c>
      <c r="CY10" s="59">
        <f ca="1">AVERAGE(OFFSET($CX$3,0,0,'Données projet'!$E$13+1,1))-AVERAGE(OFFSET($H$3,0,0,'Données projet'!$E$13+1,1))</f>
        <v>201.84651193684252</v>
      </c>
      <c r="CZ10" s="59">
        <f t="shared" si="42"/>
        <v>138.00705940844708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1.1000000000000001</v>
      </c>
      <c r="DO10" s="12">
        <f>IF('Données projet'!$A$166&gt;35,DO9+DN10-DW9,IF(A10&lt;'Données projet'!$A$166,$DL$205^A10,IF(A10='Données projet'!$A$166,'Données projet'!$B$166,DO9+DN10-DW9)))</f>
        <v>5.3576566694841175</v>
      </c>
      <c r="DP10" s="17">
        <f>DO10*VLOOKUP('Données projet'!$B$14,Paramètres!$A$1:$I$89,3,0)*VLOOKUP('Données projet'!$B$14,Paramètres!$A$1:$I$89,5,0)</f>
        <v>3.9282338700657551</v>
      </c>
      <c r="DQ10" s="13">
        <f t="shared" si="43"/>
        <v>1.5437779404847436</v>
      </c>
      <c r="DR10" s="20">
        <f t="shared" si="16"/>
        <v>9.5304205700421178</v>
      </c>
      <c r="DS10" s="59">
        <f t="shared" si="17"/>
        <v>193.65460150577834</v>
      </c>
      <c r="DT10" s="59">
        <f ca="1">AVERAGE(OFFSET($DS$3,0,0,'Données projet'!$E$14+1,1))-AVERAGE(OFFSET($H$3,0,0,'Données projet'!$E$14+1,1))</f>
        <v>242.21240859696931</v>
      </c>
      <c r="DU10" s="59">
        <f t="shared" si="44"/>
        <v>340.92165104349192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1.2</v>
      </c>
      <c r="EJ10" s="12">
        <f>IF('Données projet'!$A$192&gt;35,EJ9+EI10-ER9,IF(A10&lt;'Données projet'!$A$192,$EG$205^A10,IF(A10='Données projet'!$A$192,'Données projet'!$B$192,EJ9+EI10-ER9)))</f>
        <v>2.5917550374450604</v>
      </c>
      <c r="EK10" s="17">
        <f>EJ10*VLOOKUP('Données projet'!$B$15,Paramètres!$A$1:$I$89,3,0)*VLOOKUP('Données projet'!$B$15,Paramètres!$A$1:$I$89,5,0)</f>
        <v>2.5067454722168625</v>
      </c>
      <c r="EL10" s="13">
        <f t="shared" si="45"/>
        <v>1.038020360582093</v>
      </c>
      <c r="EM10" s="20">
        <f t="shared" si="19"/>
        <v>6.1738004921248475</v>
      </c>
      <c r="EN10" s="59">
        <f t="shared" si="20"/>
        <v>190.29798142786109</v>
      </c>
      <c r="EO10" s="59">
        <f ca="1">AVERAGE(OFFSET($EN$3,0,0,'Données projet'!$E$15+1,1))-AVERAGE(OFFSET($H$3,0,0,'Données projet'!$E$15+1,1))</f>
        <v>331.7059599630698</v>
      </c>
      <c r="EP10" s="59">
        <f t="shared" si="46"/>
        <v>173.19148969173838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1.2</v>
      </c>
      <c r="FE10" s="12">
        <f>IF('Données projet'!$A$218&gt;35,FE9+FD10-FM9,IF(A10&lt;'Données projet'!$A$218,$FB$205^A10,IF(A10='Données projet'!$A$218,'Données projet'!$B$218,FE9+FD10-FM9)))</f>
        <v>2.5917550374450604</v>
      </c>
      <c r="FF10" s="17">
        <f>FE10*VLOOKUP('Données projet'!$B$16,Paramètres!$A$1:$I$89,3,0)*VLOOKUP('Données projet'!$B$16,Paramètres!$A$1:$I$89,5,0)</f>
        <v>2.7897651223058633</v>
      </c>
      <c r="FG10" s="13">
        <f t="shared" si="47"/>
        <v>1.1409211524498617</v>
      </c>
      <c r="FH10" s="20">
        <f t="shared" si="22"/>
        <v>6.8459452618662198</v>
      </c>
      <c r="FI10" s="59">
        <f t="shared" si="23"/>
        <v>190.97012619760244</v>
      </c>
      <c r="FJ10" s="59">
        <f ca="1">AVERAGE(OFFSET($FI$3,0,0,'Données projet'!$E$16+1,1))-AVERAGE(OFFSET($H$3,0,0,'Données projet'!$E$16+1,1))</f>
        <v>360.86062459677004</v>
      </c>
      <c r="FK10" s="59">
        <f t="shared" si="48"/>
        <v>186.0840067781198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2.1</v>
      </c>
      <c r="FZ10" s="12">
        <f>IF('Données projet'!$A$244&gt;35,FZ9+FY10-GH9,IF(A10&lt;'Données projet'!$A$244,$FW$205^A10,IF(A10='Données projet'!$A$244,'Données projet'!$B$244,FZ9+FY10-GH9)))</f>
        <v>3.6994507637402658</v>
      </c>
      <c r="GA10" s="17">
        <f>FZ10*VLOOKUP('Données projet'!$B$17,Paramètres!$A$1:$I$89,3,0)*VLOOKUP('Données projet'!$B$17,Paramètres!$A$1:$I$89,5,0)</f>
        <v>3.7512430744326299</v>
      </c>
      <c r="GB10" s="13">
        <f t="shared" si="49"/>
        <v>1.4821538192545303</v>
      </c>
      <c r="GC10" s="20">
        <f t="shared" si="25"/>
        <v>9.1148329231718037</v>
      </c>
      <c r="GD10" s="59">
        <f t="shared" si="26"/>
        <v>193.23901385890804</v>
      </c>
      <c r="GE10" s="59">
        <f ca="1">AVERAGE(OFFSET($GD$3,0,0,'Données projet'!$E$17+1,1))-AVERAGE(OFFSET($H$3,0,0,'Données projet'!$E$17+1,1))</f>
        <v>448.73339628506784</v>
      </c>
      <c r="GF10" s="59">
        <f t="shared" si="50"/>
        <v>273.35778700650803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4.0350814731667564</v>
      </c>
      <c r="P11" s="13">
        <f t="shared" si="33"/>
        <v>1.5808227025391921</v>
      </c>
      <c r="Q11" s="20">
        <f t="shared" si="2"/>
        <v>9.7810331060211926</v>
      </c>
      <c r="R11" s="59">
        <f t="shared" si="0"/>
        <v>196.53430597224175</v>
      </c>
      <c r="S11" s="59">
        <f ca="1">AVERAGE(OFFSET($R$3,0,0,'Données projet'!$E$9+1,1))-AVERAGE(OFFSET($H$3,0,0,'Données projet'!$E$9+1,1))</f>
        <v>408.51124670343137</v>
      </c>
      <c r="T11" s="59">
        <f t="shared" si="34"/>
        <v>250.47702091764884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2.4666666666666668</v>
      </c>
      <c r="AI11" s="13">
        <f>IF('Données projet'!$A$62&gt;35,AI10+AH11-AQ10,IF(A11&lt;'Données projet'!$A$62,$AF$205^A11,IF(A11='Données projet'!$A$62,'Données projet'!$B$62,AI10+AH11-AQ10)))</f>
        <v>6.8607919984549888</v>
      </c>
      <c r="AJ11" s="13">
        <f>AI11*VLOOKUP('Données projet'!$B$10,Paramètres!$A$1:$I$89,3,0)*VLOOKUP('Données projet'!$B$10,Paramètres!$A$1:$I$89,5,0)</f>
        <v>5.4584461139707896</v>
      </c>
      <c r="AK11" s="13">
        <f t="shared" si="35"/>
        <v>2.0645540509389519</v>
      </c>
      <c r="AL11" s="20">
        <f t="shared" si="4"/>
        <v>13.102558620551131</v>
      </c>
      <c r="AM11" s="59">
        <f t="shared" si="5"/>
        <v>199.85583148677168</v>
      </c>
      <c r="AN11" s="59">
        <f ca="1">AVERAGE(OFFSET($AM$3,0,0,'Données projet'!$E$10+1,1))-AVERAGE(OFFSET($H$3,0,0,'Données projet'!$E$10+1,1))</f>
        <v>327.22763817565902</v>
      </c>
      <c r="AO11" s="59">
        <f t="shared" si="36"/>
        <v>311.68541696405975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3.4666666666666668</v>
      </c>
      <c r="BD11" s="12">
        <f>IF('Données projet'!$A$88&gt;35,BD10+BC11-BL10,IF(A11&lt;'Données projet'!$A$88,$BA$205^A11,IF(A11='Données projet'!$A$88,'Données projet'!$B$88,BD10+BC11-BL10)))</f>
        <v>8.2262477168477002</v>
      </c>
      <c r="BE11" s="13">
        <f>BD11*VLOOKUP('Données projet'!$B$11,Paramètres!$A$1:$I$89,3,0)*VLOOKUP('Données projet'!$B$11,Paramètres!$A$1:$I$89,5,0)</f>
        <v>5.261508039695789</v>
      </c>
      <c r="BF11" s="13">
        <f t="shared" si="37"/>
        <v>1.9985962650513942</v>
      </c>
      <c r="BG11" s="20">
        <f t="shared" si="7"/>
        <v>12.644681664101343</v>
      </c>
      <c r="BH11" s="59">
        <f t="shared" si="8"/>
        <v>199.3979545303219</v>
      </c>
      <c r="BI11" s="59">
        <f ca="1">AVERAGE(OFFSET($BH$3,0,0,'Données projet'!$E$11+1,1))-AVERAGE(OFFSET($H$3,0,0,'Données projet'!$E$11+1,1))</f>
        <v>169.46470423366029</v>
      </c>
      <c r="BJ11" s="59">
        <f t="shared" si="38"/>
        <v>230.78141128389288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2.2999999999999998</v>
      </c>
      <c r="BY11" s="12">
        <f>IF('Données projet'!$A$114&gt;35,BY10+BX11-CG10,IF(A11&lt;'Données projet'!$A$114,$BV$205^A11,IF(A11='Données projet'!$A$114,'Données projet'!$B$114,BY10+BX11-CG10)))</f>
        <v>12.285201067417038</v>
      </c>
      <c r="BZ11" s="13">
        <f>BY11*VLOOKUP('Données projet'!$B$12,Paramètres!$A$1:$I$89,3,0)*VLOOKUP('Données projet'!$B$12,Paramètres!$A$1:$I$89,5,0)</f>
        <v>10.732351652495526</v>
      </c>
      <c r="CA11" s="13">
        <f t="shared" si="39"/>
        <v>3.7520971385606225</v>
      </c>
      <c r="CB11" s="20">
        <f t="shared" si="10"/>
        <v>25.227081644422793</v>
      </c>
      <c r="CC11" s="59">
        <f t="shared" si="11"/>
        <v>211.98035451064334</v>
      </c>
      <c r="CD11" s="59">
        <f ca="1">AVERAGE(OFFSET($CC$3,0,0,'Données projet'!$E$12+1,1))-AVERAGE(OFFSET($H$3,0,0,'Données projet'!$E$12+1,1))</f>
        <v>342.79161436526499</v>
      </c>
      <c r="CE11" s="59">
        <f t="shared" si="40"/>
        <v>315.50730924873733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1.2</v>
      </c>
      <c r="CT11" s="12">
        <f>IF('Données projet'!$A$140&gt;35,CT10+CS11-DB10,IF(A11&lt;'Données projet'!$A$140,$CQ$205^A11,IF(A11='Données projet'!$A$140,'Données projet'!$B$140,CT10+CS11-DB10)))</f>
        <v>2.9694690391391689</v>
      </c>
      <c r="CU11" s="17">
        <f>CT11*VLOOKUP('Données projet'!$B$13,Paramètres!$A$1:$I$89,3,0)*VLOOKUP('Données projet'!$B$13,Paramètres!$A$1:$I$89,5,0)</f>
        <v>1.9919198314545545</v>
      </c>
      <c r="CV11" s="13">
        <f t="shared" si="41"/>
        <v>0.84720532408335292</v>
      </c>
      <c r="CW11" s="20">
        <f t="shared" si="13"/>
        <v>4.9448096458951891</v>
      </c>
      <c r="CX11" s="59">
        <f t="shared" si="14"/>
        <v>191.69808251211575</v>
      </c>
      <c r="CY11" s="59">
        <f ca="1">AVERAGE(OFFSET($CX$3,0,0,'Données projet'!$E$13+1,1))-AVERAGE(OFFSET($H$3,0,0,'Données projet'!$E$13+1,1))</f>
        <v>201.84651193684252</v>
      </c>
      <c r="CZ11" s="59">
        <f t="shared" si="42"/>
        <v>138.00705940844708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1.1000000000000001</v>
      </c>
      <c r="DO11" s="12">
        <f>IF('Données projet'!$A$166&gt;35,DO10+DN11-DW10,IF(A11&lt;'Données projet'!$A$166,$DL$205^A11,IF(A11='Données projet'!$A$166,'Données projet'!$B$166,DO10+DN11-DW10)))</f>
        <v>6.8094831275223076</v>
      </c>
      <c r="DP11" s="17">
        <f>DO11*VLOOKUP('Données projet'!$B$14,Paramètres!$A$1:$I$89,3,0)*VLOOKUP('Données projet'!$B$14,Paramètres!$A$1:$I$89,5,0)</f>
        <v>4.9927130290993551</v>
      </c>
      <c r="DQ11" s="13">
        <f t="shared" si="43"/>
        <v>1.9081050833380053</v>
      </c>
      <c r="DR11" s="20">
        <f t="shared" si="16"/>
        <v>12.018924879161736</v>
      </c>
      <c r="DS11" s="59">
        <f t="shared" si="17"/>
        <v>198.7721977453823</v>
      </c>
      <c r="DT11" s="59">
        <f ca="1">AVERAGE(OFFSET($DS$3,0,0,'Données projet'!$E$14+1,1))-AVERAGE(OFFSET($H$3,0,0,'Données projet'!$E$14+1,1))</f>
        <v>242.21240859696931</v>
      </c>
      <c r="DU11" s="59">
        <f t="shared" si="44"/>
        <v>340.92165104349192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1.2</v>
      </c>
      <c r="EJ11" s="12">
        <f>IF('Données projet'!$A$192&gt;35,EJ10+EI11-ER10,IF(A11&lt;'Données projet'!$A$192,$EG$205^A11,IF(A11='Données projet'!$A$192,'Données projet'!$B$192,EJ10+EI11-ER10)))</f>
        <v>2.9694690391391689</v>
      </c>
      <c r="EK11" s="17">
        <f>EJ11*VLOOKUP('Données projet'!$B$15,Paramètres!$A$1:$I$89,3,0)*VLOOKUP('Données projet'!$B$15,Paramètres!$A$1:$I$89,5,0)</f>
        <v>2.8720704546554043</v>
      </c>
      <c r="EL11" s="13">
        <f t="shared" si="45"/>
        <v>1.1706127387002112</v>
      </c>
      <c r="EM11" s="20">
        <f t="shared" si="19"/>
        <v>7.04100656176103</v>
      </c>
      <c r="EN11" s="59">
        <f t="shared" si="20"/>
        <v>193.79427942798159</v>
      </c>
      <c r="EO11" s="59">
        <f ca="1">AVERAGE(OFFSET($EN$3,0,0,'Données projet'!$E$15+1,1))-AVERAGE(OFFSET($H$3,0,0,'Données projet'!$E$15+1,1))</f>
        <v>331.7059599630698</v>
      </c>
      <c r="EP11" s="59">
        <f t="shared" si="46"/>
        <v>173.19148969173838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1.2</v>
      </c>
      <c r="FE11" s="12">
        <f>IF('Données projet'!$A$218&gt;35,FE10+FD11-FM10,IF(A11&lt;'Données projet'!$A$218,$FB$205^A11,IF(A11='Données projet'!$A$218,'Données projet'!$B$218,FE10+FD11-FM10)))</f>
        <v>2.9694690391391689</v>
      </c>
      <c r="FF11" s="17">
        <f>FE11*VLOOKUP('Données projet'!$B$16,Paramètres!$A$1:$I$89,3,0)*VLOOKUP('Données projet'!$B$16,Paramètres!$A$1:$I$89,5,0)</f>
        <v>3.1963364737294016</v>
      </c>
      <c r="FG11" s="13">
        <f t="shared" si="47"/>
        <v>1.28665764721742</v>
      </c>
      <c r="FH11" s="20">
        <f t="shared" si="22"/>
        <v>7.8078814273157144</v>
      </c>
      <c r="FI11" s="59">
        <f t="shared" si="23"/>
        <v>194.56115429353628</v>
      </c>
      <c r="FJ11" s="59">
        <f ca="1">AVERAGE(OFFSET($FI$3,0,0,'Données projet'!$E$16+1,1))-AVERAGE(OFFSET($H$3,0,0,'Données projet'!$E$16+1,1))</f>
        <v>360.86062459677004</v>
      </c>
      <c r="FK11" s="59">
        <f t="shared" si="48"/>
        <v>186.0840067781198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2.1</v>
      </c>
      <c r="FZ11" s="12">
        <f>IF('Données projet'!$A$244&gt;35,FZ10+FY11-GH10,IF(A11&lt;'Données projet'!$A$244,$FW$205^A11,IF(A11='Données projet'!$A$244,'Données projet'!$B$244,FZ10+FY11-GH10)))</f>
        <v>4.4596391171162209</v>
      </c>
      <c r="GA11" s="17">
        <f>FZ11*VLOOKUP('Données projet'!$B$17,Paramètres!$A$1:$I$89,3,0)*VLOOKUP('Données projet'!$B$17,Paramètres!$A$1:$I$89,5,0)</f>
        <v>4.5220740647558486</v>
      </c>
      <c r="GB11" s="13">
        <f t="shared" si="49"/>
        <v>1.7482697016499746</v>
      </c>
      <c r="GC11" s="20">
        <f t="shared" si="25"/>
        <v>10.92084872649014</v>
      </c>
      <c r="GD11" s="59">
        <f t="shared" si="26"/>
        <v>197.67412159271069</v>
      </c>
      <c r="GE11" s="59">
        <f ca="1">AVERAGE(OFFSET($GD$3,0,0,'Données projet'!$E$17+1,1))-AVERAGE(OFFSET($H$3,0,0,'Données projet'!$E$17+1,1))</f>
        <v>448.73339628506784</v>
      </c>
      <c r="GF11" s="59">
        <f t="shared" si="50"/>
        <v>273.35778700650803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4.8642375119197085</v>
      </c>
      <c r="P12" s="13">
        <f t="shared" si="33"/>
        <v>1.8646542609995393</v>
      </c>
      <c r="Q12" s="20">
        <f t="shared" si="2"/>
        <v>11.719486504501022</v>
      </c>
      <c r="R12" s="59">
        <f t="shared" si="0"/>
        <v>201.07744525705709</v>
      </c>
      <c r="S12" s="59">
        <f ca="1">AVERAGE(OFFSET($R$3,0,0,'Données projet'!$E$9+1,1))-AVERAGE(OFFSET($H$3,0,0,'Données projet'!$E$9+1,1))</f>
        <v>408.51124670343137</v>
      </c>
      <c r="T12" s="59">
        <f t="shared" si="34"/>
        <v>250.47702091764884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2.4666666666666668</v>
      </c>
      <c r="AI12" s="13">
        <f>IF('Données projet'!$A$62&gt;35,AI11+AH12-AQ11,IF(A12&lt;'Données projet'!$A$62,$AF$205^A12,IF(A12='Données projet'!$A$62,'Données projet'!$B$62,AI11+AH12-AQ11)))</f>
        <v>8.7281265486761299</v>
      </c>
      <c r="AJ12" s="13">
        <f>AI12*VLOOKUP('Données projet'!$B$10,Paramètres!$A$1:$I$89,3,0)*VLOOKUP('Données projet'!$B$10,Paramètres!$A$1:$I$89,5,0)</f>
        <v>6.9440974821267289</v>
      </c>
      <c r="AK12" s="13">
        <f t="shared" si="35"/>
        <v>2.5538994442566798</v>
      </c>
      <c r="AL12" s="20">
        <f t="shared" si="4"/>
        <v>16.542344646784436</v>
      </c>
      <c r="AM12" s="59">
        <f t="shared" si="5"/>
        <v>205.90030339934052</v>
      </c>
      <c r="AN12" s="59">
        <f ca="1">AVERAGE(OFFSET($AM$3,0,0,'Données projet'!$E$10+1,1))-AVERAGE(OFFSET($H$3,0,0,'Données projet'!$E$10+1,1))</f>
        <v>327.22763817565902</v>
      </c>
      <c r="AO12" s="59">
        <f t="shared" si="36"/>
        <v>311.68541696405975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3.4666666666666668</v>
      </c>
      <c r="BD12" s="12">
        <f>IF('Données projet'!$A$88&gt;35,BD11+BC12-BL11,IF(A12&lt;'Données projet'!$A$88,$BA$205^A12,IF(A12='Données projet'!$A$88,'Données projet'!$B$88,BD11+BC12-BL11)))</f>
        <v>10.7053779906659</v>
      </c>
      <c r="BE12" s="13">
        <f>BD12*VLOOKUP('Données projet'!$B$11,Paramètres!$A$1:$I$89,3,0)*VLOOKUP('Données projet'!$B$11,Paramètres!$A$1:$I$89,5,0)</f>
        <v>6.847159762829909</v>
      </c>
      <c r="BF12" s="13">
        <f t="shared" si="37"/>
        <v>2.5223718351949236</v>
      </c>
      <c r="BG12" s="20">
        <f t="shared" si="7"/>
        <v>16.318600866559915</v>
      </c>
      <c r="BH12" s="59">
        <f t="shared" si="8"/>
        <v>205.67655961911598</v>
      </c>
      <c r="BI12" s="59">
        <f ca="1">AVERAGE(OFFSET($BH$3,0,0,'Données projet'!$E$11+1,1))-AVERAGE(OFFSET($H$3,0,0,'Données projet'!$E$11+1,1))</f>
        <v>169.46470423366029</v>
      </c>
      <c r="BJ12" s="59">
        <f t="shared" si="38"/>
        <v>230.78141128389288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2.2999999999999998</v>
      </c>
      <c r="BY12" s="12">
        <f>IF('Données projet'!$A$114&gt;35,BY11+BX12-CG11,IF(A12&lt;'Données projet'!$A$114,$BV$205^A12,IF(A12='Données projet'!$A$114,'Données projet'!$B$114,BY11+BX12-CG11)))</f>
        <v>16.809509943796456</v>
      </c>
      <c r="BZ12" s="13">
        <f>BY12*VLOOKUP('Données projet'!$B$12,Paramètres!$A$1:$I$89,3,0)*VLOOKUP('Données projet'!$B$12,Paramètres!$A$1:$I$89,5,0)</f>
        <v>14.684787886900585</v>
      </c>
      <c r="CA12" s="13">
        <f t="shared" si="39"/>
        <v>4.9498990851609408</v>
      </c>
      <c r="CB12" s="20">
        <f t="shared" si="10"/>
        <v>34.197079809673824</v>
      </c>
      <c r="CC12" s="59">
        <f t="shared" si="11"/>
        <v>223.5550385622299</v>
      </c>
      <c r="CD12" s="59">
        <f ca="1">AVERAGE(OFFSET($CC$3,0,0,'Données projet'!$E$12+1,1))-AVERAGE(OFFSET($H$3,0,0,'Données projet'!$E$12+1,1))</f>
        <v>342.79161436526499</v>
      </c>
      <c r="CE12" s="59">
        <f t="shared" si="40"/>
        <v>315.50730924873733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1.2</v>
      </c>
      <c r="CT12" s="12">
        <f>IF('Données projet'!$A$140&gt;35,CT11+CS12-DB11,IF(A12&lt;'Données projet'!$A$140,$CQ$205^A12,IF(A12='Données projet'!$A$140,'Données projet'!$B$140,CT11+CS12-DB11)))</f>
        <v>3.4022298585357786</v>
      </c>
      <c r="CU12" s="17">
        <f>CT12*VLOOKUP('Données projet'!$B$13,Paramètres!$A$1:$I$89,3,0)*VLOOKUP('Données projet'!$B$13,Paramètres!$A$1:$I$89,5,0)</f>
        <v>2.2822157891058001</v>
      </c>
      <c r="CV12" s="13">
        <f t="shared" si="41"/>
        <v>0.95542378774773573</v>
      </c>
      <c r="CW12" s="20">
        <f t="shared" si="13"/>
        <v>5.6388889296865754</v>
      </c>
      <c r="CX12" s="59">
        <f t="shared" si="14"/>
        <v>194.99684768224265</v>
      </c>
      <c r="CY12" s="59">
        <f ca="1">AVERAGE(OFFSET($CX$3,0,0,'Données projet'!$E$13+1,1))-AVERAGE(OFFSET($H$3,0,0,'Données projet'!$E$13+1,1))</f>
        <v>201.84651193684252</v>
      </c>
      <c r="CZ12" s="59">
        <f t="shared" si="42"/>
        <v>138.00705940844708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1.1000000000000001</v>
      </c>
      <c r="DO12" s="12">
        <f>IF('Données projet'!$A$166&gt;35,DO11+DN12-DW11,IF(A12&lt;'Données projet'!$A$166,$DL$205^A12,IF(A12='Données projet'!$A$166,'Données projet'!$B$166,DO11+DN12-DW11)))</f>
        <v>8.6547278641645029</v>
      </c>
      <c r="DP12" s="17">
        <f>DO12*VLOOKUP('Données projet'!$B$14,Paramètres!$A$1:$I$89,3,0)*VLOOKUP('Données projet'!$B$14,Paramètres!$A$1:$I$89,5,0)</f>
        <v>6.3456464700054127</v>
      </c>
      <c r="DQ12" s="13">
        <f t="shared" si="43"/>
        <v>2.3584123814576028</v>
      </c>
      <c r="DR12" s="20">
        <f t="shared" si="16"/>
        <v>15.159569166298086</v>
      </c>
      <c r="DS12" s="59">
        <f t="shared" si="17"/>
        <v>204.51752791885417</v>
      </c>
      <c r="DT12" s="59">
        <f ca="1">AVERAGE(OFFSET($DS$3,0,0,'Données projet'!$E$14+1,1))-AVERAGE(OFFSET($H$3,0,0,'Données projet'!$E$14+1,1))</f>
        <v>242.21240859696931</v>
      </c>
      <c r="DU12" s="59">
        <f t="shared" si="44"/>
        <v>340.92165104349192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1.2</v>
      </c>
      <c r="EJ12" s="12">
        <f>IF('Données projet'!$A$192&gt;35,EJ11+EI12-ER11,IF(A12&lt;'Données projet'!$A$192,$EG$205^A12,IF(A12='Données projet'!$A$192,'Données projet'!$B$192,EJ11+EI12-ER11)))</f>
        <v>3.4022298585357786</v>
      </c>
      <c r="EK12" s="17">
        <f>EJ12*VLOOKUP('Données projet'!$B$15,Paramètres!$A$1:$I$89,3,0)*VLOOKUP('Données projet'!$B$15,Paramètres!$A$1:$I$89,5,0)</f>
        <v>3.2906367191758048</v>
      </c>
      <c r="EL12" s="13">
        <f t="shared" si="45"/>
        <v>1.3201419124753617</v>
      </c>
      <c r="EM12" s="20">
        <f t="shared" si="19"/>
        <v>8.0304394501257814</v>
      </c>
      <c r="EN12" s="59">
        <f t="shared" si="20"/>
        <v>197.38839820268186</v>
      </c>
      <c r="EO12" s="59">
        <f ca="1">AVERAGE(OFFSET($EN$3,0,0,'Données projet'!$E$15+1,1))-AVERAGE(OFFSET($H$3,0,0,'Données projet'!$E$15+1,1))</f>
        <v>331.7059599630698</v>
      </c>
      <c r="EP12" s="59">
        <f t="shared" si="46"/>
        <v>173.19148969173838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1.2</v>
      </c>
      <c r="FE12" s="12">
        <f>IF('Données projet'!$A$218&gt;35,FE11+FD12-FM11,IF(A12&lt;'Données projet'!$A$218,$FB$205^A12,IF(A12='Données projet'!$A$218,'Données projet'!$B$218,FE11+FD12-FM11)))</f>
        <v>3.4022298585357786</v>
      </c>
      <c r="FF12" s="17">
        <f>FE12*VLOOKUP('Données projet'!$B$16,Paramètres!$A$1:$I$89,3,0)*VLOOKUP('Données projet'!$B$16,Paramètres!$A$1:$I$89,5,0)</f>
        <v>3.6621602197279119</v>
      </c>
      <c r="FG12" s="13">
        <f t="shared" si="47"/>
        <v>1.4510099121120625</v>
      </c>
      <c r="FH12" s="20">
        <f t="shared" si="22"/>
        <v>8.9054379796212881</v>
      </c>
      <c r="FI12" s="59">
        <f t="shared" si="23"/>
        <v>198.26339673217737</v>
      </c>
      <c r="FJ12" s="59">
        <f ca="1">AVERAGE(OFFSET($FI$3,0,0,'Données projet'!$E$16+1,1))-AVERAGE(OFFSET($H$3,0,0,'Données projet'!$E$16+1,1))</f>
        <v>360.86062459677004</v>
      </c>
      <c r="FK12" s="59">
        <f t="shared" si="48"/>
        <v>186.0840067781198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2.1</v>
      </c>
      <c r="FZ12" s="12">
        <f>IF('Données projet'!$A$244&gt;35,FZ11+FY12-GH11,IF(A12&lt;'Données projet'!$A$244,$FW$205^A12,IF(A12='Données projet'!$A$244,'Données projet'!$B$244,FZ11+FY12-GH11)))</f>
        <v>5.3760361537574148</v>
      </c>
      <c r="GA12" s="17">
        <f>FZ12*VLOOKUP('Données projet'!$B$17,Paramètres!$A$1:$I$89,3,0)*VLOOKUP('Données projet'!$B$17,Paramètres!$A$1:$I$89,5,0)</f>
        <v>5.4513006599100189</v>
      </c>
      <c r="GB12" s="13">
        <f t="shared" si="49"/>
        <v>2.062165822468125</v>
      </c>
      <c r="GC12" s="20">
        <f t="shared" si="25"/>
        <v>13.085954123475267</v>
      </c>
      <c r="GD12" s="59">
        <f t="shared" si="26"/>
        <v>202.44391287603133</v>
      </c>
      <c r="GE12" s="59">
        <f ca="1">AVERAGE(OFFSET($GD$3,0,0,'Données projet'!$E$17+1,1))-AVERAGE(OFFSET($H$3,0,0,'Données projet'!$E$17+1,1))</f>
        <v>448.73339628506784</v>
      </c>
      <c r="GF12" s="59">
        <f t="shared" si="50"/>
        <v>273.35778700650803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5.8637741839194364</v>
      </c>
      <c r="P13" s="13">
        <f t="shared" si="33"/>
        <v>2.1994468497187687</v>
      </c>
      <c r="Q13" s="20">
        <f t="shared" si="2"/>
        <v>14.043443300253207</v>
      </c>
      <c r="R13" s="59">
        <f t="shared" si="0"/>
        <v>205.9821052852981</v>
      </c>
      <c r="S13" s="59">
        <f ca="1">AVERAGE(OFFSET($R$3,0,0,'Données projet'!$E$9+1,1))-AVERAGE(OFFSET($H$3,0,0,'Données projet'!$E$9+1,1))</f>
        <v>408.51124670343137</v>
      </c>
      <c r="T13" s="59">
        <f t="shared" si="34"/>
        <v>250.47702091764884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2.4666666666666668</v>
      </c>
      <c r="AI13" s="13">
        <f>IF('Données projet'!$A$62&gt;35,AI12+AH13-AQ12,IF(A13&lt;'Données projet'!$A$62,$AF$205^A13,IF(A13='Données projet'!$A$62,'Données projet'!$B$62,AI12+AH13-AQ12)))</f>
        <v>11.103702468586782</v>
      </c>
      <c r="AJ13" s="13">
        <f>AI13*VLOOKUP('Données projet'!$B$10,Paramètres!$A$1:$I$89,3,0)*VLOOKUP('Données projet'!$B$10,Paramètres!$A$1:$I$89,5,0)</f>
        <v>8.8341056840076444</v>
      </c>
      <c r="AK13" s="13">
        <f t="shared" si="35"/>
        <v>3.1592306185484516</v>
      </c>
      <c r="AL13" s="20">
        <f t="shared" si="4"/>
        <v>20.888394060285197</v>
      </c>
      <c r="AM13" s="59">
        <f t="shared" si="5"/>
        <v>212.8270560453301</v>
      </c>
      <c r="AN13" s="59">
        <f ca="1">AVERAGE(OFFSET($AM$3,0,0,'Données projet'!$E$10+1,1))-AVERAGE(OFFSET($H$3,0,0,'Données projet'!$E$10+1,1))</f>
        <v>327.22763817565902</v>
      </c>
      <c r="AO13" s="59">
        <f t="shared" si="36"/>
        <v>311.68541696405975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3.4666666666666668</v>
      </c>
      <c r="BD13" s="12">
        <f>IF('Données projet'!$A$88&gt;35,BD12+BC13-BL12,IF(A13&lt;'Données projet'!$A$88,$BA$205^A13,IF(A13='Données projet'!$A$88,'Données projet'!$B$88,BD12+BC13-BL12)))</f>
        <v>13.931639535765228</v>
      </c>
      <c r="BE13" s="13">
        <f>BD13*VLOOKUP('Données projet'!$B$11,Paramètres!$A$1:$I$89,3,0)*VLOOKUP('Données projet'!$B$11,Paramètres!$A$1:$I$89,5,0)</f>
        <v>8.9106766470754408</v>
      </c>
      <c r="BF13" s="13">
        <f t="shared" si="37"/>
        <v>3.183414172357117</v>
      </c>
      <c r="BG13" s="20">
        <f t="shared" si="7"/>
        <v>21.063874843845038</v>
      </c>
      <c r="BH13" s="59">
        <f t="shared" si="8"/>
        <v>213.00253682888993</v>
      </c>
      <c r="BI13" s="59">
        <f ca="1">AVERAGE(OFFSET($BH$3,0,0,'Données projet'!$E$11+1,1))-AVERAGE(OFFSET($H$3,0,0,'Données projet'!$E$11+1,1))</f>
        <v>169.46470423366029</v>
      </c>
      <c r="BJ13" s="59">
        <f t="shared" si="38"/>
        <v>230.78141128389288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23</v>
      </c>
      <c r="BW13" s="12">
        <f>VLOOKUP(A13,'Données projet'!$A$113:$I$133,9,0)</f>
        <v>2.2999999999999998</v>
      </c>
      <c r="BX13" s="12">
        <f t="array" ref="BX13">INDEX(BW:BW,MIN(IF(ISNUMBER(BW13:BW209),ROW(BW13:BW209),"")))</f>
        <v>2.2999999999999998</v>
      </c>
      <c r="BY13" s="12">
        <f>IF('Données projet'!$A$114&gt;35,BY12+BX13-CG12,IF(A13&lt;'Données projet'!$A$114,$BV$205^A13,IF(A13='Données projet'!$A$114,'Données projet'!$B$114,BY12+BX13-CG12)))</f>
        <v>23</v>
      </c>
      <c r="BZ13" s="13">
        <f>BY13*VLOOKUP('Données projet'!$B$12,Paramètres!$A$1:$I$89,3,0)*VLOOKUP('Données projet'!$B$12,Paramètres!$A$1:$I$89,5,0)</f>
        <v>20.0928</v>
      </c>
      <c r="CA13" s="13">
        <f t="shared" si="39"/>
        <v>6.5300817245569407</v>
      </c>
      <c r="CB13" s="20">
        <f t="shared" si="10"/>
        <v>46.368185670270002</v>
      </c>
      <c r="CC13" s="59">
        <f t="shared" si="11"/>
        <v>238.3068476553149</v>
      </c>
      <c r="CD13" s="59">
        <f ca="1">AVERAGE(OFFSET($CC$3,0,0,'Données projet'!$E$12+1,1))-AVERAGE(OFFSET($H$3,0,0,'Données projet'!$E$12+1,1))</f>
        <v>342.79161436526499</v>
      </c>
      <c r="CE13" s="59">
        <f t="shared" si="40"/>
        <v>315.50730924873733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1.2</v>
      </c>
      <c r="CT13" s="12">
        <f>IF('Données projet'!$A$140&gt;35,CT12+CS13-DB12,IF(A13&lt;'Données projet'!$A$140,$CQ$205^A13,IF(A13='Données projet'!$A$140,'Données projet'!$B$140,CT12+CS13-DB12)))</f>
        <v>3.8980598409161908</v>
      </c>
      <c r="CU13" s="17">
        <f>CT13*VLOOKUP('Données projet'!$B$13,Paramètres!$A$1:$I$89,3,0)*VLOOKUP('Données projet'!$B$13,Paramètres!$A$1:$I$89,5,0)</f>
        <v>2.614818541286581</v>
      </c>
      <c r="CV13" s="13">
        <f t="shared" si="41"/>
        <v>1.0774656252094335</v>
      </c>
      <c r="CW13" s="20">
        <f t="shared" si="13"/>
        <v>6.4307282566472246</v>
      </c>
      <c r="CX13" s="59">
        <f t="shared" si="14"/>
        <v>198.36939024169212</v>
      </c>
      <c r="CY13" s="59">
        <f ca="1">AVERAGE(OFFSET($CX$3,0,0,'Données projet'!$E$13+1,1))-AVERAGE(OFFSET($H$3,0,0,'Données projet'!$E$13+1,1))</f>
        <v>201.84651193684252</v>
      </c>
      <c r="CZ13" s="59">
        <f t="shared" si="42"/>
        <v>138.00705940844708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11</v>
      </c>
      <c r="DM13" s="12">
        <f>VLOOKUP(A13,'Données projet'!$A$165:$I$185,9,0)</f>
        <v>1.1000000000000001</v>
      </c>
      <c r="DN13" s="12">
        <f t="array" ref="DN13">INDEX(DM:DM,MIN(IF(ISNUMBER(DM13:DM209),ROW(DM13:DM209),"")))</f>
        <v>1.1000000000000001</v>
      </c>
      <c r="DO13" s="12">
        <f>IF('Données projet'!$A$166&gt;35,DO12+DN13-DW12,IF(A13&lt;'Données projet'!$A$166,$DL$205^A13,IF(A13='Données projet'!$A$166,'Données projet'!$B$166,DO12+DN13-DW12)))</f>
        <v>11</v>
      </c>
      <c r="DP13" s="17">
        <f>DO13*VLOOKUP('Données projet'!$B$14,Paramètres!$A$1:$I$89,3,0)*VLOOKUP('Données projet'!$B$14,Paramètres!$A$1:$I$89,5,0)</f>
        <v>8.0652000000000008</v>
      </c>
      <c r="DQ13" s="13">
        <f t="shared" si="43"/>
        <v>2.9149909035839161</v>
      </c>
      <c r="DR13" s="20">
        <f t="shared" si="16"/>
        <v>19.123832490408656</v>
      </c>
      <c r="DS13" s="59">
        <f t="shared" si="17"/>
        <v>211.06249447545355</v>
      </c>
      <c r="DT13" s="59">
        <f ca="1">AVERAGE(OFFSET($DS$3,0,0,'Données projet'!$E$14+1,1))-AVERAGE(OFFSET($H$3,0,0,'Données projet'!$E$14+1,1))</f>
        <v>242.21240859696931</v>
      </c>
      <c r="DU13" s="59">
        <f t="shared" si="44"/>
        <v>340.92165104349192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1.2</v>
      </c>
      <c r="EJ13" s="12">
        <f>IF('Données projet'!$A$192&gt;35,EJ12+EI13-ER12,IF(A13&lt;'Données projet'!$A$192,$EG$205^A13,IF(A13='Données projet'!$A$192,'Données projet'!$B$192,EJ12+EI13-ER12)))</f>
        <v>3.8980598409161908</v>
      </c>
      <c r="EK13" s="17">
        <f>EJ13*VLOOKUP('Données projet'!$B$15,Paramètres!$A$1:$I$89,3,0)*VLOOKUP('Données projet'!$B$15,Paramètres!$A$1:$I$89,5,0)</f>
        <v>3.7702034781341398</v>
      </c>
      <c r="EL13" s="13">
        <f t="shared" si="45"/>
        <v>1.4887713173266797</v>
      </c>
      <c r="EM13" s="20">
        <f t="shared" si="19"/>
        <v>9.1593811020942599</v>
      </c>
      <c r="EN13" s="59">
        <f t="shared" si="20"/>
        <v>201.09804308713916</v>
      </c>
      <c r="EO13" s="59">
        <f ca="1">AVERAGE(OFFSET($EN$3,0,0,'Données projet'!$E$15+1,1))-AVERAGE(OFFSET($H$3,0,0,'Données projet'!$E$15+1,1))</f>
        <v>331.7059599630698</v>
      </c>
      <c r="EP13" s="59">
        <f t="shared" si="46"/>
        <v>173.19148969173838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1.2</v>
      </c>
      <c r="FE13" s="12">
        <f>IF('Données projet'!$A$218&gt;35,FE12+FD13-FM12,IF(A13&lt;'Données projet'!$A$218,$FB$205^A13,IF(A13='Données projet'!$A$218,'Données projet'!$B$218,FE12+FD13-FM12)))</f>
        <v>3.8980598409161908</v>
      </c>
      <c r="FF13" s="17">
        <f>FE13*VLOOKUP('Données projet'!$B$16,Paramètres!$A$1:$I$89,3,0)*VLOOKUP('Données projet'!$B$16,Paramètres!$A$1:$I$89,5,0)</f>
        <v>4.1958716127621871</v>
      </c>
      <c r="FG13" s="13">
        <f t="shared" si="47"/>
        <v>1.63635584772744</v>
      </c>
      <c r="FH13" s="20">
        <f t="shared" si="22"/>
        <v>10.157796160352767</v>
      </c>
      <c r="FI13" s="59">
        <f t="shared" si="23"/>
        <v>202.09645814539766</v>
      </c>
      <c r="FJ13" s="59">
        <f ca="1">AVERAGE(OFFSET($FI$3,0,0,'Données projet'!$E$16+1,1))-AVERAGE(OFFSET($H$3,0,0,'Données projet'!$E$16+1,1))</f>
        <v>360.86062459677004</v>
      </c>
      <c r="FK13" s="59">
        <f t="shared" si="48"/>
        <v>186.0840067781198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2.1</v>
      </c>
      <c r="FZ13" s="12">
        <f>IF('Données projet'!$A$244&gt;35,FZ12+FY13-GH12,IF(A13&lt;'Données projet'!$A$244,$FW$205^A13,IF(A13='Données projet'!$A$244,'Données projet'!$B$244,FZ12+FY13-GH12)))</f>
        <v>6.4807406984078657</v>
      </c>
      <c r="GA13" s="17">
        <f>FZ13*VLOOKUP('Données projet'!$B$17,Paramètres!$A$1:$I$89,3,0)*VLOOKUP('Données projet'!$B$17,Paramètres!$A$1:$I$89,5,0)</f>
        <v>6.5714710681855761</v>
      </c>
      <c r="GB13" s="13">
        <f t="shared" si="49"/>
        <v>2.4324209676242781</v>
      </c>
      <c r="GC13" s="20">
        <f t="shared" si="25"/>
        <v>15.681778629035497</v>
      </c>
      <c r="GD13" s="59">
        <f t="shared" si="26"/>
        <v>207.62044061408039</v>
      </c>
      <c r="GE13" s="59">
        <f ca="1">AVERAGE(OFFSET($GD$3,0,0,'Données projet'!$E$17+1,1))-AVERAGE(OFFSET($H$3,0,0,'Données projet'!$E$17+1,1))</f>
        <v>448.73339628506784</v>
      </c>
      <c r="GF13" s="59">
        <f t="shared" si="50"/>
        <v>273.35778700650803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7.0687024627689707</v>
      </c>
      <c r="P14" s="13">
        <f t="shared" si="33"/>
        <v>2.5943503554083325</v>
      </c>
      <c r="Q14" s="20">
        <f t="shared" si="2"/>
        <v>16.829816991658799</v>
      </c>
      <c r="R14" s="59">
        <f t="shared" si="0"/>
        <v>211.32561560077292</v>
      </c>
      <c r="S14" s="59">
        <f ca="1">AVERAGE(OFFSET($R$3,0,0,'Données projet'!$E$9+1,1))-AVERAGE(OFFSET($H$3,0,0,'Données projet'!$E$9+1,1))</f>
        <v>408.51124670343137</v>
      </c>
      <c r="T14" s="59">
        <f t="shared" si="34"/>
        <v>250.47702091764884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2.4666666666666668</v>
      </c>
      <c r="AI14" s="13">
        <f>IF('Données projet'!$A$62&gt;35,AI13+AH14-AQ13,IF(A14&lt;'Données projet'!$A$62,$AF$205^A14,IF(A14='Données projet'!$A$62,'Données projet'!$B$62,AI13+AH14-AQ13)))</f>
        <v>14.125850240977657</v>
      </c>
      <c r="AJ14" s="13">
        <f>AI14*VLOOKUP('Données projet'!$B$10,Paramètres!$A$1:$I$89,3,0)*VLOOKUP('Données projet'!$B$10,Paramètres!$A$1:$I$89,5,0)</f>
        <v>11.238526451721825</v>
      </c>
      <c r="AK14" s="13">
        <f t="shared" si="35"/>
        <v>3.9080387928425129</v>
      </c>
      <c r="AL14" s="20">
        <f t="shared" si="4"/>
        <v>26.380267800949554</v>
      </c>
      <c r="AM14" s="59">
        <f t="shared" si="5"/>
        <v>220.87606641006369</v>
      </c>
      <c r="AN14" s="59">
        <f ca="1">AVERAGE(OFFSET($AM$3,0,0,'Données projet'!$E$10+1,1))-AVERAGE(OFFSET($H$3,0,0,'Données projet'!$E$10+1,1))</f>
        <v>327.22763817565902</v>
      </c>
      <c r="AO14" s="59">
        <f t="shared" si="36"/>
        <v>311.68541696405975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3.4666666666666668</v>
      </c>
      <c r="BD14" s="12">
        <f>IF('Données projet'!$A$88&gt;35,BD13+BC14-BL13,IF(A14&lt;'Données projet'!$A$88,$BA$205^A14,IF(A14='Données projet'!$A$88,'Données projet'!$B$88,BD13+BC14-BL13)))</f>
        <v>18.130194031796528</v>
      </c>
      <c r="BE14" s="13">
        <f>BD14*VLOOKUP('Données projet'!$B$11,Paramètres!$A$1:$I$89,3,0)*VLOOKUP('Données projet'!$B$11,Paramètres!$A$1:$I$89,5,0)</f>
        <v>11.596072102737059</v>
      </c>
      <c r="BF14" s="13">
        <f t="shared" si="37"/>
        <v>4.017697014913348</v>
      </c>
      <c r="BG14" s="20">
        <f t="shared" si="7"/>
        <v>27.193981213241127</v>
      </c>
      <c r="BH14" s="59">
        <f t="shared" si="8"/>
        <v>221.68977982235526</v>
      </c>
      <c r="BI14" s="59">
        <f ca="1">AVERAGE(OFFSET($BH$3,0,0,'Données projet'!$E$11+1,1))-AVERAGE(OFFSET($H$3,0,0,'Données projet'!$E$11+1,1))</f>
        <v>169.46470423366029</v>
      </c>
      <c r="BJ14" s="59">
        <f t="shared" si="38"/>
        <v>230.78141128389288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7.4</v>
      </c>
      <c r="BY14" s="12">
        <f>IF('Données projet'!$A$114&gt;35,BY13+BX14-CG13,IF(A14&lt;'Données projet'!$A$114,$BV$205^A14,IF(A14='Données projet'!$A$114,'Données projet'!$B$114,BY13+BX14-CG13)))</f>
        <v>30.4</v>
      </c>
      <c r="BZ14" s="13">
        <f>BY14*VLOOKUP('Données projet'!$B$12,Paramètres!$A$1:$I$89,3,0)*VLOOKUP('Données projet'!$B$12,Paramètres!$A$1:$I$89,5,0)</f>
        <v>26.557440000000003</v>
      </c>
      <c r="CA14" s="13">
        <f t="shared" si="39"/>
        <v>8.3553182981993483</v>
      </c>
      <c r="CB14" s="20">
        <f t="shared" si="10"/>
        <v>60.806387369363868</v>
      </c>
      <c r="CC14" s="59">
        <f t="shared" si="11"/>
        <v>255.30218597847801</v>
      </c>
      <c r="CD14" s="59">
        <f ca="1">AVERAGE(OFFSET($CC$3,0,0,'Données projet'!$E$12+1,1))-AVERAGE(OFFSET($H$3,0,0,'Données projet'!$E$12+1,1))</f>
        <v>342.79161436526499</v>
      </c>
      <c r="CE14" s="59">
        <f t="shared" si="40"/>
        <v>315.50730924873733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1.2</v>
      </c>
      <c r="CT14" s="12">
        <f>IF('Données projet'!$A$140&gt;35,CT13+CS14-DB13,IF(A14&lt;'Données projet'!$A$140,$CQ$205^A14,IF(A14='Données projet'!$A$140,'Données projet'!$B$140,CT13+CS14-DB13)))</f>
        <v>4.4661504822319662</v>
      </c>
      <c r="CU14" s="17">
        <f>CT14*VLOOKUP('Données projet'!$B$13,Paramètres!$A$1:$I$89,3,0)*VLOOKUP('Données projet'!$B$13,Paramètres!$A$1:$I$89,5,0)</f>
        <v>2.995893743481203</v>
      </c>
      <c r="CV14" s="13">
        <f t="shared" si="41"/>
        <v>1.2150965764047741</v>
      </c>
      <c r="CW14" s="20">
        <f t="shared" si="13"/>
        <v>7.3341414738014095</v>
      </c>
      <c r="CX14" s="59">
        <f t="shared" si="14"/>
        <v>201.82994008291553</v>
      </c>
      <c r="CY14" s="59">
        <f ca="1">AVERAGE(OFFSET($CX$3,0,0,'Données projet'!$E$13+1,1))-AVERAGE(OFFSET($H$3,0,0,'Données projet'!$E$13+1,1))</f>
        <v>201.84651193684252</v>
      </c>
      <c r="CZ14" s="59">
        <f t="shared" si="42"/>
        <v>138.00705940844708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10.8</v>
      </c>
      <c r="DO14" s="12">
        <f>IF('Données projet'!$A$166&gt;35,DO13+DN14-DW13,IF(A14&lt;'Données projet'!$A$166,$DL$205^A14,IF(A14='Données projet'!$A$166,'Données projet'!$B$166,DO13+DN14-DW13)))</f>
        <v>21.8</v>
      </c>
      <c r="DP14" s="17">
        <f>DO14*VLOOKUP('Données projet'!$B$14,Paramètres!$A$1:$I$89,3,0)*VLOOKUP('Données projet'!$B$14,Paramètres!$A$1:$I$89,5,0)</f>
        <v>15.983760000000002</v>
      </c>
      <c r="DQ14" s="13">
        <f t="shared" si="43"/>
        <v>5.3348570279475842</v>
      </c>
      <c r="DR14" s="20">
        <f t="shared" si="16"/>
        <v>37.129924657008708</v>
      </c>
      <c r="DS14" s="59">
        <f t="shared" si="17"/>
        <v>231.62572326612283</v>
      </c>
      <c r="DT14" s="59">
        <f ca="1">AVERAGE(OFFSET($DS$3,0,0,'Données projet'!$E$14+1,1))-AVERAGE(OFFSET($H$3,0,0,'Données projet'!$E$14+1,1))</f>
        <v>242.21240859696931</v>
      </c>
      <c r="DU14" s="59">
        <f t="shared" si="44"/>
        <v>340.92165104349192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1.2</v>
      </c>
      <c r="EJ14" s="12">
        <f>IF('Données projet'!$A$192&gt;35,EJ13+EI14-ER13,IF(A14&lt;'Données projet'!$A$192,$EG$205^A14,IF(A14='Données projet'!$A$192,'Données projet'!$B$192,EJ13+EI14-ER13)))</f>
        <v>4.4661504822319662</v>
      </c>
      <c r="EK14" s="17">
        <f>EJ14*VLOOKUP('Données projet'!$B$15,Paramètres!$A$1:$I$89,3,0)*VLOOKUP('Données projet'!$B$15,Paramètres!$A$1:$I$89,5,0)</f>
        <v>4.3196607464147583</v>
      </c>
      <c r="EL14" s="13">
        <f t="shared" si="45"/>
        <v>1.6789407368626241</v>
      </c>
      <c r="EM14" s="20">
        <f t="shared" si="19"/>
        <v>10.44756425004144</v>
      </c>
      <c r="EN14" s="59">
        <f t="shared" si="20"/>
        <v>204.94336285915557</v>
      </c>
      <c r="EO14" s="59">
        <f ca="1">AVERAGE(OFFSET($EN$3,0,0,'Données projet'!$E$15+1,1))-AVERAGE(OFFSET($H$3,0,0,'Données projet'!$E$15+1,1))</f>
        <v>331.7059599630698</v>
      </c>
      <c r="EP14" s="59">
        <f t="shared" si="46"/>
        <v>173.19148969173838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1.2</v>
      </c>
      <c r="FE14" s="12">
        <f>IF('Données projet'!$A$218&gt;35,FE13+FD14-FM13,IF(A14&lt;'Données projet'!$A$218,$FB$205^A14,IF(A14='Données projet'!$A$218,'Données projet'!$B$218,FE13+FD14-FM13)))</f>
        <v>4.4661504822319662</v>
      </c>
      <c r="FF14" s="17">
        <f>FE14*VLOOKUP('Données projet'!$B$16,Paramètres!$A$1:$I$89,3,0)*VLOOKUP('Données projet'!$B$16,Paramètres!$A$1:$I$89,5,0)</f>
        <v>4.8073643790744889</v>
      </c>
      <c r="FG14" s="13">
        <f t="shared" si="47"/>
        <v>1.8453770977306692</v>
      </c>
      <c r="FH14" s="20">
        <f t="shared" si="22"/>
        <v>11.586858072102316</v>
      </c>
      <c r="FI14" s="59">
        <f t="shared" si="23"/>
        <v>206.08265668121646</v>
      </c>
      <c r="FJ14" s="59">
        <f ca="1">AVERAGE(OFFSET($FI$3,0,0,'Données projet'!$E$16+1,1))-AVERAGE(OFFSET($H$3,0,0,'Données projet'!$E$16+1,1))</f>
        <v>360.86062459677004</v>
      </c>
      <c r="FK14" s="59">
        <f t="shared" si="48"/>
        <v>186.0840067781198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2.1</v>
      </c>
      <c r="FZ14" s="12">
        <f>IF('Données projet'!$A$244&gt;35,FZ13+FY14-GH13,IF(A14&lt;'Données projet'!$A$244,$FW$205^A14,IF(A14='Données projet'!$A$244,'Données projet'!$B$244,FZ13+FY14-GH13)))</f>
        <v>7.8124474610620815</v>
      </c>
      <c r="GA14" s="17">
        <f>FZ14*VLOOKUP('Données projet'!$B$17,Paramètres!$A$1:$I$89,3,0)*VLOOKUP('Données projet'!$B$17,Paramètres!$A$1:$I$89,5,0)</f>
        <v>7.921821725516951</v>
      </c>
      <c r="GB14" s="13">
        <f t="shared" si="49"/>
        <v>2.869154216054651</v>
      </c>
      <c r="GC14" s="20">
        <f t="shared" si="25"/>
        <v>18.794283098237205</v>
      </c>
      <c r="GD14" s="59">
        <f t="shared" si="26"/>
        <v>213.29008170735133</v>
      </c>
      <c r="GE14" s="59">
        <f ca="1">AVERAGE(OFFSET($GD$3,0,0,'Données projet'!$E$17+1,1))-AVERAGE(OFFSET($H$3,0,0,'Données projet'!$E$17+1,1))</f>
        <v>448.73339628506784</v>
      </c>
      <c r="GF14" s="59">
        <f t="shared" si="50"/>
        <v>273.35778700650803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8.521227615514638</v>
      </c>
      <c r="P15" s="13">
        <f t="shared" si="33"/>
        <v>3.0601574970852128</v>
      </c>
      <c r="Q15" s="20">
        <f t="shared" si="2"/>
        <v>20.170912404444739</v>
      </c>
      <c r="R15" s="59">
        <f t="shared" si="0"/>
        <v>217.20068985717762</v>
      </c>
      <c r="S15" s="59">
        <f ca="1">AVERAGE(OFFSET($R$3,0,0,'Données projet'!$E$9+1,1))-AVERAGE(OFFSET($H$3,0,0,'Données projet'!$E$9+1,1))</f>
        <v>408.51124670343137</v>
      </c>
      <c r="T15" s="59">
        <f t="shared" si="34"/>
        <v>250.47702091764884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2.4666666666666668</v>
      </c>
      <c r="AI15" s="13">
        <f>IF('Données projet'!$A$62&gt;35,AI14+AH15-AQ14,IF(A15&lt;'Données projet'!$A$62,$AF$205^A15,IF(A15='Données projet'!$A$62,'Données projet'!$B$62,AI14+AH15-AQ14)))</f>
        <v>17.970550417308221</v>
      </c>
      <c r="AJ15" s="13">
        <f>AI15*VLOOKUP('Données projet'!$B$10,Paramètres!$A$1:$I$89,3,0)*VLOOKUP('Données projet'!$B$10,Paramètres!$A$1:$I$89,5,0)</f>
        <v>14.297369912010421</v>
      </c>
      <c r="AK15" s="13">
        <f t="shared" si="35"/>
        <v>4.8343312187127445</v>
      </c>
      <c r="AL15" s="20">
        <f t="shared" si="4"/>
        <v>33.321046136009507</v>
      </c>
      <c r="AM15" s="59">
        <f t="shared" si="5"/>
        <v>230.35082358874237</v>
      </c>
      <c r="AN15" s="59">
        <f ca="1">AVERAGE(OFFSET($AM$3,0,0,'Données projet'!$E$10+1,1))-AVERAGE(OFFSET($H$3,0,0,'Données projet'!$E$10+1,1))</f>
        <v>327.22763817565902</v>
      </c>
      <c r="AO15" s="59">
        <f t="shared" si="36"/>
        <v>311.68541696405975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3.4666666666666668</v>
      </c>
      <c r="BD15" s="12">
        <f>IF('Données projet'!$A$88&gt;35,BD14+BC15-BL14,IF(A15&lt;'Données projet'!$A$88,$BA$205^A15,IF(A15='Données projet'!$A$88,'Données projet'!$B$88,BD14+BC15-BL14)))</f>
        <v>23.594059750594564</v>
      </c>
      <c r="BE15" s="13">
        <f>BD15*VLOOKUP('Données projet'!$B$11,Paramètres!$A$1:$I$89,3,0)*VLOOKUP('Données projet'!$B$11,Paramètres!$A$1:$I$89,5,0)</f>
        <v>15.090760616480283</v>
      </c>
      <c r="BF15" s="13">
        <f t="shared" si="37"/>
        <v>5.0706218008986141</v>
      </c>
      <c r="BG15" s="20">
        <f t="shared" si="7"/>
        <v>35.114407710268239</v>
      </c>
      <c r="BH15" s="59">
        <f t="shared" si="8"/>
        <v>232.14418516300111</v>
      </c>
      <c r="BI15" s="59">
        <f ca="1">AVERAGE(OFFSET($BH$3,0,0,'Données projet'!$E$11+1,1))-AVERAGE(OFFSET($H$3,0,0,'Données projet'!$E$11+1,1))</f>
        <v>169.46470423366029</v>
      </c>
      <c r="BJ15" s="59">
        <f t="shared" si="38"/>
        <v>230.78141128389288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7.4</v>
      </c>
      <c r="BY15" s="12">
        <f>IF('Données projet'!$A$114&gt;35,BY14+BX15-CG14,IF(A15&lt;'Données projet'!$A$114,$BV$205^A15,IF(A15='Données projet'!$A$114,'Données projet'!$B$114,BY14+BX15-CG14)))</f>
        <v>37.799999999999997</v>
      </c>
      <c r="BZ15" s="13">
        <f>BY15*VLOOKUP('Données projet'!$B$12,Paramètres!$A$1:$I$89,3,0)*VLOOKUP('Données projet'!$B$12,Paramètres!$A$1:$I$89,5,0)</f>
        <v>33.022080000000003</v>
      </c>
      <c r="CA15" s="13">
        <f t="shared" si="39"/>
        <v>10.129025278332465</v>
      </c>
      <c r="CB15" s="20">
        <f t="shared" si="10"/>
        <v>75.154841693095705</v>
      </c>
      <c r="CC15" s="59">
        <f t="shared" si="11"/>
        <v>272.18461914582861</v>
      </c>
      <c r="CD15" s="59">
        <f ca="1">AVERAGE(OFFSET($CC$3,0,0,'Données projet'!$E$12+1,1))-AVERAGE(OFFSET($H$3,0,0,'Données projet'!$E$12+1,1))</f>
        <v>342.79161436526499</v>
      </c>
      <c r="CE15" s="59">
        <f t="shared" si="40"/>
        <v>315.50730924873733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1.2</v>
      </c>
      <c r="CT15" s="12">
        <f>IF('Données projet'!$A$140&gt;35,CT14+CS15-DB14,IF(A15&lt;'Données projet'!$A$140,$CQ$205^A15,IF(A15='Données projet'!$A$140,'Données projet'!$B$140,CT14+CS15-DB14)))</f>
        <v>5.1170328173444979</v>
      </c>
      <c r="CU15" s="17">
        <f>CT15*VLOOKUP('Données projet'!$B$13,Paramètres!$A$1:$I$89,3,0)*VLOOKUP('Données projet'!$B$13,Paramètres!$A$1:$I$89,5,0)</f>
        <v>3.4325056138746892</v>
      </c>
      <c r="CV15" s="13">
        <f t="shared" si="41"/>
        <v>1.3703079295022655</v>
      </c>
      <c r="CW15" s="20">
        <f t="shared" si="13"/>
        <v>8.3649002547148612</v>
      </c>
      <c r="CX15" s="59">
        <f t="shared" si="14"/>
        <v>205.39467770744773</v>
      </c>
      <c r="CY15" s="59">
        <f ca="1">AVERAGE(OFFSET($CX$3,0,0,'Données projet'!$E$13+1,1))-AVERAGE(OFFSET($H$3,0,0,'Données projet'!$E$13+1,1))</f>
        <v>201.84651193684252</v>
      </c>
      <c r="CZ15" s="59">
        <f t="shared" si="42"/>
        <v>138.00705940844708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10.8</v>
      </c>
      <c r="DO15" s="12">
        <f>IF('Données projet'!$A$166&gt;35,DO14+DN15-DW14,IF(A15&lt;'Données projet'!$A$166,$DL$205^A15,IF(A15='Données projet'!$A$166,'Données projet'!$B$166,DO14+DN15-DW14)))</f>
        <v>32.6</v>
      </c>
      <c r="DP15" s="17">
        <f>DO15*VLOOKUP('Données projet'!$B$14,Paramètres!$A$1:$I$89,3,0)*VLOOKUP('Données projet'!$B$14,Paramètres!$A$1:$I$89,5,0)</f>
        <v>23.90232</v>
      </c>
      <c r="DQ15" s="13">
        <f t="shared" si="43"/>
        <v>7.6127522913266521</v>
      </c>
      <c r="DR15" s="20">
        <f t="shared" si="16"/>
        <v>54.88875090739392</v>
      </c>
      <c r="DS15" s="59">
        <f t="shared" si="17"/>
        <v>251.9185283601268</v>
      </c>
      <c r="DT15" s="59">
        <f ca="1">AVERAGE(OFFSET($DS$3,0,0,'Données projet'!$E$14+1,1))-AVERAGE(OFFSET($H$3,0,0,'Données projet'!$E$14+1,1))</f>
        <v>242.21240859696931</v>
      </c>
      <c r="DU15" s="59">
        <f t="shared" si="44"/>
        <v>340.92165104349192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1.2</v>
      </c>
      <c r="EJ15" s="12">
        <f>IF('Données projet'!$A$192&gt;35,EJ14+EI15-ER14,IF(A15&lt;'Données projet'!$A$192,$EG$205^A15,IF(A15='Données projet'!$A$192,'Données projet'!$B$192,EJ14+EI15-ER14)))</f>
        <v>5.1170328173444979</v>
      </c>
      <c r="EK15" s="17">
        <f>EJ15*VLOOKUP('Données projet'!$B$15,Paramètres!$A$1:$I$89,3,0)*VLOOKUP('Données projet'!$B$15,Paramètres!$A$1:$I$89,5,0)</f>
        <v>4.9491941409355986</v>
      </c>
      <c r="EL15" s="13">
        <f t="shared" si="45"/>
        <v>1.8934016024425293</v>
      </c>
      <c r="EM15" s="20">
        <f t="shared" si="19"/>
        <v>11.917520919716907</v>
      </c>
      <c r="EN15" s="59">
        <f t="shared" si="20"/>
        <v>208.94729837244978</v>
      </c>
      <c r="EO15" s="59">
        <f ca="1">AVERAGE(OFFSET($EN$3,0,0,'Données projet'!$E$15+1,1))-AVERAGE(OFFSET($H$3,0,0,'Données projet'!$E$15+1,1))</f>
        <v>331.7059599630698</v>
      </c>
      <c r="EP15" s="59">
        <f t="shared" si="46"/>
        <v>173.19148969173838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1.2</v>
      </c>
      <c r="FE15" s="12">
        <f>IF('Données projet'!$A$218&gt;35,FE14+FD15-FM14,IF(A15&lt;'Données projet'!$A$218,$FB$205^A15,IF(A15='Données projet'!$A$218,'Données projet'!$B$218,FE14+FD15-FM14)))</f>
        <v>5.1170328173444979</v>
      </c>
      <c r="FF15" s="17">
        <f>FE15*VLOOKUP('Données projet'!$B$16,Paramètres!$A$1:$I$89,3,0)*VLOOKUP('Données projet'!$B$16,Paramètres!$A$1:$I$89,5,0)</f>
        <v>5.5079741245896177</v>
      </c>
      <c r="FG15" s="13">
        <f t="shared" si="47"/>
        <v>2.0810978477317659</v>
      </c>
      <c r="FH15" s="20">
        <f t="shared" si="22"/>
        <v>13.217633685126408</v>
      </c>
      <c r="FI15" s="59">
        <f t="shared" si="23"/>
        <v>210.24741113785927</v>
      </c>
      <c r="FJ15" s="59">
        <f ca="1">AVERAGE(OFFSET($FI$3,0,0,'Données projet'!$E$16+1,1))-AVERAGE(OFFSET($H$3,0,0,'Données projet'!$E$16+1,1))</f>
        <v>360.86062459677004</v>
      </c>
      <c r="FK15" s="59">
        <f t="shared" si="48"/>
        <v>186.0840067781198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2.1</v>
      </c>
      <c r="FZ15" s="12">
        <f>IF('Données projet'!$A$244&gt;35,FZ14+FY15-GH14,IF(A15&lt;'Données projet'!$A$244,$FW$205^A15,IF(A15='Données projet'!$A$244,'Données projet'!$B$244,FZ14+FY15-GH14)))</f>
        <v>9.4178024044149407</v>
      </c>
      <c r="GA15" s="17">
        <f>FZ15*VLOOKUP('Données projet'!$B$17,Paramètres!$A$1:$I$89,3,0)*VLOOKUP('Données projet'!$B$17,Paramètres!$A$1:$I$89,5,0)</f>
        <v>9.5496516380767513</v>
      </c>
      <c r="GB15" s="13">
        <f t="shared" si="49"/>
        <v>3.3843014943027487</v>
      </c>
      <c r="GC15" s="20">
        <f t="shared" si="25"/>
        <v>22.526635038894295</v>
      </c>
      <c r="GD15" s="59">
        <f t="shared" si="26"/>
        <v>219.55641249162716</v>
      </c>
      <c r="GE15" s="59">
        <f ca="1">AVERAGE(OFFSET($GD$3,0,0,'Données projet'!$E$17+1,1))-AVERAGE(OFFSET($H$3,0,0,'Données projet'!$E$17+1,1))</f>
        <v>448.73339628506784</v>
      </c>
      <c r="GF15" s="59">
        <f t="shared" si="50"/>
        <v>273.35778700650803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10.272227535089344</v>
      </c>
      <c r="P16" s="13">
        <f t="shared" si="33"/>
        <v>3.6095987912522753</v>
      </c>
      <c r="Q16" s="20">
        <f t="shared" si="2"/>
        <v>24.177514185044988</v>
      </c>
      <c r="R16" s="59">
        <f t="shared" si="0"/>
        <v>223.71851443666381</v>
      </c>
      <c r="S16" s="59">
        <f ca="1">AVERAGE(OFFSET($R$3,0,0,'Données projet'!$E$9+1,1))-AVERAGE(OFFSET($H$3,0,0,'Données projet'!$E$9+1,1))</f>
        <v>408.51124670343137</v>
      </c>
      <c r="T16" s="59">
        <f t="shared" si="34"/>
        <v>250.47702091764884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2.4666666666666668</v>
      </c>
      <c r="AI16" s="13">
        <f>IF('Données projet'!$A$62&gt;35,AI15+AH16-AQ15,IF(A16&lt;'Données projet'!$A$62,$AF$205^A16,IF(A16='Données projet'!$A$62,'Données projet'!$B$62,AI15+AH16-AQ15)))</f>
        <v>22.86168101684942</v>
      </c>
      <c r="AJ16" s="13">
        <f>AI16*VLOOKUP('Données projet'!$B$10,Paramètres!$A$1:$I$89,3,0)*VLOOKUP('Données projet'!$B$10,Paramètres!$A$1:$I$89,5,0)</f>
        <v>18.188753417005401</v>
      </c>
      <c r="AK16" s="13">
        <f t="shared" si="35"/>
        <v>5.9801756254374139</v>
      </c>
      <c r="AL16" s="20">
        <f t="shared" si="4"/>
        <v>42.094218082254564</v>
      </c>
      <c r="AM16" s="59">
        <f t="shared" si="5"/>
        <v>241.63521833387338</v>
      </c>
      <c r="AN16" s="59">
        <f ca="1">AVERAGE(OFFSET($AM$3,0,0,'Données projet'!$E$10+1,1))-AVERAGE(OFFSET($H$3,0,0,'Données projet'!$E$10+1,1))</f>
        <v>327.22763817565902</v>
      </c>
      <c r="AO16" s="59">
        <f t="shared" si="36"/>
        <v>311.68541696405975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3.4666666666666668</v>
      </c>
      <c r="BD16" s="12">
        <f>IF('Données projet'!$A$88&gt;35,BD15+BC16-BL15,IF(A16&lt;'Données projet'!$A$88,$BA$205^A16,IF(A16='Données projet'!$A$88,'Données projet'!$B$88,BD15+BC16-BL15)))</f>
        <v>30.704561381876452</v>
      </c>
      <c r="BE16" s="13">
        <f>BD16*VLOOKUP('Données projet'!$B$11,Paramètres!$A$1:$I$89,3,0)*VLOOKUP('Données projet'!$B$11,Paramètres!$A$1:$I$89,5,0)</f>
        <v>19.63863745984818</v>
      </c>
      <c r="BF16" s="13">
        <f t="shared" si="37"/>
        <v>6.3994884015172167</v>
      </c>
      <c r="BG16" s="20">
        <f t="shared" si="7"/>
        <v>45.349735875211401</v>
      </c>
      <c r="BH16" s="59">
        <f t="shared" si="8"/>
        <v>244.89073612683021</v>
      </c>
      <c r="BI16" s="59">
        <f ca="1">AVERAGE(OFFSET($BH$3,0,0,'Données projet'!$E$11+1,1))-AVERAGE(OFFSET($H$3,0,0,'Données projet'!$E$11+1,1))</f>
        <v>169.46470423366029</v>
      </c>
      <c r="BJ16" s="59">
        <f t="shared" si="38"/>
        <v>230.78141128389288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7.4</v>
      </c>
      <c r="BY16" s="12">
        <f>IF('Données projet'!$A$114&gt;35,BY15+BX16-CG15,IF(A16&lt;'Données projet'!$A$114,$BV$205^A16,IF(A16='Données projet'!$A$114,'Données projet'!$B$114,BY15+BX16-CG15)))</f>
        <v>45.199999999999996</v>
      </c>
      <c r="BZ16" s="13">
        <f>BY16*VLOOKUP('Données projet'!$B$12,Paramètres!$A$1:$I$89,3,0)*VLOOKUP('Données projet'!$B$12,Paramètres!$A$1:$I$89,5,0)</f>
        <v>39.486720000000005</v>
      </c>
      <c r="CA16" s="13">
        <f t="shared" si="39"/>
        <v>11.862499896265861</v>
      </c>
      <c r="CB16" s="20">
        <f t="shared" si="10"/>
        <v>89.433224652663043</v>
      </c>
      <c r="CC16" s="59">
        <f t="shared" si="11"/>
        <v>288.97422490428187</v>
      </c>
      <c r="CD16" s="59">
        <f ca="1">AVERAGE(OFFSET($CC$3,0,0,'Données projet'!$E$12+1,1))-AVERAGE(OFFSET($H$3,0,0,'Données projet'!$E$12+1,1))</f>
        <v>342.79161436526499</v>
      </c>
      <c r="CE16" s="59">
        <f t="shared" si="40"/>
        <v>315.50730924873733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1.2</v>
      </c>
      <c r="CT16" s="12">
        <f>IF('Données projet'!$A$140&gt;35,CT15+CS16-DB15,IF(A16&lt;'Données projet'!$A$140,$CQ$205^A16,IF(A16='Données projet'!$A$140,'Données projet'!$B$140,CT15+CS16-DB15)))</f>
        <v>5.8627726400958746</v>
      </c>
      <c r="CU16" s="17">
        <f>CT16*VLOOKUP('Données projet'!$B$13,Paramètres!$A$1:$I$89,3,0)*VLOOKUP('Données projet'!$B$13,Paramètres!$A$1:$I$89,5,0)</f>
        <v>3.9327478869763128</v>
      </c>
      <c r="CV16" s="13">
        <f t="shared" si="41"/>
        <v>1.5453453314901533</v>
      </c>
      <c r="CW16" s="20">
        <f t="shared" si="13"/>
        <v>9.5410123554957611</v>
      </c>
      <c r="CX16" s="59">
        <f t="shared" si="14"/>
        <v>209.08201260711456</v>
      </c>
      <c r="CY16" s="59">
        <f ca="1">AVERAGE(OFFSET($CX$3,0,0,'Données projet'!$E$13+1,1))-AVERAGE(OFFSET($H$3,0,0,'Données projet'!$E$13+1,1))</f>
        <v>201.84651193684252</v>
      </c>
      <c r="CZ16" s="59">
        <f t="shared" si="42"/>
        <v>138.00705940844708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10.8</v>
      </c>
      <c r="DO16" s="12">
        <f>IF('Données projet'!$A$166&gt;35,DO15+DN16-DW15,IF(A16&lt;'Données projet'!$A$166,$DL$205^A16,IF(A16='Données projet'!$A$166,'Données projet'!$B$166,DO15+DN16-DW15)))</f>
        <v>43.400000000000006</v>
      </c>
      <c r="DP16" s="17">
        <f>DO16*VLOOKUP('Données projet'!$B$14,Paramètres!$A$1:$I$89,3,0)*VLOOKUP('Données projet'!$B$14,Paramètres!$A$1:$I$89,5,0)</f>
        <v>31.820880000000006</v>
      </c>
      <c r="DQ16" s="13">
        <f t="shared" si="43"/>
        <v>9.8027641140385384</v>
      </c>
      <c r="DR16" s="20">
        <f t="shared" si="16"/>
        <v>72.494513498617124</v>
      </c>
      <c r="DS16" s="59">
        <f t="shared" si="17"/>
        <v>272.03551375023596</v>
      </c>
      <c r="DT16" s="59">
        <f ca="1">AVERAGE(OFFSET($DS$3,0,0,'Données projet'!$E$14+1,1))-AVERAGE(OFFSET($H$3,0,0,'Données projet'!$E$14+1,1))</f>
        <v>242.21240859696931</v>
      </c>
      <c r="DU16" s="59">
        <f t="shared" si="44"/>
        <v>340.92165104349192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1.2</v>
      </c>
      <c r="EJ16" s="12">
        <f>IF('Données projet'!$A$192&gt;35,EJ15+EI16-ER15,IF(A16&lt;'Données projet'!$A$192,$EG$205^A16,IF(A16='Données projet'!$A$192,'Données projet'!$B$192,EJ15+EI16-ER15)))</f>
        <v>5.8627726400958746</v>
      </c>
      <c r="EK16" s="17">
        <f>EJ16*VLOOKUP('Données projet'!$B$15,Paramètres!$A$1:$I$89,3,0)*VLOOKUP('Données projet'!$B$15,Paramètres!$A$1:$I$89,5,0)</f>
        <v>5.6704736975007304</v>
      </c>
      <c r="EL16" s="13">
        <f t="shared" si="45"/>
        <v>2.1352568017564701</v>
      </c>
      <c r="EM16" s="20">
        <f t="shared" si="19"/>
        <v>13.594980619539625</v>
      </c>
      <c r="EN16" s="59">
        <f t="shared" si="20"/>
        <v>213.13598087115844</v>
      </c>
      <c r="EO16" s="59">
        <f ca="1">AVERAGE(OFFSET($EN$3,0,0,'Données projet'!$E$15+1,1))-AVERAGE(OFFSET($H$3,0,0,'Données projet'!$E$15+1,1))</f>
        <v>331.7059599630698</v>
      </c>
      <c r="EP16" s="59">
        <f t="shared" si="46"/>
        <v>173.19148969173838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1.2</v>
      </c>
      <c r="FE16" s="12">
        <f>IF('Données projet'!$A$218&gt;35,FE15+FD16-FM15,IF(A16&lt;'Données projet'!$A$218,$FB$205^A16,IF(A16='Données projet'!$A$218,'Données projet'!$B$218,FE15+FD16-FM15)))</f>
        <v>5.8627726400958746</v>
      </c>
      <c r="FF16" s="17">
        <f>FE16*VLOOKUP('Données projet'!$B$16,Paramètres!$A$1:$I$89,3,0)*VLOOKUP('Données projet'!$B$16,Paramètres!$A$1:$I$89,5,0)</f>
        <v>6.3106884697991985</v>
      </c>
      <c r="FG16" s="13">
        <f t="shared" si="47"/>
        <v>2.346928580158357</v>
      </c>
      <c r="FH16" s="20">
        <f t="shared" si="22"/>
        <v>15.078683028676075</v>
      </c>
      <c r="FI16" s="59">
        <f t="shared" si="23"/>
        <v>214.61968328029488</v>
      </c>
      <c r="FJ16" s="59">
        <f ca="1">AVERAGE(OFFSET($FI$3,0,0,'Données projet'!$E$16+1,1))-AVERAGE(OFFSET($H$3,0,0,'Données projet'!$E$16+1,1))</f>
        <v>360.86062459677004</v>
      </c>
      <c r="FK16" s="59">
        <f t="shared" si="48"/>
        <v>186.0840067781198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2.1</v>
      </c>
      <c r="FZ16" s="12">
        <f>IF('Données projet'!$A$244&gt;35,FZ15+FY16-GH15,IF(A16&lt;'Données projet'!$A$244,$FW$205^A16,IF(A16='Données projet'!$A$244,'Données projet'!$B$244,FZ15+FY16-GH15)))</f>
        <v>11.35303662145153</v>
      </c>
      <c r="GA16" s="17">
        <f>FZ16*VLOOKUP('Données projet'!$B$17,Paramètres!$A$1:$I$89,3,0)*VLOOKUP('Données projet'!$B$17,Paramètres!$A$1:$I$89,5,0)</f>
        <v>11.511979134151852</v>
      </c>
      <c r="GB16" s="13">
        <f t="shared" si="49"/>
        <v>3.9919417855793822</v>
      </c>
      <c r="GC16" s="20">
        <f t="shared" si="25"/>
        <v>27.002662268531896</v>
      </c>
      <c r="GD16" s="59">
        <f t="shared" si="26"/>
        <v>226.54366252015072</v>
      </c>
      <c r="GE16" s="59">
        <f ca="1">AVERAGE(OFFSET($GD$3,0,0,'Données projet'!$E$17+1,1))-AVERAGE(OFFSET($H$3,0,0,'Données projet'!$E$17+1,1))</f>
        <v>448.73339628506784</v>
      </c>
      <c r="GF16" s="59">
        <f t="shared" si="50"/>
        <v>273.35778700650803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12.383034850580612</v>
      </c>
      <c r="P17" s="13">
        <f t="shared" si="33"/>
        <v>4.2576904771143838</v>
      </c>
      <c r="Q17" s="20">
        <f t="shared" si="2"/>
        <v>28.982596612402116</v>
      </c>
      <c r="R17" s="59">
        <f t="shared" si="0"/>
        <v>231.01245838467531</v>
      </c>
      <c r="S17" s="59">
        <f ca="1">AVERAGE(OFFSET($R$3,0,0,'Données projet'!$E$9+1,1))-AVERAGE(OFFSET($H$3,0,0,'Données projet'!$E$9+1,1))</f>
        <v>408.51124670343137</v>
      </c>
      <c r="T17" s="59">
        <f t="shared" si="34"/>
        <v>250.47702091764884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2.4666666666666668</v>
      </c>
      <c r="AI17" s="13">
        <f>IF('Données projet'!$A$62&gt;35,AI16+AH17-AQ16,IF(A17&lt;'Données projet'!$A$62,$AF$205^A17,IF(A17='Données projet'!$A$62,'Données projet'!$B$62,AI16+AH17-AQ16)))</f>
        <v>29.084054009429774</v>
      </c>
      <c r="AJ17" s="13">
        <f>AI17*VLOOKUP('Données projet'!$B$10,Paramètres!$A$1:$I$89,3,0)*VLOOKUP('Données projet'!$B$10,Paramètres!$A$1:$I$89,5,0)</f>
        <v>23.13927336990233</v>
      </c>
      <c r="AK17" s="13">
        <f t="shared" si="35"/>
        <v>7.3976107331343286</v>
      </c>
      <c r="AL17" s="20">
        <f t="shared" si="4"/>
        <v>53.185073146122171</v>
      </c>
      <c r="AM17" s="59">
        <f t="shared" si="5"/>
        <v>255.21493491839536</v>
      </c>
      <c r="AN17" s="59">
        <f ca="1">AVERAGE(OFFSET($AM$3,0,0,'Données projet'!$E$10+1,1))-AVERAGE(OFFSET($H$3,0,0,'Données projet'!$E$10+1,1))</f>
        <v>327.22763817565902</v>
      </c>
      <c r="AO17" s="59">
        <f t="shared" si="36"/>
        <v>311.68541696405975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3.4666666666666668</v>
      </c>
      <c r="BD17" s="12">
        <f>IF('Données projet'!$A$88&gt;35,BD16+BC17-BL16,IF(A17&lt;'Données projet'!$A$88,$BA$205^A17,IF(A17='Données projet'!$A$88,'Données projet'!$B$88,BD16+BC17-BL16)))</f>
        <v>39.95794278810628</v>
      </c>
      <c r="BE17" s="13">
        <f>BD17*VLOOKUP('Données projet'!$B$11,Paramètres!$A$1:$I$89,3,0)*VLOOKUP('Données projet'!$B$11,Paramètres!$A$1:$I$89,5,0)</f>
        <v>25.557100207272775</v>
      </c>
      <c r="BF17" s="13">
        <f t="shared" si="37"/>
        <v>8.0766133640445474</v>
      </c>
      <c r="BG17" s="20">
        <f t="shared" si="7"/>
        <v>58.578717803377664</v>
      </c>
      <c r="BH17" s="59">
        <f t="shared" si="8"/>
        <v>260.60857957565088</v>
      </c>
      <c r="BI17" s="59">
        <f ca="1">AVERAGE(OFFSET($BH$3,0,0,'Données projet'!$E$11+1,1))-AVERAGE(OFFSET($H$3,0,0,'Données projet'!$E$11+1,1))</f>
        <v>169.46470423366029</v>
      </c>
      <c r="BJ17" s="59">
        <f t="shared" si="38"/>
        <v>230.78141128389288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7.4</v>
      </c>
      <c r="BY17" s="12">
        <f>IF('Données projet'!$A$114&gt;35,BY16+BX17-CG16,IF(A17&lt;'Données projet'!$A$114,$BV$205^A17,IF(A17='Données projet'!$A$114,'Données projet'!$B$114,BY16+BX17-CG16)))</f>
        <v>52.599999999999994</v>
      </c>
      <c r="BZ17" s="13">
        <f>BY17*VLOOKUP('Données projet'!$B$12,Paramètres!$A$1:$I$89,3,0)*VLOOKUP('Données projet'!$B$12,Paramètres!$A$1:$I$89,5,0)</f>
        <v>45.951360000000001</v>
      </c>
      <c r="CA17" s="13">
        <f t="shared" si="39"/>
        <v>13.563098137964777</v>
      </c>
      <c r="CB17" s="20">
        <f t="shared" si="10"/>
        <v>103.65434792362198</v>
      </c>
      <c r="CC17" s="59">
        <f t="shared" si="11"/>
        <v>305.68420969589516</v>
      </c>
      <c r="CD17" s="59">
        <f ca="1">AVERAGE(OFFSET($CC$3,0,0,'Données projet'!$E$12+1,1))-AVERAGE(OFFSET($H$3,0,0,'Données projet'!$E$12+1,1))</f>
        <v>342.79161436526499</v>
      </c>
      <c r="CE17" s="59">
        <f t="shared" si="40"/>
        <v>315.50730924873733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1.2</v>
      </c>
      <c r="CT17" s="12">
        <f>IF('Données projet'!$A$140&gt;35,CT16+CS17-DB16,IF(A17&lt;'Données projet'!$A$140,$CQ$205^A17,IF(A17='Données projet'!$A$140,'Données projet'!$B$140,CT16+CS17-DB16)))</f>
        <v>6.7171941741218459</v>
      </c>
      <c r="CU17" s="17">
        <f>CT17*VLOOKUP('Données projet'!$B$13,Paramètres!$A$1:$I$89,3,0)*VLOOKUP('Données projet'!$B$13,Paramètres!$A$1:$I$89,5,0)</f>
        <v>4.5058938520009342</v>
      </c>
      <c r="CV17" s="13">
        <f t="shared" si="41"/>
        <v>1.7427412789078978</v>
      </c>
      <c r="CW17" s="20">
        <f t="shared" si="13"/>
        <v>10.883039519666218</v>
      </c>
      <c r="CX17" s="59">
        <f t="shared" si="14"/>
        <v>212.91290129193942</v>
      </c>
      <c r="CY17" s="59">
        <f ca="1">AVERAGE(OFFSET($CX$3,0,0,'Données projet'!$E$13+1,1))-AVERAGE(OFFSET($H$3,0,0,'Données projet'!$E$13+1,1))</f>
        <v>201.84651193684252</v>
      </c>
      <c r="CZ17" s="59">
        <f t="shared" si="42"/>
        <v>138.00705940844708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10.8</v>
      </c>
      <c r="DO17" s="12">
        <f>IF('Données projet'!$A$166&gt;35,DO16+DN17-DW16,IF(A17&lt;'Données projet'!$A$166,$DL$205^A17,IF(A17='Données projet'!$A$166,'Données projet'!$B$166,DO16+DN17-DW16)))</f>
        <v>54.2</v>
      </c>
      <c r="DP17" s="17">
        <f>DO17*VLOOKUP('Données projet'!$B$14,Paramètres!$A$1:$I$89,3,0)*VLOOKUP('Données projet'!$B$14,Paramètres!$A$1:$I$89,5,0)</f>
        <v>39.739440000000002</v>
      </c>
      <c r="DQ17" s="13">
        <f t="shared" si="43"/>
        <v>11.929559204083212</v>
      </c>
      <c r="DR17" s="20">
        <f t="shared" si="16"/>
        <v>89.990173613778268</v>
      </c>
      <c r="DS17" s="59">
        <f t="shared" si="17"/>
        <v>292.02003538605146</v>
      </c>
      <c r="DT17" s="59">
        <f ca="1">AVERAGE(OFFSET($DS$3,0,0,'Données projet'!$E$14+1,1))-AVERAGE(OFFSET($H$3,0,0,'Données projet'!$E$14+1,1))</f>
        <v>242.21240859696931</v>
      </c>
      <c r="DU17" s="59">
        <f t="shared" si="44"/>
        <v>340.92165104349192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1.2</v>
      </c>
      <c r="EJ17" s="12">
        <f>IF('Données projet'!$A$192&gt;35,EJ16+EI17-ER16,IF(A17&lt;'Données projet'!$A$192,$EG$205^A17,IF(A17='Données projet'!$A$192,'Données projet'!$B$192,EJ16+EI17-ER16)))</f>
        <v>6.7171941741218459</v>
      </c>
      <c r="EK17" s="17">
        <f>EJ17*VLOOKUP('Données projet'!$B$15,Paramètres!$A$1:$I$89,3,0)*VLOOKUP('Données projet'!$B$15,Paramètres!$A$1:$I$89,5,0)</f>
        <v>6.4968702052106497</v>
      </c>
      <c r="EL17" s="13">
        <f t="shared" si="45"/>
        <v>2.4080055723865681</v>
      </c>
      <c r="EM17" s="20">
        <f t="shared" si="19"/>
        <v>15.509325312648487</v>
      </c>
      <c r="EN17" s="59">
        <f t="shared" si="20"/>
        <v>217.53918708492168</v>
      </c>
      <c r="EO17" s="59">
        <f ca="1">AVERAGE(OFFSET($EN$3,0,0,'Données projet'!$E$15+1,1))-AVERAGE(OFFSET($H$3,0,0,'Données projet'!$E$15+1,1))</f>
        <v>331.7059599630698</v>
      </c>
      <c r="EP17" s="59">
        <f t="shared" si="46"/>
        <v>173.19148969173838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1.2</v>
      </c>
      <c r="FE17" s="12">
        <f>IF('Données projet'!$A$218&gt;35,FE16+FD17-FM16,IF(A17&lt;'Données projet'!$A$218,$FB$205^A17,IF(A17='Données projet'!$A$218,'Données projet'!$B$218,FE16+FD17-FM16)))</f>
        <v>6.7171941741218459</v>
      </c>
      <c r="FF17" s="17">
        <f>FE17*VLOOKUP('Données projet'!$B$16,Paramètres!$A$1:$I$89,3,0)*VLOOKUP('Données projet'!$B$16,Paramètres!$A$1:$I$89,5,0)</f>
        <v>7.2303878090247551</v>
      </c>
      <c r="FG17" s="13">
        <f t="shared" si="47"/>
        <v>2.6467154181950132</v>
      </c>
      <c r="FH17" s="20">
        <f t="shared" si="22"/>
        <v>17.202621454074428</v>
      </c>
      <c r="FI17" s="59">
        <f t="shared" si="23"/>
        <v>219.23248322634763</v>
      </c>
      <c r="FJ17" s="59">
        <f ca="1">AVERAGE(OFFSET($FI$3,0,0,'Données projet'!$E$16+1,1))-AVERAGE(OFFSET($H$3,0,0,'Données projet'!$E$16+1,1))</f>
        <v>360.86062459677004</v>
      </c>
      <c r="FK17" s="59">
        <f t="shared" si="48"/>
        <v>186.0840067781198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2.1</v>
      </c>
      <c r="FZ17" s="12">
        <f>IF('Données projet'!$A$244&gt;35,FZ16+FY17-GH16,IF(A17&lt;'Données projet'!$A$244,$FW$205^A17,IF(A17='Données projet'!$A$244,'Données projet'!$B$244,FZ16+FY17-GH16)))</f>
        <v>13.685935953338433</v>
      </c>
      <c r="GA17" s="17">
        <f>FZ17*VLOOKUP('Données projet'!$B$17,Paramètres!$A$1:$I$89,3,0)*VLOOKUP('Données projet'!$B$17,Paramètres!$A$1:$I$89,5,0)</f>
        <v>13.877539056685173</v>
      </c>
      <c r="GB17" s="13">
        <f t="shared" si="49"/>
        <v>4.7086819085950955</v>
      </c>
      <c r="GC17" s="20">
        <f t="shared" si="25"/>
        <v>32.371001514529802</v>
      </c>
      <c r="GD17" s="59">
        <f t="shared" si="26"/>
        <v>234.400863286803</v>
      </c>
      <c r="GE17" s="59">
        <f ca="1">AVERAGE(OFFSET($GD$3,0,0,'Données projet'!$E$17+1,1))-AVERAGE(OFFSET($H$3,0,0,'Données projet'!$E$17+1,1))</f>
        <v>448.73339628506784</v>
      </c>
      <c r="GF17" s="59">
        <f t="shared" si="50"/>
        <v>273.35778700650803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14.927585237660953</v>
      </c>
      <c r="P18" s="13">
        <f t="shared" si="33"/>
        <v>5.0221449106318534</v>
      </c>
      <c r="Q18" s="20">
        <f t="shared" si="2"/>
        <v>34.745780008276633</v>
      </c>
      <c r="R18" s="59">
        <f t="shared" si="0"/>
        <v>239.24252994115767</v>
      </c>
      <c r="S18" s="59">
        <f ca="1">AVERAGE(OFFSET($R$3,0,0,'Données projet'!$E$9+1,1))-AVERAGE(OFFSET($H$3,0,0,'Données projet'!$E$9+1,1))</f>
        <v>408.51124670343137</v>
      </c>
      <c r="T18" s="59">
        <f t="shared" si="34"/>
        <v>250.47702091764884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37</v>
      </c>
      <c r="AG18" s="12">
        <f>VLOOKUP(A18,'Données projet'!$A$61:$I$81,9,0)</f>
        <v>2.4666666666666668</v>
      </c>
      <c r="AH18" s="12">
        <f t="array" ref="AH18">INDEX(AG:AG,MIN(IF(ISNUMBER(AG18:AG214),ROW(AG18:AG214),"")))</f>
        <v>2.4666666666666668</v>
      </c>
      <c r="AI18" s="13">
        <f>IF('Données projet'!$A$62&gt;35,AI17+AH18-AQ17,IF(A18&lt;'Données projet'!$A$62,$AF$205^A18,IF(A18='Données projet'!$A$62,'Données projet'!$B$62,AI17+AH18-AQ17)))</f>
        <v>37</v>
      </c>
      <c r="AJ18" s="13">
        <f>AI18*VLOOKUP('Données projet'!$B$10,Paramètres!$A$1:$I$89,3,0)*VLOOKUP('Données projet'!$B$10,Paramètres!$A$1:$I$89,5,0)</f>
        <v>29.437200000000004</v>
      </c>
      <c r="AK18" s="13">
        <f t="shared" si="35"/>
        <v>9.1510096001539196</v>
      </c>
      <c r="AL18" s="20">
        <f t="shared" si="4"/>
        <v>67.207798386934755</v>
      </c>
      <c r="AM18" s="59">
        <f t="shared" si="5"/>
        <v>271.70454831981579</v>
      </c>
      <c r="AN18" s="59">
        <f ca="1">AVERAGE(OFFSET($AM$3,0,0,'Données projet'!$E$10+1,1))-AVERAGE(OFFSET($H$3,0,0,'Données projet'!$E$10+1,1))</f>
        <v>327.22763817565902</v>
      </c>
      <c r="AO18" s="59">
        <f t="shared" si="36"/>
        <v>311.68541696405975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52</v>
      </c>
      <c r="BB18" s="12">
        <f>VLOOKUP(A18,'Données projet'!$A$87:$I$107,9,0)</f>
        <v>3.4666666666666668</v>
      </c>
      <c r="BC18" s="12">
        <f t="array" ref="BC18">INDEX(BB:BB,MIN(IF(ISNUMBER(BB18:BB214),ROW(BB18:BB214),"")))</f>
        <v>3.4666666666666668</v>
      </c>
      <c r="BD18" s="12">
        <f>IF('Données projet'!$A$88&gt;35,BD17+BC18-BL17,IF(A18&lt;'Données projet'!$A$88,$BA$205^A18,IF(A18='Données projet'!$A$88,'Données projet'!$B$88,BD17+BC18-BL17)))</f>
        <v>52</v>
      </c>
      <c r="BE18" s="13">
        <f>BD18*VLOOKUP('Données projet'!$B$11,Paramètres!$A$1:$I$89,3,0)*VLOOKUP('Données projet'!$B$11,Paramètres!$A$1:$I$89,5,0)</f>
        <v>33.2592</v>
      </c>
      <c r="BF18" s="13">
        <f t="shared" si="37"/>
        <v>10.193265358024187</v>
      </c>
      <c r="BG18" s="20">
        <f t="shared" si="7"/>
        <v>75.679710498558791</v>
      </c>
      <c r="BH18" s="59">
        <f t="shared" si="8"/>
        <v>280.17646043143986</v>
      </c>
      <c r="BI18" s="59">
        <f ca="1">AVERAGE(OFFSET($BH$3,0,0,'Données projet'!$E$11+1,1))-AVERAGE(OFFSET($H$3,0,0,'Données projet'!$E$11+1,1))</f>
        <v>169.46470423366029</v>
      </c>
      <c r="BJ18" s="59">
        <f t="shared" si="38"/>
        <v>230.78141128389288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8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60</v>
      </c>
      <c r="BW18" s="12">
        <f>VLOOKUP(A18,'Données projet'!$A$113:$I$133,9,0)</f>
        <v>7.4</v>
      </c>
      <c r="BX18" s="12">
        <f t="array" ref="BX18">INDEX(BW:BW,MIN(IF(ISNUMBER(BW18:BW214),ROW(BW18:BW214),"")))</f>
        <v>7.4</v>
      </c>
      <c r="BY18" s="12">
        <f>IF('Données projet'!$A$114&gt;35,BY17+BX18-CG17,IF(A18&lt;'Données projet'!$A$114,$BV$205^A18,IF(A18='Données projet'!$A$114,'Données projet'!$B$114,BY17+BX18-CG17)))</f>
        <v>59.999999999999993</v>
      </c>
      <c r="BZ18" s="13">
        <f>BY18*VLOOKUP('Données projet'!$B$12,Paramètres!$A$1:$I$89,3,0)*VLOOKUP('Données projet'!$B$12,Paramètres!$A$1:$I$89,5,0)</f>
        <v>52.416000000000004</v>
      </c>
      <c r="CA18" s="13">
        <f t="shared" si="39"/>
        <v>15.235978301273029</v>
      </c>
      <c r="CB18" s="20">
        <f t="shared" si="10"/>
        <v>117.82719554138386</v>
      </c>
      <c r="CC18" s="59">
        <f t="shared" si="11"/>
        <v>322.32394547426492</v>
      </c>
      <c r="CD18" s="59">
        <f ca="1">AVERAGE(OFFSET($CC$3,0,0,'Données projet'!$E$12+1,1))-AVERAGE(OFFSET($H$3,0,0,'Données projet'!$E$12+1,1))</f>
        <v>342.79161436526499</v>
      </c>
      <c r="CE18" s="59">
        <f t="shared" si="40"/>
        <v>315.50730924873733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1.2</v>
      </c>
      <c r="CT18" s="12">
        <f>IF('Données projet'!$A$140&gt;35,CT17+CS18-DB17,IF(A18&lt;'Données projet'!$A$140,$CQ$205^A18,IF(A18='Données projet'!$A$140,'Données projet'!$B$140,CT17+CS18-DB17)))</f>
        <v>7.6961363407260848</v>
      </c>
      <c r="CU18" s="17">
        <f>CT18*VLOOKUP('Données projet'!$B$13,Paramètres!$A$1:$I$89,3,0)*VLOOKUP('Données projet'!$B$13,Paramètres!$A$1:$I$89,5,0)</f>
        <v>5.1625682573590579</v>
      </c>
      <c r="CV18" s="13">
        <f t="shared" si="41"/>
        <v>1.9653517588077616</v>
      </c>
      <c r="CW18" s="20">
        <f t="shared" si="13"/>
        <v>12.414460694823878</v>
      </c>
      <c r="CX18" s="59">
        <f t="shared" si="14"/>
        <v>216.91121062770492</v>
      </c>
      <c r="CY18" s="59">
        <f ca="1">AVERAGE(OFFSET($CX$3,0,0,'Données projet'!$E$13+1,1))-AVERAGE(OFFSET($H$3,0,0,'Données projet'!$E$13+1,1))</f>
        <v>201.84651193684252</v>
      </c>
      <c r="CZ18" s="59">
        <f t="shared" si="42"/>
        <v>138.00705940844708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65</v>
      </c>
      <c r="DM18" s="12">
        <f>VLOOKUP(A18,'Données projet'!$A$165:$I$185,9,0)</f>
        <v>10.8</v>
      </c>
      <c r="DN18" s="12">
        <f t="array" ref="DN18">INDEX(DM:DM,MIN(IF(ISNUMBER(DM18:DM214),ROW(DM18:DM214),"")))</f>
        <v>10.8</v>
      </c>
      <c r="DO18" s="12">
        <f>IF('Données projet'!$A$166&gt;35,DO17+DN18-DW17,IF(A18&lt;'Données projet'!$A$166,$DL$205^A18,IF(A18='Données projet'!$A$166,'Données projet'!$B$166,DO17+DN18-DW17)))</f>
        <v>65</v>
      </c>
      <c r="DP18" s="17">
        <f>DO18*VLOOKUP('Données projet'!$B$14,Paramètres!$A$1:$I$89,3,0)*VLOOKUP('Données projet'!$B$14,Paramètres!$A$1:$I$89,5,0)</f>
        <v>47.657999999999994</v>
      </c>
      <c r="DQ18" s="13">
        <f t="shared" si="43"/>
        <v>14.007249652087213</v>
      </c>
      <c r="DR18" s="20">
        <f t="shared" si="16"/>
        <v>107.40030981071855</v>
      </c>
      <c r="DS18" s="59">
        <f t="shared" si="17"/>
        <v>311.89705974359958</v>
      </c>
      <c r="DT18" s="59">
        <f ca="1">AVERAGE(OFFSET($DS$3,0,0,'Données projet'!$E$14+1,1))-AVERAGE(OFFSET($H$3,0,0,'Données projet'!$E$14+1,1))</f>
        <v>242.21240859696931</v>
      </c>
      <c r="DU18" s="59">
        <f t="shared" si="44"/>
        <v>340.92165104349192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1.2</v>
      </c>
      <c r="EJ18" s="12">
        <f>IF('Données projet'!$A$192&gt;35,EJ17+EI18-ER17,IF(A18&lt;'Données projet'!$A$192,$EG$205^A18,IF(A18='Données projet'!$A$192,'Données projet'!$B$192,EJ17+EI18-ER17)))</f>
        <v>7.6961363407260848</v>
      </c>
      <c r="EK18" s="17">
        <f>EJ18*VLOOKUP('Données projet'!$B$15,Paramètres!$A$1:$I$89,3,0)*VLOOKUP('Données projet'!$B$15,Paramètres!$A$1:$I$89,5,0)</f>
        <v>7.4437030687502697</v>
      </c>
      <c r="EL18" s="13">
        <f t="shared" si="45"/>
        <v>2.7155941298840056</v>
      </c>
      <c r="EM18" s="20">
        <f t="shared" si="19"/>
        <v>17.694109287621362</v>
      </c>
      <c r="EN18" s="59">
        <f t="shared" si="20"/>
        <v>222.1908592205024</v>
      </c>
      <c r="EO18" s="59">
        <f ca="1">AVERAGE(OFFSET($EN$3,0,0,'Données projet'!$E$15+1,1))-AVERAGE(OFFSET($H$3,0,0,'Données projet'!$E$15+1,1))</f>
        <v>331.7059599630698</v>
      </c>
      <c r="EP18" s="59">
        <f t="shared" si="46"/>
        <v>173.19148969173838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1.2</v>
      </c>
      <c r="FE18" s="12">
        <f>IF('Données projet'!$A$218&gt;35,FE17+FD18-FM17,IF(A18&lt;'Données projet'!$A$218,$FB$205^A18,IF(A18='Données projet'!$A$218,'Données projet'!$B$218,FE17+FD18-FM17)))</f>
        <v>7.6961363407260848</v>
      </c>
      <c r="FF18" s="17">
        <f>FE18*VLOOKUP('Données projet'!$B$16,Paramètres!$A$1:$I$89,3,0)*VLOOKUP('Données projet'!$B$16,Paramètres!$A$1:$I$89,5,0)</f>
        <v>8.284121157157557</v>
      </c>
      <c r="FG18" s="13">
        <f t="shared" si="47"/>
        <v>2.9847957727109624</v>
      </c>
      <c r="FH18" s="20">
        <f t="shared" si="22"/>
        <v>19.626696986187671</v>
      </c>
      <c r="FI18" s="59">
        <f t="shared" si="23"/>
        <v>224.12344691906873</v>
      </c>
      <c r="FJ18" s="59">
        <f ca="1">AVERAGE(OFFSET($FI$3,0,0,'Données projet'!$E$16+1,1))-AVERAGE(OFFSET($H$3,0,0,'Données projet'!$E$16+1,1))</f>
        <v>360.86062459677004</v>
      </c>
      <c r="FK18" s="59">
        <f t="shared" si="48"/>
        <v>186.0840067781198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2.1</v>
      </c>
      <c r="FZ18" s="12">
        <f>IF('Données projet'!$A$244&gt;35,FZ17+FY18-GH17,IF(A18&lt;'Données projet'!$A$244,$FW$205^A18,IF(A18='Données projet'!$A$244,'Données projet'!$B$244,FZ17+FY18-GH17)))</f>
        <v>16.498215337821566</v>
      </c>
      <c r="GA18" s="17">
        <f>FZ18*VLOOKUP('Données projet'!$B$17,Paramètres!$A$1:$I$89,3,0)*VLOOKUP('Données projet'!$B$17,Paramètres!$A$1:$I$89,5,0)</f>
        <v>16.729190352551068</v>
      </c>
      <c r="GB18" s="13">
        <f t="shared" si="49"/>
        <v>5.5541103821765283</v>
      </c>
      <c r="GC18" s="20">
        <f t="shared" si="25"/>
        <v>38.810082112983899</v>
      </c>
      <c r="GD18" s="59">
        <f t="shared" si="26"/>
        <v>243.30683204586495</v>
      </c>
      <c r="GE18" s="59">
        <f ca="1">AVERAGE(OFFSET($GD$3,0,0,'Données projet'!$E$17+1,1))-AVERAGE(OFFSET($H$3,0,0,'Données projet'!$E$17+1,1))</f>
        <v>448.73339628506784</v>
      </c>
      <c r="GF18" s="59">
        <f t="shared" si="50"/>
        <v>273.35778700650803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17.995007178485412</v>
      </c>
      <c r="P19" s="13">
        <f t="shared" si="33"/>
        <v>5.9238546434872337</v>
      </c>
      <c r="Q19" s="20">
        <f t="shared" si="2"/>
        <v>41.658684339935689</v>
      </c>
      <c r="R19" s="59">
        <f t="shared" si="0"/>
        <v>248.60073026204975</v>
      </c>
      <c r="S19" s="59">
        <f ca="1">AVERAGE(OFFSET($R$3,0,0,'Données projet'!$E$9+1,1))-AVERAGE(OFFSET($H$3,0,0,'Données projet'!$E$9+1,1))</f>
        <v>408.51124670343137</v>
      </c>
      <c r="T19" s="59">
        <f t="shared" si="34"/>
        <v>250.47702091764884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8.6</v>
      </c>
      <c r="AI19" s="13">
        <f>IF('Données projet'!$A$62&gt;35,AI18+AH19-AQ18,IF(A19&lt;'Données projet'!$A$62,$AF$205^A19,IF(A19='Données projet'!$A$62,'Données projet'!$B$62,AI18+AH19-AQ18)))</f>
        <v>45.6</v>
      </c>
      <c r="AJ19" s="13">
        <f>AI19*VLOOKUP('Données projet'!$B$10,Paramètres!$A$1:$I$89,3,0)*VLOOKUP('Données projet'!$B$10,Paramètres!$A$1:$I$89,5,0)</f>
        <v>36.279360000000004</v>
      </c>
      <c r="AK19" s="13">
        <f t="shared" si="35"/>
        <v>11.006957828729092</v>
      </c>
      <c r="AL19" s="20">
        <f t="shared" si="4"/>
        <v>82.357003551703173</v>
      </c>
      <c r="AM19" s="59">
        <f t="shared" si="5"/>
        <v>289.29904947381726</v>
      </c>
      <c r="AN19" s="59">
        <f ca="1">AVERAGE(OFFSET($AM$3,0,0,'Données projet'!$E$10+1,1))-AVERAGE(OFFSET($H$3,0,0,'Données projet'!$E$10+1,1))</f>
        <v>327.22763817565902</v>
      </c>
      <c r="AO19" s="59">
        <f t="shared" si="36"/>
        <v>311.68541696405975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6.2</v>
      </c>
      <c r="BD19" s="12">
        <f>IF('Données projet'!$A$88&gt;35,BD18+BC19-BL18,IF(A19&lt;'Données projet'!$A$88,$BA$205^A19,IF(A19='Données projet'!$A$88,'Données projet'!$B$88,BD18+BC19-BL18)))</f>
        <v>50.2</v>
      </c>
      <c r="BE19" s="13">
        <f>BD19*VLOOKUP('Données projet'!$B$11,Paramètres!$A$1:$I$89,3,0)*VLOOKUP('Données projet'!$B$11,Paramètres!$A$1:$I$89,5,0)</f>
        <v>32.10792</v>
      </c>
      <c r="BF19" s="13">
        <f t="shared" si="37"/>
        <v>9.8808562309615109</v>
      </c>
      <c r="BG19" s="20">
        <f t="shared" si="7"/>
        <v>73.130451935591296</v>
      </c>
      <c r="BH19" s="59">
        <f t="shared" si="8"/>
        <v>280.07249785770534</v>
      </c>
      <c r="BI19" s="59">
        <f ca="1">AVERAGE(OFFSET($BH$3,0,0,'Données projet'!$E$11+1,1))-AVERAGE(OFFSET($H$3,0,0,'Données projet'!$E$11+1,1))</f>
        <v>169.46470423366029</v>
      </c>
      <c r="BJ19" s="59">
        <f t="shared" si="38"/>
        <v>230.78141128389288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9.6</v>
      </c>
      <c r="BY19" s="12">
        <f>IF('Données projet'!$A$114&gt;35,BY18+BX19-CG18,IF(A19&lt;'Données projet'!$A$114,$BV$205^A19,IF(A19='Données projet'!$A$114,'Données projet'!$B$114,BY18+BX19-CG18)))</f>
        <v>69.599999999999994</v>
      </c>
      <c r="BZ19" s="13">
        <f>BY19*VLOOKUP('Données projet'!$B$12,Paramètres!$A$1:$I$89,3,0)*VLOOKUP('Données projet'!$B$12,Paramètres!$A$1:$I$89,5,0)</f>
        <v>60.80256</v>
      </c>
      <c r="CA19" s="13">
        <f t="shared" si="39"/>
        <v>17.371024177726472</v>
      </c>
      <c r="CB19" s="20">
        <f t="shared" si="10"/>
        <v>136.15232577620694</v>
      </c>
      <c r="CC19" s="59">
        <f t="shared" si="11"/>
        <v>343.09437169832097</v>
      </c>
      <c r="CD19" s="59">
        <f ca="1">AVERAGE(OFFSET($CC$3,0,0,'Données projet'!$E$12+1,1))-AVERAGE(OFFSET($H$3,0,0,'Données projet'!$E$12+1,1))</f>
        <v>342.79161436526499</v>
      </c>
      <c r="CE19" s="59">
        <f t="shared" si="40"/>
        <v>315.50730924873733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1.2</v>
      </c>
      <c r="CT19" s="12">
        <f>IF('Données projet'!$A$140&gt;35,CT18+CS19-DB18,IF(A19&lt;'Données projet'!$A$140,$CQ$205^A19,IF(A19='Données projet'!$A$140,'Données projet'!$B$140,CT18+CS19-DB18)))</f>
        <v>8.8177463744060987</v>
      </c>
      <c r="CU19" s="17">
        <f>CT19*VLOOKUP('Données projet'!$B$13,Paramètres!$A$1:$I$89,3,0)*VLOOKUP('Données projet'!$B$13,Paramètres!$A$1:$I$89,5,0)</f>
        <v>5.9149442679516113</v>
      </c>
      <c r="CV19" s="13">
        <f t="shared" si="41"/>
        <v>2.2163975700795318</v>
      </c>
      <c r="CW19" s="20">
        <f t="shared" si="13"/>
        <v>14.162087034570909</v>
      </c>
      <c r="CX19" s="59">
        <f t="shared" si="14"/>
        <v>221.10413295668496</v>
      </c>
      <c r="CY19" s="59">
        <f ca="1">AVERAGE(OFFSET($CX$3,0,0,'Données projet'!$E$13+1,1))-AVERAGE(OFFSET($H$3,0,0,'Données projet'!$E$13+1,1))</f>
        <v>201.84651193684252</v>
      </c>
      <c r="CZ19" s="59">
        <f t="shared" si="42"/>
        <v>138.00705940844708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7.4</v>
      </c>
      <c r="DO19" s="12">
        <f>IF('Données projet'!$A$166&gt;35,DO18+DN19-DW18,IF(A19&lt;'Données projet'!$A$166,$DL$205^A19,IF(A19='Données projet'!$A$166,'Données projet'!$B$166,DO18+DN19-DW18)))</f>
        <v>72.400000000000006</v>
      </c>
      <c r="DP19" s="17">
        <f>DO19*VLOOKUP('Données projet'!$B$14,Paramètres!$A$1:$I$89,3,0)*VLOOKUP('Données projet'!$B$14,Paramètres!$A$1:$I$89,5,0)</f>
        <v>53.083680000000001</v>
      </c>
      <c r="DQ19" s="13">
        <f t="shared" si="43"/>
        <v>15.407338506931149</v>
      </c>
      <c r="DR19" s="20">
        <f t="shared" si="16"/>
        <v>119.28852389957176</v>
      </c>
      <c r="DS19" s="59">
        <f t="shared" si="17"/>
        <v>326.23056982168583</v>
      </c>
      <c r="DT19" s="59">
        <f ca="1">AVERAGE(OFFSET($DS$3,0,0,'Données projet'!$E$14+1,1))-AVERAGE(OFFSET($H$3,0,0,'Données projet'!$E$14+1,1))</f>
        <v>242.21240859696931</v>
      </c>
      <c r="DU19" s="59">
        <f t="shared" si="44"/>
        <v>340.92165104349192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1.2</v>
      </c>
      <c r="EJ19" s="12">
        <f>IF('Données projet'!$A$192&gt;35,EJ18+EI19-ER18,IF(A19&lt;'Données projet'!$A$192,$EG$205^A19,IF(A19='Données projet'!$A$192,'Données projet'!$B$192,EJ18+EI19-ER18)))</f>
        <v>8.8177463744060987</v>
      </c>
      <c r="EK19" s="17">
        <f>EJ19*VLOOKUP('Données projet'!$B$15,Paramètres!$A$1:$I$89,3,0)*VLOOKUP('Données projet'!$B$15,Paramètres!$A$1:$I$89,5,0)</f>
        <v>8.528524293325578</v>
      </c>
      <c r="EL19" s="13">
        <f t="shared" si="45"/>
        <v>3.0624727628647754</v>
      </c>
      <c r="EM19" s="20">
        <f t="shared" si="19"/>
        <v>20.187653206198199</v>
      </c>
      <c r="EN19" s="59">
        <f t="shared" si="20"/>
        <v>227.12969912831227</v>
      </c>
      <c r="EO19" s="59">
        <f ca="1">AVERAGE(OFFSET($EN$3,0,0,'Données projet'!$E$15+1,1))-AVERAGE(OFFSET($H$3,0,0,'Données projet'!$E$15+1,1))</f>
        <v>331.7059599630698</v>
      </c>
      <c r="EP19" s="59">
        <f t="shared" si="46"/>
        <v>173.19148969173838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1.2</v>
      </c>
      <c r="FE19" s="12">
        <f>IF('Données projet'!$A$218&gt;35,FE18+FD19-FM18,IF(A19&lt;'Données projet'!$A$218,$FB$205^A19,IF(A19='Données projet'!$A$218,'Données projet'!$B$218,FE18+FD19-FM18)))</f>
        <v>8.8177463744060987</v>
      </c>
      <c r="FF19" s="17">
        <f>FE19*VLOOKUP('Données projet'!$B$16,Paramètres!$A$1:$I$89,3,0)*VLOOKUP('Données projet'!$B$16,Paramètres!$A$1:$I$89,5,0)</f>
        <v>9.4914221974107242</v>
      </c>
      <c r="FG19" s="13">
        <f t="shared" si="47"/>
        <v>3.3660610972935361</v>
      </c>
      <c r="FH19" s="20">
        <f t="shared" si="22"/>
        <v>22.393450071609919</v>
      </c>
      <c r="FI19" s="59">
        <f t="shared" si="23"/>
        <v>229.33549599372398</v>
      </c>
      <c r="FJ19" s="59">
        <f ca="1">AVERAGE(OFFSET($FI$3,0,0,'Données projet'!$E$16+1,1))-AVERAGE(OFFSET($H$3,0,0,'Données projet'!$E$16+1,1))</f>
        <v>360.86062459677004</v>
      </c>
      <c r="FK19" s="59">
        <f t="shared" si="48"/>
        <v>186.0840067781198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2.1</v>
      </c>
      <c r="FZ19" s="12">
        <f>IF('Données projet'!$A$244&gt;35,FZ18+FY19-GH18,IF(A19&lt;'Données projet'!$A$244,$FW$205^A19,IF(A19='Données projet'!$A$244,'Données projet'!$B$244,FZ18+FY19-GH18)))</f>
        <v>19.888381054913147</v>
      </c>
      <c r="GA19" s="17">
        <f>FZ19*VLOOKUP('Données projet'!$B$17,Paramètres!$A$1:$I$89,3,0)*VLOOKUP('Données projet'!$B$17,Paramètres!$A$1:$I$89,5,0)</f>
        <v>20.166818389681932</v>
      </c>
      <c r="GB19" s="13">
        <f t="shared" si="49"/>
        <v>6.5513327797938032</v>
      </c>
      <c r="GC19" s="20">
        <f t="shared" si="25"/>
        <v>46.534113286836906</v>
      </c>
      <c r="GD19" s="59">
        <f t="shared" si="26"/>
        <v>253.47615920895097</v>
      </c>
      <c r="GE19" s="59">
        <f ca="1">AVERAGE(OFFSET($GD$3,0,0,'Données projet'!$E$17+1,1))-AVERAGE(OFFSET($H$3,0,0,'Données projet'!$E$17+1,1))</f>
        <v>448.73339628506784</v>
      </c>
      <c r="GF19" s="59">
        <f t="shared" si="50"/>
        <v>273.35778700650803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21.692743883101215</v>
      </c>
      <c r="P20" s="13">
        <f t="shared" si="33"/>
        <v>6.98746341685115</v>
      </c>
      <c r="Q20" s="20">
        <f t="shared" si="2"/>
        <v>49.951361047417038</v>
      </c>
      <c r="R20" s="59">
        <f t="shared" si="0"/>
        <v>259.31748536328973</v>
      </c>
      <c r="S20" s="59">
        <f ca="1">AVERAGE(OFFSET($R$3,0,0,'Données projet'!$E$9+1,1))-AVERAGE(OFFSET($H$3,0,0,'Données projet'!$E$9+1,1))</f>
        <v>408.51124670343137</v>
      </c>
      <c r="T20" s="59">
        <f t="shared" si="34"/>
        <v>250.47702091764884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8.6</v>
      </c>
      <c r="AI20" s="13">
        <f>IF('Données projet'!$A$62&gt;35,AI19+AH20-AQ19,IF(A20&lt;'Données projet'!$A$62,$AF$205^A20,IF(A20='Données projet'!$A$62,'Données projet'!$B$62,AI19+AH20-AQ19)))</f>
        <v>54.2</v>
      </c>
      <c r="AJ20" s="13">
        <f>AI20*VLOOKUP('Données projet'!$B$10,Paramètres!$A$1:$I$89,3,0)*VLOOKUP('Données projet'!$B$10,Paramètres!$A$1:$I$89,5,0)</f>
        <v>43.121520000000004</v>
      </c>
      <c r="AK20" s="13">
        <f t="shared" si="35"/>
        <v>12.822353245070515</v>
      </c>
      <c r="AL20" s="20">
        <f t="shared" si="4"/>
        <v>97.435579235164482</v>
      </c>
      <c r="AM20" s="59">
        <f t="shared" si="5"/>
        <v>306.80170355103724</v>
      </c>
      <c r="AN20" s="59">
        <f ca="1">AVERAGE(OFFSET($AM$3,0,0,'Données projet'!$E$10+1,1))-AVERAGE(OFFSET($H$3,0,0,'Données projet'!$E$10+1,1))</f>
        <v>327.22763817565902</v>
      </c>
      <c r="AO20" s="59">
        <f t="shared" si="36"/>
        <v>311.68541696405975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6.2</v>
      </c>
      <c r="BD20" s="12">
        <f>IF('Données projet'!$A$88&gt;35,BD19+BC20-BL19,IF(A20&lt;'Données projet'!$A$88,$BA$205^A20,IF(A20='Données projet'!$A$88,'Données projet'!$B$88,BD19+BC20-BL19)))</f>
        <v>56.400000000000006</v>
      </c>
      <c r="BE20" s="13">
        <f>BD20*VLOOKUP('Données projet'!$B$11,Paramètres!$A$1:$I$89,3,0)*VLOOKUP('Données projet'!$B$11,Paramètres!$A$1:$I$89,5,0)</f>
        <v>36.073440000000005</v>
      </c>
      <c r="BF20" s="13">
        <f t="shared" si="37"/>
        <v>10.951736650667437</v>
      </c>
      <c r="BG20" s="20">
        <f t="shared" si="7"/>
        <v>81.902182666579122</v>
      </c>
      <c r="BH20" s="59">
        <f t="shared" si="8"/>
        <v>291.26830698245186</v>
      </c>
      <c r="BI20" s="59">
        <f ca="1">AVERAGE(OFFSET($BH$3,0,0,'Données projet'!$E$11+1,1))-AVERAGE(OFFSET($H$3,0,0,'Données projet'!$E$11+1,1))</f>
        <v>169.46470423366029</v>
      </c>
      <c r="BJ20" s="59">
        <f t="shared" si="38"/>
        <v>230.78141128389288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9.6</v>
      </c>
      <c r="BY20" s="12">
        <f>IF('Données projet'!$A$114&gt;35,BY19+BX20-CG19,IF(A20&lt;'Données projet'!$A$114,$BV$205^A20,IF(A20='Données projet'!$A$114,'Données projet'!$B$114,BY19+BX20-CG19)))</f>
        <v>79.199999999999989</v>
      </c>
      <c r="BZ20" s="13">
        <f>BY20*VLOOKUP('Données projet'!$B$12,Paramètres!$A$1:$I$89,3,0)*VLOOKUP('Données projet'!$B$12,Paramètres!$A$1:$I$89,5,0)</f>
        <v>69.189120000000003</v>
      </c>
      <c r="CA20" s="13">
        <f t="shared" si="39"/>
        <v>19.471951138068807</v>
      </c>
      <c r="CB20" s="20">
        <f t="shared" si="10"/>
        <v>154.41803223213648</v>
      </c>
      <c r="CC20" s="59">
        <f t="shared" si="11"/>
        <v>363.78415654800921</v>
      </c>
      <c r="CD20" s="59">
        <f ca="1">AVERAGE(OFFSET($CC$3,0,0,'Données projet'!$E$12+1,1))-AVERAGE(OFFSET($H$3,0,0,'Données projet'!$E$12+1,1))</f>
        <v>342.79161436526499</v>
      </c>
      <c r="CE20" s="59">
        <f t="shared" si="40"/>
        <v>315.50730924873733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1.2</v>
      </c>
      <c r="CT20" s="12">
        <f>IF('Données projet'!$A$140&gt;35,CT19+CS20-DB19,IF(A20&lt;'Données projet'!$A$140,$CQ$205^A20,IF(A20='Données projet'!$A$140,'Données projet'!$B$140,CT19+CS20-DB19)))</f>
        <v>10.102816228956828</v>
      </c>
      <c r="CU20" s="17">
        <f>CT20*VLOOKUP('Données projet'!$B$13,Paramètres!$A$1:$I$89,3,0)*VLOOKUP('Données projet'!$B$13,Paramètres!$A$1:$I$89,5,0)</f>
        <v>6.7769691263842402</v>
      </c>
      <c r="CV20" s="13">
        <f t="shared" si="41"/>
        <v>2.4995109229883949</v>
      </c>
      <c r="CW20" s="20">
        <f t="shared" si="13"/>
        <v>16.15653608599067</v>
      </c>
      <c r="CX20" s="59">
        <f t="shared" si="14"/>
        <v>225.52266040186339</v>
      </c>
      <c r="CY20" s="59">
        <f ca="1">AVERAGE(OFFSET($CX$3,0,0,'Données projet'!$E$13+1,1))-AVERAGE(OFFSET($H$3,0,0,'Données projet'!$E$13+1,1))</f>
        <v>201.84651193684252</v>
      </c>
      <c r="CZ20" s="59">
        <f t="shared" si="42"/>
        <v>138.00705940844708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7.4</v>
      </c>
      <c r="DO20" s="12">
        <f>IF('Données projet'!$A$166&gt;35,DO19+DN20-DW19,IF(A20&lt;'Données projet'!$A$166,$DL$205^A20,IF(A20='Données projet'!$A$166,'Données projet'!$B$166,DO19+DN20-DW19)))</f>
        <v>79.800000000000011</v>
      </c>
      <c r="DP20" s="17">
        <f>DO20*VLOOKUP('Données projet'!$B$14,Paramètres!$A$1:$I$89,3,0)*VLOOKUP('Données projet'!$B$14,Paramètres!$A$1:$I$89,5,0)</f>
        <v>58.509360000000001</v>
      </c>
      <c r="DQ20" s="13">
        <f t="shared" si="43"/>
        <v>16.790838406851989</v>
      </c>
      <c r="DR20" s="20">
        <f t="shared" si="16"/>
        <v>131.14784555860055</v>
      </c>
      <c r="DS20" s="59">
        <f t="shared" si="17"/>
        <v>340.51396987447328</v>
      </c>
      <c r="DT20" s="59">
        <f ca="1">AVERAGE(OFFSET($DS$3,0,0,'Données projet'!$E$14+1,1))-AVERAGE(OFFSET($H$3,0,0,'Données projet'!$E$14+1,1))</f>
        <v>242.21240859696931</v>
      </c>
      <c r="DU20" s="59">
        <f t="shared" si="44"/>
        <v>340.92165104349192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1.2</v>
      </c>
      <c r="EJ20" s="12">
        <f>IF('Données projet'!$A$192&gt;35,EJ19+EI20-ER19,IF(A20&lt;'Données projet'!$A$192,$EG$205^A20,IF(A20='Données projet'!$A$192,'Données projet'!$B$192,EJ19+EI20-ER19)))</f>
        <v>10.102816228956828</v>
      </c>
      <c r="EK20" s="17">
        <f>EJ20*VLOOKUP('Données projet'!$B$15,Paramètres!$A$1:$I$89,3,0)*VLOOKUP('Données projet'!$B$15,Paramètres!$A$1:$I$89,5,0)</f>
        <v>9.7714438566470445</v>
      </c>
      <c r="EL20" s="13">
        <f t="shared" si="45"/>
        <v>3.4536602211941068</v>
      </c>
      <c r="EM20" s="20">
        <f t="shared" si="19"/>
        <v>23.033722935573341</v>
      </c>
      <c r="EN20" s="59">
        <f t="shared" si="20"/>
        <v>232.39984725144606</v>
      </c>
      <c r="EO20" s="59">
        <f ca="1">AVERAGE(OFFSET($EN$3,0,0,'Données projet'!$E$15+1,1))-AVERAGE(OFFSET($H$3,0,0,'Données projet'!$E$15+1,1))</f>
        <v>331.7059599630698</v>
      </c>
      <c r="EP20" s="59">
        <f t="shared" si="46"/>
        <v>173.19148969173838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1.2</v>
      </c>
      <c r="FE20" s="12">
        <f>IF('Données projet'!$A$218&gt;35,FE19+FD20-FM19,IF(A20&lt;'Données projet'!$A$218,$FB$205^A20,IF(A20='Données projet'!$A$218,'Données projet'!$B$218,FE19+FD20-FM19)))</f>
        <v>10.102816228956828</v>
      </c>
      <c r="FF20" s="17">
        <f>FE20*VLOOKUP('Données projet'!$B$16,Paramètres!$A$1:$I$89,3,0)*VLOOKUP('Données projet'!$B$16,Paramètres!$A$1:$I$89,5,0)</f>
        <v>10.874671388849128</v>
      </c>
      <c r="FG20" s="13">
        <f t="shared" si="47"/>
        <v>3.7960276593470508</v>
      </c>
      <c r="FH20" s="20">
        <f t="shared" si="22"/>
        <v>25.551467508941673</v>
      </c>
      <c r="FI20" s="59">
        <f t="shared" si="23"/>
        <v>234.91759182481439</v>
      </c>
      <c r="FJ20" s="59">
        <f ca="1">AVERAGE(OFFSET($FI$3,0,0,'Données projet'!$E$16+1,1))-AVERAGE(OFFSET($H$3,0,0,'Données projet'!$E$16+1,1))</f>
        <v>360.86062459677004</v>
      </c>
      <c r="FK20" s="59">
        <f t="shared" si="48"/>
        <v>186.0840067781198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2.1</v>
      </c>
      <c r="FZ20" s="12">
        <f>IF('Données projet'!$A$244&gt;35,FZ19+FY20-GH19,IF(A20&lt;'Données projet'!$A$244,$FW$205^A20,IF(A20='Données projet'!$A$244,'Données projet'!$B$244,FZ19+FY20-GH19)))</f>
        <v>23.975181126327602</v>
      </c>
      <c r="GA20" s="17">
        <f>FZ20*VLOOKUP('Données projet'!$B$17,Paramètres!$A$1:$I$89,3,0)*VLOOKUP('Données projet'!$B$17,Paramètres!$A$1:$I$89,5,0)</f>
        <v>24.31083366209619</v>
      </c>
      <c r="GB20" s="13">
        <f t="shared" si="49"/>
        <v>7.7276032052466093</v>
      </c>
      <c r="GC20" s="20">
        <f t="shared" si="25"/>
        <v>55.800277543955367</v>
      </c>
      <c r="GD20" s="59">
        <f t="shared" si="26"/>
        <v>265.16640185982811</v>
      </c>
      <c r="GE20" s="59">
        <f ca="1">AVERAGE(OFFSET($GD$3,0,0,'Données projet'!$E$17+1,1))-AVERAGE(OFFSET($H$3,0,0,'Données projet'!$E$17+1,1))</f>
        <v>448.73339628506784</v>
      </c>
      <c r="GF20" s="59">
        <f t="shared" si="50"/>
        <v>273.35778700650803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26.150316724543362</v>
      </c>
      <c r="P21" s="13">
        <f t="shared" si="33"/>
        <v>8.2420396752158016</v>
      </c>
      <c r="Q21" s="20">
        <f t="shared" si="2"/>
        <v>59.900020729580547</v>
      </c>
      <c r="R21" s="59">
        <f t="shared" si="0"/>
        <v>271.66937392158366</v>
      </c>
      <c r="S21" s="59">
        <f ca="1">AVERAGE(OFFSET($R$3,0,0,'Données projet'!$E$9+1,1))-AVERAGE(OFFSET($H$3,0,0,'Données projet'!$E$9+1,1))</f>
        <v>408.51124670343137</v>
      </c>
      <c r="T21" s="59">
        <f t="shared" si="34"/>
        <v>250.47702091764884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8.6</v>
      </c>
      <c r="AI21" s="13">
        <f>IF('Données projet'!$A$62&gt;35,AI20+AH21-AQ20,IF(A21&lt;'Données projet'!$A$62,$AF$205^A21,IF(A21='Données projet'!$A$62,'Données projet'!$B$62,AI20+AH21-AQ20)))</f>
        <v>62.800000000000004</v>
      </c>
      <c r="AJ21" s="13">
        <f>AI21*VLOOKUP('Données projet'!$B$10,Paramètres!$A$1:$I$89,3,0)*VLOOKUP('Données projet'!$B$10,Paramètres!$A$1:$I$89,5,0)</f>
        <v>49.963680000000011</v>
      </c>
      <c r="AK21" s="13">
        <f t="shared" si="35"/>
        <v>14.604379468418438</v>
      </c>
      <c r="AL21" s="20">
        <f t="shared" si="4"/>
        <v>112.45603690749546</v>
      </c>
      <c r="AM21" s="59">
        <f t="shared" si="5"/>
        <v>324.22539009949855</v>
      </c>
      <c r="AN21" s="59">
        <f ca="1">AVERAGE(OFFSET($AM$3,0,0,'Données projet'!$E$10+1,1))-AVERAGE(OFFSET($H$3,0,0,'Données projet'!$E$10+1,1))</f>
        <v>327.22763817565902</v>
      </c>
      <c r="AO21" s="59">
        <f t="shared" si="36"/>
        <v>311.68541696405975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6.2</v>
      </c>
      <c r="BD21" s="12">
        <f>IF('Données projet'!$A$88&gt;35,BD20+BC21-BL20,IF(A21&lt;'Données projet'!$A$88,$BA$205^A21,IF(A21='Données projet'!$A$88,'Données projet'!$B$88,BD20+BC21-BL20)))</f>
        <v>62.600000000000009</v>
      </c>
      <c r="BE21" s="13">
        <f>BD21*VLOOKUP('Données projet'!$B$11,Paramètres!$A$1:$I$89,3,0)*VLOOKUP('Données projet'!$B$11,Paramètres!$A$1:$I$89,5,0)</f>
        <v>40.038960000000003</v>
      </c>
      <c r="BF21" s="13">
        <f t="shared" si="37"/>
        <v>12.008972673832895</v>
      </c>
      <c r="BG21" s="20">
        <f t="shared" si="7"/>
        <v>90.650149406925621</v>
      </c>
      <c r="BH21" s="59">
        <f t="shared" si="8"/>
        <v>302.41950259892872</v>
      </c>
      <c r="BI21" s="59">
        <f ca="1">AVERAGE(OFFSET($BH$3,0,0,'Données projet'!$E$11+1,1))-AVERAGE(OFFSET($H$3,0,0,'Données projet'!$E$11+1,1))</f>
        <v>169.46470423366029</v>
      </c>
      <c r="BJ21" s="59">
        <f t="shared" si="38"/>
        <v>230.78141128389288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9.6</v>
      </c>
      <c r="BY21" s="12">
        <f>IF('Données projet'!$A$114&gt;35,BY20+BX21-CG20,IF(A21&lt;'Données projet'!$A$114,$BV$205^A21,IF(A21='Données projet'!$A$114,'Données projet'!$B$114,BY20+BX21-CG20)))</f>
        <v>88.799999999999983</v>
      </c>
      <c r="BZ21" s="13">
        <f>BY21*VLOOKUP('Données projet'!$B$12,Paramètres!$A$1:$I$89,3,0)*VLOOKUP('Données projet'!$B$12,Paramètres!$A$1:$I$89,5,0)</f>
        <v>77.575679999999991</v>
      </c>
      <c r="CA21" s="13">
        <f t="shared" si="39"/>
        <v>21.543367858551072</v>
      </c>
      <c r="CB21" s="20">
        <f t="shared" si="10"/>
        <v>172.63234168697639</v>
      </c>
      <c r="CC21" s="59">
        <f t="shared" si="11"/>
        <v>384.40169487897947</v>
      </c>
      <c r="CD21" s="59">
        <f ca="1">AVERAGE(OFFSET($CC$3,0,0,'Données projet'!$E$12+1,1))-AVERAGE(OFFSET($H$3,0,0,'Données projet'!$E$12+1,1))</f>
        <v>342.79161436526499</v>
      </c>
      <c r="CE21" s="59">
        <f t="shared" si="40"/>
        <v>315.50730924873733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1.2</v>
      </c>
      <c r="CT21" s="12">
        <f>IF('Données projet'!$A$140&gt;35,CT20+CS21-DB20,IF(A21&lt;'Données projet'!$A$140,$CQ$205^A21,IF(A21='Données projet'!$A$140,'Données projet'!$B$140,CT20+CS21-DB20)))</f>
        <v>11.575168010312384</v>
      </c>
      <c r="CU21" s="17">
        <f>CT21*VLOOKUP('Données projet'!$B$13,Paramètres!$A$1:$I$89,3,0)*VLOOKUP('Données projet'!$B$13,Paramètres!$A$1:$I$89,5,0)</f>
        <v>7.7646227013175473</v>
      </c>
      <c r="CV21" s="13">
        <f t="shared" si="41"/>
        <v>2.8187879911428144</v>
      </c>
      <c r="CW21" s="20">
        <f t="shared" si="13"/>
        <v>18.432773622701795</v>
      </c>
      <c r="CX21" s="59">
        <f t="shared" si="14"/>
        <v>230.20212681470491</v>
      </c>
      <c r="CY21" s="59">
        <f ca="1">AVERAGE(OFFSET($CX$3,0,0,'Données projet'!$E$13+1,1))-AVERAGE(OFFSET($H$3,0,0,'Données projet'!$E$13+1,1))</f>
        <v>201.84651193684252</v>
      </c>
      <c r="CZ21" s="59">
        <f t="shared" si="42"/>
        <v>138.00705940844708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7.4</v>
      </c>
      <c r="DO21" s="12">
        <f>IF('Données projet'!$A$166&gt;35,DO20+DN21-DW20,IF(A21&lt;'Données projet'!$A$166,$DL$205^A21,IF(A21='Données projet'!$A$166,'Données projet'!$B$166,DO20+DN21-DW20)))</f>
        <v>87.200000000000017</v>
      </c>
      <c r="DP21" s="17">
        <f>DO21*VLOOKUP('Données projet'!$B$14,Paramètres!$A$1:$I$89,3,0)*VLOOKUP('Données projet'!$B$14,Paramètres!$A$1:$I$89,5,0)</f>
        <v>63.935040000000015</v>
      </c>
      <c r="DQ21" s="13">
        <f t="shared" si="43"/>
        <v>18.159462650314659</v>
      </c>
      <c r="DR21" s="20">
        <f t="shared" si="16"/>
        <v>142.98125878263136</v>
      </c>
      <c r="DS21" s="59">
        <f t="shared" si="17"/>
        <v>354.75061197463447</v>
      </c>
      <c r="DT21" s="59">
        <f ca="1">AVERAGE(OFFSET($DS$3,0,0,'Données projet'!$E$14+1,1))-AVERAGE(OFFSET($H$3,0,0,'Données projet'!$E$14+1,1))</f>
        <v>242.21240859696931</v>
      </c>
      <c r="DU21" s="59">
        <f t="shared" si="44"/>
        <v>340.92165104349192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1.2</v>
      </c>
      <c r="EJ21" s="12">
        <f>IF('Données projet'!$A$192&gt;35,EJ20+EI21-ER20,IF(A21&lt;'Données projet'!$A$192,$EG$205^A21,IF(A21='Données projet'!$A$192,'Données projet'!$B$192,EJ20+EI21-ER20)))</f>
        <v>11.575168010312384</v>
      </c>
      <c r="EK21" s="17">
        <f>EJ21*VLOOKUP('Données projet'!$B$15,Paramètres!$A$1:$I$89,3,0)*VLOOKUP('Données projet'!$B$15,Paramètres!$A$1:$I$89,5,0)</f>
        <v>11.195502499574138</v>
      </c>
      <c r="EL21" s="13">
        <f t="shared" si="45"/>
        <v>3.8948163288481799</v>
      </c>
      <c r="EM21" s="20">
        <f t="shared" si="19"/>
        <v>26.282305292835535</v>
      </c>
      <c r="EN21" s="59">
        <f t="shared" si="20"/>
        <v>238.05165848483864</v>
      </c>
      <c r="EO21" s="59">
        <f ca="1">AVERAGE(OFFSET($EN$3,0,0,'Données projet'!$E$15+1,1))-AVERAGE(OFFSET($H$3,0,0,'Données projet'!$E$15+1,1))</f>
        <v>331.7059599630698</v>
      </c>
      <c r="EP21" s="59">
        <f t="shared" si="46"/>
        <v>173.19148969173838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1.2</v>
      </c>
      <c r="FE21" s="12">
        <f>IF('Données projet'!$A$218&gt;35,FE20+FD21-FM20,IF(A21&lt;'Données projet'!$A$218,$FB$205^A21,IF(A21='Données projet'!$A$218,'Données projet'!$B$218,FE20+FD21-FM20)))</f>
        <v>11.575168010312384</v>
      </c>
      <c r="FF21" s="17">
        <f>FE21*VLOOKUP('Données projet'!$B$16,Paramètres!$A$1:$I$89,3,0)*VLOOKUP('Données projet'!$B$16,Paramètres!$A$1:$I$89,5,0)</f>
        <v>12.459510846300249</v>
      </c>
      <c r="FG21" s="13">
        <f t="shared" si="47"/>
        <v>4.2809163511957635</v>
      </c>
      <c r="FH21" s="20">
        <f t="shared" si="22"/>
        <v>29.156244035638881</v>
      </c>
      <c r="FI21" s="59">
        <f t="shared" si="23"/>
        <v>240.92559722764199</v>
      </c>
      <c r="FJ21" s="59">
        <f ca="1">AVERAGE(OFFSET($FI$3,0,0,'Données projet'!$E$16+1,1))-AVERAGE(OFFSET($H$3,0,0,'Données projet'!$E$16+1,1))</f>
        <v>360.86062459677004</v>
      </c>
      <c r="FK21" s="59">
        <f t="shared" si="48"/>
        <v>186.0840067781198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2.1</v>
      </c>
      <c r="FZ21" s="12">
        <f>IF('Données projet'!$A$244&gt;35,FZ20+FY21-GH20,IF(A21&lt;'Données projet'!$A$244,$FW$205^A21,IF(A21='Données projet'!$A$244,'Données projet'!$B$244,FZ20+FY21-GH20)))</f>
        <v>28.901764726506816</v>
      </c>
      <c r="GA21" s="17">
        <f>FZ21*VLOOKUP('Données projet'!$B$17,Paramètres!$A$1:$I$89,3,0)*VLOOKUP('Données projet'!$B$17,Paramètres!$A$1:$I$89,5,0)</f>
        <v>29.306389432677911</v>
      </c>
      <c r="GB21" s="13">
        <f t="shared" si="49"/>
        <v>9.1150691477493808</v>
      </c>
      <c r="GC21" s="20">
        <f t="shared" si="25"/>
        <v>66.917373694244205</v>
      </c>
      <c r="GD21" s="59">
        <f t="shared" si="26"/>
        <v>278.6867268862473</v>
      </c>
      <c r="GE21" s="59">
        <f ca="1">AVERAGE(OFFSET($GD$3,0,0,'Données projet'!$E$17+1,1))-AVERAGE(OFFSET($H$3,0,0,'Données projet'!$E$17+1,1))</f>
        <v>448.73339628506784</v>
      </c>
      <c r="GF21" s="59">
        <f t="shared" si="50"/>
        <v>273.35778700650803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31.52386201022027</v>
      </c>
      <c r="P22" s="13">
        <f t="shared" si="33"/>
        <v>9.7218710074397983</v>
      </c>
      <c r="Q22" s="20">
        <f t="shared" si="2"/>
        <v>71.836318339091292</v>
      </c>
      <c r="R22" s="59">
        <f t="shared" si="0"/>
        <v>285.98841258211485</v>
      </c>
      <c r="S22" s="59">
        <f ca="1">AVERAGE(OFFSET($R$3,0,0,'Données projet'!$E$9+1,1))-AVERAGE(OFFSET($H$3,0,0,'Données projet'!$E$9+1,1))</f>
        <v>408.51124670343137</v>
      </c>
      <c r="T22" s="59">
        <f t="shared" si="34"/>
        <v>250.47702091764884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8.6</v>
      </c>
      <c r="AI22" s="13">
        <f>IF('Données projet'!$A$62&gt;35,AI21+AH22-AQ21,IF(A22&lt;'Données projet'!$A$62,$AF$205^A22,IF(A22='Données projet'!$A$62,'Données projet'!$B$62,AI21+AH22-AQ21)))</f>
        <v>71.400000000000006</v>
      </c>
      <c r="AJ22" s="13">
        <f>AI22*VLOOKUP('Données projet'!$B$10,Paramètres!$A$1:$I$89,3,0)*VLOOKUP('Données projet'!$B$10,Paramètres!$A$1:$I$89,5,0)</f>
        <v>56.805840000000003</v>
      </c>
      <c r="AK22" s="13">
        <f t="shared" si="35"/>
        <v>16.358131967776131</v>
      </c>
      <c r="AL22" s="20">
        <f t="shared" si="4"/>
        <v>127.42725117721011</v>
      </c>
      <c r="AM22" s="59">
        <f t="shared" si="5"/>
        <v>341.57934542023361</v>
      </c>
      <c r="AN22" s="59">
        <f ca="1">AVERAGE(OFFSET($AM$3,0,0,'Données projet'!$E$10+1,1))-AVERAGE(OFFSET($H$3,0,0,'Données projet'!$E$10+1,1))</f>
        <v>327.22763817565902</v>
      </c>
      <c r="AO22" s="59">
        <f t="shared" si="36"/>
        <v>311.68541696405975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6.2</v>
      </c>
      <c r="BD22" s="12">
        <f>IF('Données projet'!$A$88&gt;35,BD21+BC22-BL21,IF(A22&lt;'Données projet'!$A$88,$BA$205^A22,IF(A22='Données projet'!$A$88,'Données projet'!$B$88,BD21+BC22-BL21)))</f>
        <v>68.800000000000011</v>
      </c>
      <c r="BE22" s="13">
        <f>BD22*VLOOKUP('Données projet'!$B$11,Paramètres!$A$1:$I$89,3,0)*VLOOKUP('Données projet'!$B$11,Paramètres!$A$1:$I$89,5,0)</f>
        <v>44.004480000000008</v>
      </c>
      <c r="BF22" s="13">
        <f t="shared" si="37"/>
        <v>13.054069477264569</v>
      </c>
      <c r="BG22" s="20">
        <f t="shared" si="7"/>
        <v>99.376973672902466</v>
      </c>
      <c r="BH22" s="59">
        <f t="shared" si="8"/>
        <v>313.52906791592602</v>
      </c>
      <c r="BI22" s="59">
        <f ca="1">AVERAGE(OFFSET($BH$3,0,0,'Données projet'!$E$11+1,1))-AVERAGE(OFFSET($H$3,0,0,'Données projet'!$E$11+1,1))</f>
        <v>169.46470423366029</v>
      </c>
      <c r="BJ22" s="59">
        <f t="shared" si="38"/>
        <v>230.78141128389288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9.6</v>
      </c>
      <c r="BY22" s="12">
        <f>IF('Données projet'!$A$114&gt;35,BY21+BX22-CG21,IF(A22&lt;'Données projet'!$A$114,$BV$205^A22,IF(A22='Données projet'!$A$114,'Données projet'!$B$114,BY21+BX22-CG21)))</f>
        <v>98.399999999999977</v>
      </c>
      <c r="BZ22" s="13">
        <f>BY22*VLOOKUP('Données projet'!$B$12,Paramètres!$A$1:$I$89,3,0)*VLOOKUP('Données projet'!$B$12,Paramètres!$A$1:$I$89,5,0)</f>
        <v>85.962239999999994</v>
      </c>
      <c r="CA22" s="13">
        <f t="shared" si="39"/>
        <v>23.588828321049387</v>
      </c>
      <c r="CB22" s="20">
        <f t="shared" si="10"/>
        <v>190.80144399249434</v>
      </c>
      <c r="CC22" s="59">
        <f t="shared" si="11"/>
        <v>404.95353823551784</v>
      </c>
      <c r="CD22" s="59">
        <f ca="1">AVERAGE(OFFSET($CC$3,0,0,'Données projet'!$E$12+1,1))-AVERAGE(OFFSET($H$3,0,0,'Données projet'!$E$12+1,1))</f>
        <v>342.79161436526499</v>
      </c>
      <c r="CE22" s="59">
        <f t="shared" si="40"/>
        <v>315.50730924873733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1.2</v>
      </c>
      <c r="CT22" s="12">
        <f>IF('Données projet'!$A$140&gt;35,CT21+CS22-DB21,IF(A22&lt;'Données projet'!$A$140,$CQ$205^A22,IF(A22='Données projet'!$A$140,'Données projet'!$B$140,CT21+CS22-DB21)))</f>
        <v>13.262095581124292</v>
      </c>
      <c r="CU22" s="17">
        <f>CT22*VLOOKUP('Données projet'!$B$13,Paramètres!$A$1:$I$89,3,0)*VLOOKUP('Données projet'!$B$13,Paramètres!$A$1:$I$89,5,0)</f>
        <v>8.8962137158181758</v>
      </c>
      <c r="CV22" s="13">
        <f t="shared" si="41"/>
        <v>3.1788481762309284</v>
      </c>
      <c r="CW22" s="20">
        <f t="shared" si="13"/>
        <v>21.030732795318858</v>
      </c>
      <c r="CX22" s="59">
        <f t="shared" si="14"/>
        <v>235.1828270383424</v>
      </c>
      <c r="CY22" s="59">
        <f ca="1">AVERAGE(OFFSET($CX$3,0,0,'Données projet'!$E$13+1,1))-AVERAGE(OFFSET($H$3,0,0,'Données projet'!$E$13+1,1))</f>
        <v>201.84651193684252</v>
      </c>
      <c r="CZ22" s="59">
        <f t="shared" si="42"/>
        <v>138.00705940844708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7.4</v>
      </c>
      <c r="DO22" s="12">
        <f>IF('Données projet'!$A$166&gt;35,DO21+DN22-DW21,IF(A22&lt;'Données projet'!$A$166,$DL$205^A22,IF(A22='Données projet'!$A$166,'Données projet'!$B$166,DO21+DN22-DW21)))</f>
        <v>94.600000000000023</v>
      </c>
      <c r="DP22" s="17">
        <f>DO22*VLOOKUP('Données projet'!$B$14,Paramètres!$A$1:$I$89,3,0)*VLOOKUP('Données projet'!$B$14,Paramètres!$A$1:$I$89,5,0)</f>
        <v>69.360720000000015</v>
      </c>
      <c r="DQ22" s="13">
        <f t="shared" si="43"/>
        <v>19.514617146984691</v>
      </c>
      <c r="DR22" s="20">
        <f t="shared" si="16"/>
        <v>154.791212197665</v>
      </c>
      <c r="DS22" s="59">
        <f t="shared" si="17"/>
        <v>368.9433064406885</v>
      </c>
      <c r="DT22" s="59">
        <f ca="1">AVERAGE(OFFSET($DS$3,0,0,'Données projet'!$E$14+1,1))-AVERAGE(OFFSET($H$3,0,0,'Données projet'!$E$14+1,1))</f>
        <v>242.21240859696931</v>
      </c>
      <c r="DU22" s="59">
        <f t="shared" si="44"/>
        <v>340.92165104349192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1.2</v>
      </c>
      <c r="EJ22" s="12">
        <f>IF('Données projet'!$A$192&gt;35,EJ21+EI22-ER21,IF(A22&lt;'Données projet'!$A$192,$EG$205^A22,IF(A22='Données projet'!$A$192,'Données projet'!$B$192,EJ21+EI22-ER21)))</f>
        <v>13.262095581124292</v>
      </c>
      <c r="EK22" s="17">
        <f>EJ22*VLOOKUP('Données projet'!$B$15,Paramètres!$A$1:$I$89,3,0)*VLOOKUP('Données projet'!$B$15,Paramètres!$A$1:$I$89,5,0)</f>
        <v>12.827098846063416</v>
      </c>
      <c r="EL22" s="13">
        <f t="shared" si="45"/>
        <v>4.3923238720390128</v>
      </c>
      <c r="EM22" s="20">
        <f t="shared" si="19"/>
        <v>29.990494567361733</v>
      </c>
      <c r="EN22" s="59">
        <f t="shared" si="20"/>
        <v>244.14258881038526</v>
      </c>
      <c r="EO22" s="59">
        <f ca="1">AVERAGE(OFFSET($EN$3,0,0,'Données projet'!$E$15+1,1))-AVERAGE(OFFSET($H$3,0,0,'Données projet'!$E$15+1,1))</f>
        <v>331.7059599630698</v>
      </c>
      <c r="EP22" s="59">
        <f t="shared" si="46"/>
        <v>173.19148969173838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1.2</v>
      </c>
      <c r="FE22" s="12">
        <f>IF('Données projet'!$A$218&gt;35,FE21+FD22-FM21,IF(A22&lt;'Données projet'!$A$218,$FB$205^A22,IF(A22='Données projet'!$A$218,'Données projet'!$B$218,FE21+FD22-FM21)))</f>
        <v>13.262095581124292</v>
      </c>
      <c r="FF22" s="17">
        <f>FE22*VLOOKUP('Données projet'!$B$16,Paramètres!$A$1:$I$89,3,0)*VLOOKUP('Données projet'!$B$16,Paramètres!$A$1:$I$89,5,0)</f>
        <v>14.275319683522188</v>
      </c>
      <c r="FG22" s="13">
        <f t="shared" si="47"/>
        <v>4.8277426959232219</v>
      </c>
      <c r="FH22" s="20">
        <f t="shared" si="22"/>
        <v>33.271166977534087</v>
      </c>
      <c r="FI22" s="59">
        <f t="shared" si="23"/>
        <v>247.42326122055761</v>
      </c>
      <c r="FJ22" s="59">
        <f ca="1">AVERAGE(OFFSET($FI$3,0,0,'Données projet'!$E$16+1,1))-AVERAGE(OFFSET($H$3,0,0,'Données projet'!$E$16+1,1))</f>
        <v>360.86062459677004</v>
      </c>
      <c r="FK22" s="59">
        <f t="shared" si="48"/>
        <v>186.0840067781198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2.1</v>
      </c>
      <c r="FZ22" s="12">
        <f>IF('Données projet'!$A$244&gt;35,FZ21+FY22-GH21,IF(A22&lt;'Données projet'!$A$244,$FW$205^A22,IF(A22='Données projet'!$A$244,'Données projet'!$B$244,FZ21+FY22-GH21)))</f>
        <v>34.840696297767764</v>
      </c>
      <c r="GA22" s="17">
        <f>FZ22*VLOOKUP('Données projet'!$B$17,Paramètres!$A$1:$I$89,3,0)*VLOOKUP('Données projet'!$B$17,Paramètres!$A$1:$I$89,5,0)</f>
        <v>35.328466045936516</v>
      </c>
      <c r="GB22" s="13">
        <f t="shared" si="49"/>
        <v>10.751650073316766</v>
      </c>
      <c r="GC22" s="20">
        <f t="shared" si="25"/>
        <v>80.256202241032796</v>
      </c>
      <c r="GD22" s="59">
        <f t="shared" si="26"/>
        <v>294.40829648405634</v>
      </c>
      <c r="GE22" s="59">
        <f ca="1">AVERAGE(OFFSET($GD$3,0,0,'Données projet'!$E$17+1,1))-AVERAGE(OFFSET($H$3,0,0,'Données projet'!$E$17+1,1))</f>
        <v>448.73339628506784</v>
      </c>
      <c r="GF22" s="59">
        <f t="shared" si="50"/>
        <v>273.35778700650803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38.001600000000003</v>
      </c>
      <c r="P23" s="13">
        <f t="shared" si="33"/>
        <v>11.467401227090512</v>
      </c>
      <c r="Q23" s="20">
        <f t="shared" si="2"/>
        <v>86.158510470515978</v>
      </c>
      <c r="R23" s="59">
        <f t="shared" si="0"/>
        <v>302.67321335741167</v>
      </c>
      <c r="S23" s="59">
        <f ca="1">AVERAGE(OFFSET($R$3,0,0,'Données projet'!$E$9+1,1))-AVERAGE(OFFSET($H$3,0,0,'Données projet'!$E$9+1,1))</f>
        <v>408.51124670343137</v>
      </c>
      <c r="T23" s="59">
        <f t="shared" si="34"/>
        <v>250.47702091764884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80</v>
      </c>
      <c r="AG23" s="12">
        <f>VLOOKUP(A23,'Données projet'!$A$61:$I$81,9,0)</f>
        <v>8.6</v>
      </c>
      <c r="AH23" s="12">
        <f t="array" ref="AH23">INDEX(AG:AG,MIN(IF(ISNUMBER(AG23:AG219),ROW(AG23:AG219),"")))</f>
        <v>8.6</v>
      </c>
      <c r="AI23" s="13">
        <f>IF('Données projet'!$A$62&gt;35,AI22+AH23-AQ22,IF(A23&lt;'Données projet'!$A$62,$AF$205^A23,IF(A23='Données projet'!$A$62,'Données projet'!$B$62,AI22+AH23-AQ22)))</f>
        <v>80</v>
      </c>
      <c r="AJ23" s="13">
        <f>AI23*VLOOKUP('Données projet'!$B$10,Paramètres!$A$1:$I$89,3,0)*VLOOKUP('Données projet'!$B$10,Paramètres!$A$1:$I$89,5,0)</f>
        <v>63.647999999999996</v>
      </c>
      <c r="AK23" s="13">
        <f t="shared" si="35"/>
        <v>18.087405707268363</v>
      </c>
      <c r="AL23" s="20">
        <f t="shared" si="4"/>
        <v>142.35583160682572</v>
      </c>
      <c r="AM23" s="59">
        <f t="shared" si="5"/>
        <v>358.87053449372144</v>
      </c>
      <c r="AN23" s="59">
        <f ca="1">AVERAGE(OFFSET($AM$3,0,0,'Données projet'!$E$10+1,1))-AVERAGE(OFFSET($H$3,0,0,'Données projet'!$E$10+1,1))</f>
        <v>327.22763817565902</v>
      </c>
      <c r="AO23" s="59">
        <f t="shared" si="36"/>
        <v>311.68541696405975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75</v>
      </c>
      <c r="BB23" s="12">
        <f>VLOOKUP(A23,'Données projet'!$A$87:$I$107,9,0)</f>
        <v>6.2</v>
      </c>
      <c r="BC23" s="12">
        <f t="array" ref="BC23">INDEX(BB:BB,MIN(IF(ISNUMBER(BB23:BB219),ROW(BB23:BB219),"")))</f>
        <v>6.2</v>
      </c>
      <c r="BD23" s="12">
        <f>IF('Données projet'!$A$88&gt;35,BD22+BC23-BL22,IF(A23&lt;'Données projet'!$A$88,$BA$205^A23,IF(A23='Données projet'!$A$88,'Données projet'!$B$88,BD22+BC23-BL22)))</f>
        <v>75.000000000000014</v>
      </c>
      <c r="BE23" s="13">
        <f>BD23*VLOOKUP('Données projet'!$B$11,Paramètres!$A$1:$I$89,3,0)*VLOOKUP('Données projet'!$B$11,Paramètres!$A$1:$I$89,5,0)</f>
        <v>47.970000000000006</v>
      </c>
      <c r="BF23" s="13">
        <f t="shared" si="37"/>
        <v>14.088245406563486</v>
      </c>
      <c r="BG23" s="20">
        <f t="shared" si="7"/>
        <v>108.08477741643141</v>
      </c>
      <c r="BH23" s="59">
        <f t="shared" si="8"/>
        <v>324.59948030332714</v>
      </c>
      <c r="BI23" s="59">
        <f ca="1">AVERAGE(OFFSET($BH$3,0,0,'Données projet'!$E$11+1,1))-AVERAGE(OFFSET($H$3,0,0,'Données projet'!$E$11+1,1))</f>
        <v>169.46470423366029</v>
      </c>
      <c r="BJ23" s="59">
        <f t="shared" si="38"/>
        <v>230.78141128389288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10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108</v>
      </c>
      <c r="BW23" s="12">
        <f>VLOOKUP(A23,'Données projet'!$A$113:$I$133,9,0)</f>
        <v>9.6</v>
      </c>
      <c r="BX23" s="12">
        <f t="array" ref="BX23">INDEX(BW:BW,MIN(IF(ISNUMBER(BW23:BW219),ROW(BW23:BW219),"")))</f>
        <v>9.6</v>
      </c>
      <c r="BY23" s="12">
        <f>IF('Données projet'!$A$114&gt;35,BY22+BX23-CG22,IF(A23&lt;'Données projet'!$A$114,$BV$205^A23,IF(A23='Données projet'!$A$114,'Données projet'!$B$114,BY22+BX23-CG22)))</f>
        <v>107.99999999999997</v>
      </c>
      <c r="BZ23" s="13">
        <f>BY23*VLOOKUP('Données projet'!$B$12,Paramètres!$A$1:$I$89,3,0)*VLOOKUP('Données projet'!$B$12,Paramètres!$A$1:$I$89,5,0)</f>
        <v>94.348799999999983</v>
      </c>
      <c r="CA23" s="13">
        <f t="shared" si="39"/>
        <v>25.611153022386461</v>
      </c>
      <c r="CB23" s="20">
        <f t="shared" si="10"/>
        <v>208.9302515139897</v>
      </c>
      <c r="CC23" s="59">
        <f t="shared" si="11"/>
        <v>425.44495440088542</v>
      </c>
      <c r="CD23" s="59">
        <f ca="1">AVERAGE(OFFSET($CC$3,0,0,'Données projet'!$E$12+1,1))-AVERAGE(OFFSET($H$3,0,0,'Données projet'!$E$12+1,1))</f>
        <v>342.79161436526499</v>
      </c>
      <c r="CE23" s="59">
        <f t="shared" si="40"/>
        <v>315.50730924873733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1.2</v>
      </c>
      <c r="CT23" s="12">
        <f>IF('Données projet'!$A$140&gt;35,CT22+CS23-DB22,IF(A23&lt;'Données projet'!$A$140,$CQ$205^A23,IF(A23='Données projet'!$A$140,'Données projet'!$B$140,CT22+CS23-DB22)))</f>
        <v>15.194870523363559</v>
      </c>
      <c r="CU23" s="17">
        <f>CT23*VLOOKUP('Données projet'!$B$13,Paramètres!$A$1:$I$89,3,0)*VLOOKUP('Données projet'!$B$13,Paramètres!$A$1:$I$89,5,0)</f>
        <v>10.192719147072275</v>
      </c>
      <c r="CV23" s="13">
        <f t="shared" si="41"/>
        <v>3.5849009429864291</v>
      </c>
      <c r="CW23" s="20">
        <f t="shared" si="13"/>
        <v>23.996021656852246</v>
      </c>
      <c r="CX23" s="59">
        <f t="shared" si="14"/>
        <v>240.51072454374795</v>
      </c>
      <c r="CY23" s="59">
        <f ca="1">AVERAGE(OFFSET($CX$3,0,0,'Données projet'!$E$13+1,1))-AVERAGE(OFFSET($H$3,0,0,'Données projet'!$E$13+1,1))</f>
        <v>201.84651193684252</v>
      </c>
      <c r="CZ23" s="59">
        <f t="shared" si="42"/>
        <v>138.00705940844708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102</v>
      </c>
      <c r="DM23" s="12">
        <f>VLOOKUP(A23,'Données projet'!$A$165:$I$185,9,0)</f>
        <v>7.4</v>
      </c>
      <c r="DN23" s="12">
        <f t="array" ref="DN23">INDEX(DM:DM,MIN(IF(ISNUMBER(DM23:DM219),ROW(DM23:DM219),"")))</f>
        <v>7.4</v>
      </c>
      <c r="DO23" s="12">
        <f>IF('Données projet'!$A$166&gt;35,DO22+DN23-DW22,IF(A23&lt;'Données projet'!$A$166,$DL$205^A23,IF(A23='Données projet'!$A$166,'Données projet'!$B$166,DO22+DN23-DW22)))</f>
        <v>102.00000000000003</v>
      </c>
      <c r="DP23" s="17">
        <f>DO23*VLOOKUP('Données projet'!$B$14,Paramètres!$A$1:$I$89,3,0)*VLOOKUP('Données projet'!$B$14,Paramètres!$A$1:$I$89,5,0)</f>
        <v>74.786400000000015</v>
      </c>
      <c r="DQ23" s="13">
        <f t="shared" si="43"/>
        <v>20.857475351088969</v>
      </c>
      <c r="DR23" s="20">
        <f t="shared" si="16"/>
        <v>166.57974956981332</v>
      </c>
      <c r="DS23" s="59">
        <f t="shared" si="17"/>
        <v>383.09445245670906</v>
      </c>
      <c r="DT23" s="59">
        <f ca="1">AVERAGE(OFFSET($DS$3,0,0,'Données projet'!$E$14+1,1))-AVERAGE(OFFSET($H$3,0,0,'Données projet'!$E$14+1,1))</f>
        <v>242.21240859696931</v>
      </c>
      <c r="DU23" s="59">
        <f t="shared" si="44"/>
        <v>340.92165104349192</v>
      </c>
      <c r="DV23" s="15">
        <f>IF(ISNA(VLOOKUP(A23,'Données projet'!$A$165:$I$185,3,0)),0,VLOOKUP(A23,'Données projet'!$A$165:$I$185,3,0))</f>
        <v>3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8.6000000000000007E-2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1.2</v>
      </c>
      <c r="EJ23" s="12">
        <f>IF('Données projet'!$A$192&gt;35,EJ22+EI23-ER22,IF(A23&lt;'Données projet'!$A$192,$EG$205^A23,IF(A23='Données projet'!$A$192,'Données projet'!$B$192,EJ22+EI23-ER22)))</f>
        <v>15.194870523363559</v>
      </c>
      <c r="EK23" s="17">
        <f>EJ23*VLOOKUP('Données projet'!$B$15,Paramètres!$A$1:$I$89,3,0)*VLOOKUP('Données projet'!$B$15,Paramètres!$A$1:$I$89,5,0)</f>
        <v>14.696478770197235</v>
      </c>
      <c r="EL23" s="13">
        <f t="shared" si="45"/>
        <v>4.9533809473858224</v>
      </c>
      <c r="EM23" s="20">
        <f t="shared" si="19"/>
        <v>34.223505674790481</v>
      </c>
      <c r="EN23" s="59">
        <f t="shared" si="20"/>
        <v>250.73820856168621</v>
      </c>
      <c r="EO23" s="59">
        <f ca="1">AVERAGE(OFFSET($EN$3,0,0,'Données projet'!$E$15+1,1))-AVERAGE(OFFSET($H$3,0,0,'Données projet'!$E$15+1,1))</f>
        <v>331.7059599630698</v>
      </c>
      <c r="EP23" s="59">
        <f t="shared" si="46"/>
        <v>173.19148969173838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1.2</v>
      </c>
      <c r="FE23" s="12">
        <f>IF('Données projet'!$A$218&gt;35,FE22+FD23-FM22,IF(A23&lt;'Données projet'!$A$218,$FB$205^A23,IF(A23='Données projet'!$A$218,'Données projet'!$B$218,FE22+FD23-FM22)))</f>
        <v>15.194870523363559</v>
      </c>
      <c r="FF23" s="17">
        <f>FE23*VLOOKUP('Données projet'!$B$16,Paramètres!$A$1:$I$89,3,0)*VLOOKUP('Données projet'!$B$16,Paramètres!$A$1:$I$89,5,0)</f>
        <v>16.355758631348532</v>
      </c>
      <c r="FG23" s="13">
        <f t="shared" si="47"/>
        <v>5.4444183501809773</v>
      </c>
      <c r="FH23" s="20">
        <f t="shared" si="22"/>
        <v>37.968641576163897</v>
      </c>
      <c r="FI23" s="59">
        <f t="shared" si="23"/>
        <v>254.48334446305961</v>
      </c>
      <c r="FJ23" s="59">
        <f ca="1">AVERAGE(OFFSET($FI$3,0,0,'Données projet'!$E$16+1,1))-AVERAGE(OFFSET($H$3,0,0,'Données projet'!$E$16+1,1))</f>
        <v>360.86062459677004</v>
      </c>
      <c r="FK23" s="59">
        <f t="shared" si="48"/>
        <v>186.0840067781198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42</v>
      </c>
      <c r="FX23" s="12">
        <f>VLOOKUP(A23,'Données projet'!$A$243:$I$263,9,0)</f>
        <v>2.1</v>
      </c>
      <c r="FY23" s="12">
        <f t="array" ref="FY23">INDEX(FX:FX,MIN(IF(ISNUMBER(FX23:FX219),ROW(FX23:FX219),"")))</f>
        <v>2.1</v>
      </c>
      <c r="FZ23" s="12">
        <f>IF('Données projet'!$A$244&gt;35,FZ22+FY23-GH22,IF(A23&lt;'Données projet'!$A$244,$FW$205^A23,IF(A23='Données projet'!$A$244,'Données projet'!$B$244,FZ22+FY23-GH22)))</f>
        <v>42</v>
      </c>
      <c r="GA23" s="17">
        <f>FZ23*VLOOKUP('Données projet'!$B$17,Paramètres!$A$1:$I$89,3,0)*VLOOKUP('Données projet'!$B$17,Paramètres!$A$1:$I$89,5,0)</f>
        <v>42.588000000000001</v>
      </c>
      <c r="GB23" s="13">
        <f t="shared" si="49"/>
        <v>12.682073764365764</v>
      </c>
      <c r="GC23" s="20">
        <f t="shared" si="25"/>
        <v>96.262045139603686</v>
      </c>
      <c r="GD23" s="59">
        <f t="shared" si="26"/>
        <v>312.77674802649938</v>
      </c>
      <c r="GE23" s="59">
        <f ca="1">AVERAGE(OFFSET($GD$3,0,0,'Données projet'!$E$17+1,1))-AVERAGE(OFFSET($H$3,0,0,'Données projet'!$E$17+1,1))</f>
        <v>448.73339628506784</v>
      </c>
      <c r="GF23" s="59">
        <f t="shared" si="50"/>
        <v>273.35778700650803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5.6</v>
      </c>
      <c r="N24" s="13">
        <f>IF('Données projet'!$A$36&gt;35,N23+M24-V23,IF(A24&lt;'Données projet'!$A$36,$K$205^A24,IF(A24='Données projet'!$A$36,'Données projet'!$B$36,N23+M24-V23)))</f>
        <v>47.6</v>
      </c>
      <c r="O24" s="13">
        <f>N24*VLOOKUP('Données projet'!$B$9,Paramètres!$A$1:$I$89,3,0)*VLOOKUP('Données projet'!$B$9,Paramètres!$A$1:$I$89,5,0)</f>
        <v>43.068480000000001</v>
      </c>
      <c r="P24" s="13">
        <f t="shared" si="33"/>
        <v>12.808416415102187</v>
      </c>
      <c r="Q24" s="20">
        <f t="shared" si="2"/>
        <v>97.318927922969635</v>
      </c>
      <c r="R24" s="59">
        <f t="shared" si="0"/>
        <v>316.17645629884402</v>
      </c>
      <c r="S24" s="59">
        <f ca="1">AVERAGE(OFFSET($R$3,0,0,'Données projet'!$E$9+1,1))-AVERAGE(OFFSET($H$3,0,0,'Données projet'!$E$9+1,1))</f>
        <v>408.51124670343137</v>
      </c>
      <c r="T24" s="59">
        <f t="shared" si="34"/>
        <v>250.47702091764884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</v>
      </c>
      <c r="AI24" s="13">
        <f>IF('Données projet'!$A$62&gt;35,AI23+AH24-AQ23,IF(A24&lt;'Données projet'!$A$62,$AF$205^A24,IF(A24='Données projet'!$A$62,'Données projet'!$B$62,AI23+AH24-AQ23)))</f>
        <v>87</v>
      </c>
      <c r="AJ24" s="13">
        <f>AI24*VLOOKUP('Données projet'!$B$10,Paramètres!$A$1:$I$89,3,0)*VLOOKUP('Données projet'!$B$10,Paramètres!$A$1:$I$89,5,0)</f>
        <v>69.217200000000005</v>
      </c>
      <c r="AK24" s="13">
        <f t="shared" si="35"/>
        <v>19.478933690703869</v>
      </c>
      <c r="AL24" s="20">
        <f t="shared" si="4"/>
        <v>154.47909951130922</v>
      </c>
      <c r="AM24" s="59">
        <f t="shared" si="5"/>
        <v>373.33662788718357</v>
      </c>
      <c r="AN24" s="59">
        <f ca="1">AVERAGE(OFFSET($AM$3,0,0,'Données projet'!$E$10+1,1))-AVERAGE(OFFSET($H$3,0,0,'Données projet'!$E$10+1,1))</f>
        <v>327.22763817565902</v>
      </c>
      <c r="AO24" s="59">
        <f t="shared" si="36"/>
        <v>311.68541696405975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6.8</v>
      </c>
      <c r="BD24" s="12">
        <f>IF('Données projet'!$A$88&gt;35,BD23+BC24-BL23,IF(A24&lt;'Données projet'!$A$88,$BA$205^A24,IF(A24='Données projet'!$A$88,'Données projet'!$B$88,BD23+BC24-BL23)))</f>
        <v>71.800000000000011</v>
      </c>
      <c r="BE24" s="13">
        <f>BD24*VLOOKUP('Données projet'!$B$11,Paramètres!$A$1:$I$89,3,0)*VLOOKUP('Données projet'!$B$11,Paramètres!$A$1:$I$89,5,0)</f>
        <v>45.923280000000005</v>
      </c>
      <c r="BF24" s="13">
        <f t="shared" si="37"/>
        <v>13.555774467506668</v>
      </c>
      <c r="BG24" s="20">
        <f t="shared" si="7"/>
        <v>103.59268653090744</v>
      </c>
      <c r="BH24" s="59">
        <f t="shared" si="8"/>
        <v>322.45021490678181</v>
      </c>
      <c r="BI24" s="59">
        <f ca="1">AVERAGE(OFFSET($BH$3,0,0,'Données projet'!$E$11+1,1))-AVERAGE(OFFSET($H$3,0,0,'Données projet'!$E$11+1,1))</f>
        <v>169.46470423366029</v>
      </c>
      <c r="BJ24" s="59">
        <f t="shared" si="38"/>
        <v>230.78141128389288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</v>
      </c>
      <c r="BY24" s="12">
        <f>IF('Données projet'!$A$114&gt;35,BY23+BX24-CG23,IF(A24&lt;'Données projet'!$A$114,$BV$205^A24,IF(A24='Données projet'!$A$114,'Données projet'!$B$114,BY23+BX24-CG23)))</f>
        <v>108.99999999999997</v>
      </c>
      <c r="BZ24" s="13">
        <f>BY24*VLOOKUP('Données projet'!$B$12,Paramètres!$A$1:$I$89,3,0)*VLOOKUP('Données projet'!$B$12,Paramètres!$A$1:$I$89,5,0)</f>
        <v>95.222399999999993</v>
      </c>
      <c r="CA24" s="13">
        <f t="shared" si="39"/>
        <v>25.82057766648499</v>
      </c>
      <c r="CB24" s="20">
        <f t="shared" si="10"/>
        <v>210.81651943579467</v>
      </c>
      <c r="CC24" s="59">
        <f t="shared" si="11"/>
        <v>429.67404781166908</v>
      </c>
      <c r="CD24" s="59">
        <f ca="1">AVERAGE(OFFSET($CC$3,0,0,'Données projet'!$E$12+1,1))-AVERAGE(OFFSET($H$3,0,0,'Données projet'!$E$12+1,1))</f>
        <v>342.79161436526499</v>
      </c>
      <c r="CE24" s="59">
        <f t="shared" si="40"/>
        <v>315.50730924873733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1.2</v>
      </c>
      <c r="CT24" s="12">
        <f>IF('Données projet'!$A$140&gt;35,CT23+CS24-DB23,IF(A24&lt;'Données projet'!$A$140,$CQ$205^A24,IF(A24='Données projet'!$A$140,'Données projet'!$B$140,CT23+CS24-DB23)))</f>
        <v>17.409321838276906</v>
      </c>
      <c r="CU24" s="17">
        <f>CT24*VLOOKUP('Données projet'!$B$13,Paramètres!$A$1:$I$89,3,0)*VLOOKUP('Données projet'!$B$13,Paramètres!$A$1:$I$89,5,0)</f>
        <v>11.678173089116148</v>
      </c>
      <c r="CV24" s="13">
        <f t="shared" si="41"/>
        <v>4.0428211913733714</v>
      </c>
      <c r="CW24" s="20">
        <f t="shared" si="13"/>
        <v>27.380731705185912</v>
      </c>
      <c r="CX24" s="59">
        <f t="shared" si="14"/>
        <v>246.2382600810603</v>
      </c>
      <c r="CY24" s="59">
        <f ca="1">AVERAGE(OFFSET($CX$3,0,0,'Données projet'!$E$13+1,1))-AVERAGE(OFFSET($H$3,0,0,'Données projet'!$E$13+1,1))</f>
        <v>201.84651193684252</v>
      </c>
      <c r="CZ24" s="59">
        <f t="shared" si="42"/>
        <v>138.00705940844708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7.8</v>
      </c>
      <c r="DO24" s="12">
        <f>IF('Données projet'!$A$166&gt;35,DO23+DN24-DW23,IF(A24&lt;'Données projet'!$A$166,$DL$205^A24,IF(A24='Données projet'!$A$166,'Données projet'!$B$166,DO23+DN24-DW23)))</f>
        <v>109.80000000000003</v>
      </c>
      <c r="DP24" s="17">
        <f>DO24*VLOOKUP('Données projet'!$B$14,Paramètres!$A$1:$I$89,3,0)*VLOOKUP('Données projet'!$B$14,Paramètres!$A$1:$I$89,5,0)</f>
        <v>80.50536000000001</v>
      </c>
      <c r="DQ24" s="13">
        <f t="shared" si="43"/>
        <v>22.260701954394872</v>
      </c>
      <c r="DR24" s="20">
        <f t="shared" si="16"/>
        <v>178.98422457057109</v>
      </c>
      <c r="DS24" s="59">
        <f t="shared" si="17"/>
        <v>397.84175294644547</v>
      </c>
      <c r="DT24" s="59">
        <f ca="1">AVERAGE(OFFSET($DS$3,0,0,'Données projet'!$E$14+1,1))-AVERAGE(OFFSET($H$3,0,0,'Données projet'!$E$14+1,1))</f>
        <v>242.21240859696931</v>
      </c>
      <c r="DU24" s="59">
        <f t="shared" si="44"/>
        <v>340.92165104349192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1.2</v>
      </c>
      <c r="EJ24" s="12">
        <f>IF('Données projet'!$A$192&gt;35,EJ23+EI24-ER23,IF(A24&lt;'Données projet'!$A$192,$EG$205^A24,IF(A24='Données projet'!$A$192,'Données projet'!$B$192,EJ23+EI24-ER23)))</f>
        <v>17.409321838276906</v>
      </c>
      <c r="EK24" s="17">
        <f>EJ24*VLOOKUP('Données projet'!$B$15,Paramètres!$A$1:$I$89,3,0)*VLOOKUP('Données projet'!$B$15,Paramètres!$A$1:$I$89,5,0)</f>
        <v>16.838296081981426</v>
      </c>
      <c r="EL24" s="13">
        <f t="shared" si="45"/>
        <v>5.5861051062554639</v>
      </c>
      <c r="EM24" s="20">
        <f t="shared" si="19"/>
        <v>39.055832069512576</v>
      </c>
      <c r="EN24" s="59">
        <f t="shared" si="20"/>
        <v>257.91336044538696</v>
      </c>
      <c r="EO24" s="59">
        <f ca="1">AVERAGE(OFFSET($EN$3,0,0,'Données projet'!$E$15+1,1))-AVERAGE(OFFSET($H$3,0,0,'Données projet'!$E$15+1,1))</f>
        <v>331.7059599630698</v>
      </c>
      <c r="EP24" s="59">
        <f t="shared" si="46"/>
        <v>173.19148969173838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1.2</v>
      </c>
      <c r="FE24" s="12">
        <f>IF('Données projet'!$A$218&gt;35,FE23+FD24-FM23,IF(A24&lt;'Données projet'!$A$218,$FB$205^A24,IF(A24='Données projet'!$A$218,'Données projet'!$B$218,FE23+FD24-FM23)))</f>
        <v>17.409321838276906</v>
      </c>
      <c r="FF24" s="17">
        <f>FE24*VLOOKUP('Données projet'!$B$16,Paramètres!$A$1:$I$89,3,0)*VLOOKUP('Données projet'!$B$16,Paramètres!$A$1:$I$89,5,0)</f>
        <v>18.739394026721261</v>
      </c>
      <c r="FG24" s="13">
        <f t="shared" si="47"/>
        <v>6.1398655725414359</v>
      </c>
      <c r="FH24" s="20">
        <f t="shared" si="22"/>
        <v>43.331377135382525</v>
      </c>
      <c r="FI24" s="59">
        <f t="shared" si="23"/>
        <v>262.18890551125691</v>
      </c>
      <c r="FJ24" s="59">
        <f ca="1">AVERAGE(OFFSET($FI$3,0,0,'Données projet'!$E$16+1,1))-AVERAGE(OFFSET($H$3,0,0,'Données projet'!$E$16+1,1))</f>
        <v>360.86062459677004</v>
      </c>
      <c r="FK24" s="59">
        <f t="shared" si="48"/>
        <v>186.0840067781198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5.6</v>
      </c>
      <c r="FZ24" s="12">
        <f>IF('Données projet'!$A$244&gt;35,FZ23+FY24-GH23,IF(A24&lt;'Données projet'!$A$244,$FW$205^A24,IF(A24='Données projet'!$A$244,'Données projet'!$B$244,FZ23+FY24-GH23)))</f>
        <v>47.6</v>
      </c>
      <c r="GA24" s="17">
        <f>FZ24*VLOOKUP('Données projet'!$B$17,Paramètres!$A$1:$I$89,3,0)*VLOOKUP('Données projet'!$B$17,Paramètres!$A$1:$I$89,5,0)</f>
        <v>48.266400000000004</v>
      </c>
      <c r="GB24" s="13">
        <f t="shared" si="49"/>
        <v>14.165134590154434</v>
      </c>
      <c r="GC24" s="20">
        <f t="shared" si="25"/>
        <v>108.73492274451898</v>
      </c>
      <c r="GD24" s="59">
        <f t="shared" si="26"/>
        <v>327.59245112039338</v>
      </c>
      <c r="GE24" s="59">
        <f ca="1">AVERAGE(OFFSET($GD$3,0,0,'Données projet'!$E$17+1,1))-AVERAGE(OFFSET($H$3,0,0,'Données projet'!$E$17+1,1))</f>
        <v>448.73339628506784</v>
      </c>
      <c r="GF24" s="59">
        <f t="shared" si="50"/>
        <v>273.35778700650803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5.6</v>
      </c>
      <c r="N25" s="13">
        <f>IF('Données projet'!$A$36&gt;35,N24+M25-V24,IF(A25&lt;'Données projet'!$A$36,$K$205^A25,IF(A25='Données projet'!$A$36,'Données projet'!$B$36,N24+M25-V24)))</f>
        <v>53.2</v>
      </c>
      <c r="O25" s="13">
        <f>N25*VLOOKUP('Données projet'!$B$9,Paramètres!$A$1:$I$89,3,0)*VLOOKUP('Données projet'!$B$9,Paramètres!$A$1:$I$89,5,0)</f>
        <v>48.135359999999999</v>
      </c>
      <c r="P25" s="13">
        <f t="shared" si="33"/>
        <v>14.131148275361113</v>
      </c>
      <c r="Q25" s="20">
        <f t="shared" si="2"/>
        <v>108.4475019129206</v>
      </c>
      <c r="R25" s="59">
        <f t="shared" si="0"/>
        <v>329.62841581638901</v>
      </c>
      <c r="S25" s="59">
        <f ca="1">AVERAGE(OFFSET($R$3,0,0,'Données projet'!$E$9+1,1))-AVERAGE(OFFSET($H$3,0,0,'Données projet'!$E$9+1,1))</f>
        <v>408.51124670343137</v>
      </c>
      <c r="T25" s="59">
        <f t="shared" si="34"/>
        <v>250.47702091764884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</v>
      </c>
      <c r="AI25" s="13">
        <f>IF('Données projet'!$A$62&gt;35,AI24+AH25-AQ24,IF(A25&lt;'Données projet'!$A$62,$AF$205^A25,IF(A25='Données projet'!$A$62,'Données projet'!$B$62,AI24+AH25-AQ24)))</f>
        <v>94</v>
      </c>
      <c r="AJ25" s="13">
        <f>AI25*VLOOKUP('Données projet'!$B$10,Paramètres!$A$1:$I$89,3,0)*VLOOKUP('Données projet'!$B$10,Paramètres!$A$1:$I$89,5,0)</f>
        <v>74.7864</v>
      </c>
      <c r="AK25" s="13">
        <f t="shared" si="35"/>
        <v>20.857475351088969</v>
      </c>
      <c r="AL25" s="20">
        <f t="shared" si="4"/>
        <v>166.57974956981329</v>
      </c>
      <c r="AM25" s="59">
        <f t="shared" si="5"/>
        <v>387.76066347328168</v>
      </c>
      <c r="AN25" s="59">
        <f ca="1">AVERAGE(OFFSET($AM$3,0,0,'Données projet'!$E$10+1,1))-AVERAGE(OFFSET($H$3,0,0,'Données projet'!$E$10+1,1))</f>
        <v>327.22763817565902</v>
      </c>
      <c r="AO25" s="59">
        <f t="shared" si="36"/>
        <v>311.68541696405975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6.8</v>
      </c>
      <c r="BD25" s="12">
        <f>IF('Données projet'!$A$88&gt;35,BD24+BC25-BL24,IF(A25&lt;'Données projet'!$A$88,$BA$205^A25,IF(A25='Données projet'!$A$88,'Données projet'!$B$88,BD24+BC25-BL24)))</f>
        <v>78.600000000000009</v>
      </c>
      <c r="BE25" s="13">
        <f>BD25*VLOOKUP('Données projet'!$B$11,Paramètres!$A$1:$I$89,3,0)*VLOOKUP('Données projet'!$B$11,Paramètres!$A$1:$I$89,5,0)</f>
        <v>50.272559999999999</v>
      </c>
      <c r="BF25" s="13">
        <f t="shared" si="37"/>
        <v>14.68412718533815</v>
      </c>
      <c r="BG25" s="20">
        <f t="shared" si="7"/>
        <v>113.13289684779728</v>
      </c>
      <c r="BH25" s="59">
        <f t="shared" si="8"/>
        <v>334.31381075126569</v>
      </c>
      <c r="BI25" s="59">
        <f ca="1">AVERAGE(OFFSET($BH$3,0,0,'Données projet'!$E$11+1,1))-AVERAGE(OFFSET($H$3,0,0,'Données projet'!$E$11+1,1))</f>
        <v>169.46470423366029</v>
      </c>
      <c r="BJ25" s="59">
        <f t="shared" si="38"/>
        <v>230.78141128389288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</v>
      </c>
      <c r="BY25" s="12">
        <f>IF('Données projet'!$A$114&gt;35,BY24+BX25-CG24,IF(A25&lt;'Données projet'!$A$114,$BV$205^A25,IF(A25='Données projet'!$A$114,'Données projet'!$B$114,BY24+BX25-CG24)))</f>
        <v>109.99999999999997</v>
      </c>
      <c r="BZ25" s="13">
        <f>BY25*VLOOKUP('Données projet'!$B$12,Paramètres!$A$1:$I$89,3,0)*VLOOKUP('Données projet'!$B$12,Paramètres!$A$1:$I$89,5,0)</f>
        <v>96.095999999999989</v>
      </c>
      <c r="CA25" s="13">
        <f t="shared" si="39"/>
        <v>26.029778784173352</v>
      </c>
      <c r="CB25" s="20">
        <f t="shared" si="10"/>
        <v>212.70239804910193</v>
      </c>
      <c r="CC25" s="59">
        <f t="shared" si="11"/>
        <v>433.88331195257035</v>
      </c>
      <c r="CD25" s="59">
        <f ca="1">AVERAGE(OFFSET($CC$3,0,0,'Données projet'!$E$12+1,1))-AVERAGE(OFFSET($H$3,0,0,'Données projet'!$E$12+1,1))</f>
        <v>342.79161436526499</v>
      </c>
      <c r="CE25" s="59">
        <f t="shared" si="40"/>
        <v>315.50730924873733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1.2</v>
      </c>
      <c r="CT25" s="12">
        <f>IF('Données projet'!$A$140&gt;35,CT24+CS25-DB24,IF(A25&lt;'Données projet'!$A$140,$CQ$205^A25,IF(A25='Données projet'!$A$140,'Données projet'!$B$140,CT24+CS25-DB24)))</f>
        <v>19.946500129940819</v>
      </c>
      <c r="CU25" s="17">
        <f>CT25*VLOOKUP('Données projet'!$B$13,Paramètres!$A$1:$I$89,3,0)*VLOOKUP('Données projet'!$B$13,Paramètres!$A$1:$I$89,5,0)</f>
        <v>13.3801122871643</v>
      </c>
      <c r="CV25" s="13">
        <f t="shared" si="41"/>
        <v>4.5592342564985273</v>
      </c>
      <c r="CW25" s="20">
        <f t="shared" si="13"/>
        <v>31.244361896879429</v>
      </c>
      <c r="CX25" s="59">
        <f t="shared" si="14"/>
        <v>252.42527580034783</v>
      </c>
      <c r="CY25" s="59">
        <f ca="1">AVERAGE(OFFSET($CX$3,0,0,'Données projet'!$E$13+1,1))-AVERAGE(OFFSET($H$3,0,0,'Données projet'!$E$13+1,1))</f>
        <v>201.84651193684252</v>
      </c>
      <c r="CZ25" s="59">
        <f t="shared" si="42"/>
        <v>138.00705940844708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7.8</v>
      </c>
      <c r="DO25" s="12">
        <f>IF('Données projet'!$A$166&gt;35,DO24+DN25-DW24,IF(A25&lt;'Données projet'!$A$166,$DL$205^A25,IF(A25='Données projet'!$A$166,'Données projet'!$B$166,DO24+DN25-DW24)))</f>
        <v>117.60000000000002</v>
      </c>
      <c r="DP25" s="17">
        <f>DO25*VLOOKUP('Données projet'!$B$14,Paramètres!$A$1:$I$89,3,0)*VLOOKUP('Données projet'!$B$14,Paramètres!$A$1:$I$89,5,0)</f>
        <v>86.224320000000006</v>
      </c>
      <c r="DQ25" s="13">
        <f t="shared" si="43"/>
        <v>23.652363060428655</v>
      </c>
      <c r="DR25" s="20">
        <f t="shared" si="16"/>
        <v>191.36855633024655</v>
      </c>
      <c r="DS25" s="59">
        <f t="shared" si="17"/>
        <v>412.54947023371494</v>
      </c>
      <c r="DT25" s="59">
        <f ca="1">AVERAGE(OFFSET($DS$3,0,0,'Données projet'!$E$14+1,1))-AVERAGE(OFFSET($H$3,0,0,'Données projet'!$E$14+1,1))</f>
        <v>242.21240859696931</v>
      </c>
      <c r="DU25" s="59">
        <f t="shared" si="44"/>
        <v>340.92165104349192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1.2</v>
      </c>
      <c r="EJ25" s="12">
        <f>IF('Données projet'!$A$192&gt;35,EJ24+EI25-ER24,IF(A25&lt;'Données projet'!$A$192,$EG$205^A25,IF(A25='Données projet'!$A$192,'Données projet'!$B$192,EJ24+EI25-ER24)))</f>
        <v>19.946500129940819</v>
      </c>
      <c r="EK25" s="17">
        <f>EJ25*VLOOKUP('Données projet'!$B$15,Paramètres!$A$1:$I$89,3,0)*VLOOKUP('Données projet'!$B$15,Paramètres!$A$1:$I$89,5,0)</f>
        <v>19.292254925678762</v>
      </c>
      <c r="EL25" s="13">
        <f t="shared" si="45"/>
        <v>6.2996508020651527</v>
      </c>
      <c r="EM25" s="20">
        <f t="shared" si="19"/>
        <v>44.572569142487318</v>
      </c>
      <c r="EN25" s="59">
        <f t="shared" si="20"/>
        <v>265.7534830459557</v>
      </c>
      <c r="EO25" s="59">
        <f ca="1">AVERAGE(OFFSET($EN$3,0,0,'Données projet'!$E$15+1,1))-AVERAGE(OFFSET($H$3,0,0,'Données projet'!$E$15+1,1))</f>
        <v>331.7059599630698</v>
      </c>
      <c r="EP25" s="59">
        <f t="shared" si="46"/>
        <v>173.19148969173838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1.2</v>
      </c>
      <c r="FE25" s="12">
        <f>IF('Données projet'!$A$218&gt;35,FE24+FD25-FM24,IF(A25&lt;'Données projet'!$A$218,$FB$205^A25,IF(A25='Données projet'!$A$218,'Données projet'!$B$218,FE24+FD25-FM24)))</f>
        <v>19.946500129940819</v>
      </c>
      <c r="FF25" s="17">
        <f>FE25*VLOOKUP('Données projet'!$B$16,Paramètres!$A$1:$I$89,3,0)*VLOOKUP('Données projet'!$B$16,Paramètres!$A$1:$I$89,5,0)</f>
        <v>21.470412739868298</v>
      </c>
      <c r="FG25" s="13">
        <f t="shared" si="47"/>
        <v>6.9241463135591816</v>
      </c>
      <c r="FH25" s="20">
        <f t="shared" si="22"/>
        <v>49.453857018052851</v>
      </c>
      <c r="FI25" s="59">
        <f t="shared" si="23"/>
        <v>270.63477092152124</v>
      </c>
      <c r="FJ25" s="59">
        <f ca="1">AVERAGE(OFFSET($FI$3,0,0,'Données projet'!$E$16+1,1))-AVERAGE(OFFSET($H$3,0,0,'Données projet'!$E$16+1,1))</f>
        <v>360.86062459677004</v>
      </c>
      <c r="FK25" s="59">
        <f t="shared" si="48"/>
        <v>186.0840067781198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5.6</v>
      </c>
      <c r="FZ25" s="12">
        <f>IF('Données projet'!$A$244&gt;35,FZ24+FY25-GH24,IF(A25&lt;'Données projet'!$A$244,$FW$205^A25,IF(A25='Données projet'!$A$244,'Données projet'!$B$244,FZ24+FY25-GH24)))</f>
        <v>53.2</v>
      </c>
      <c r="GA25" s="17">
        <f>FZ25*VLOOKUP('Données projet'!$B$17,Paramètres!$A$1:$I$89,3,0)*VLOOKUP('Données projet'!$B$17,Paramètres!$A$1:$I$89,5,0)</f>
        <v>53.944800000000008</v>
      </c>
      <c r="GB25" s="13">
        <f t="shared" si="49"/>
        <v>15.627975445731321</v>
      </c>
      <c r="GC25" s="20">
        <f t="shared" si="25"/>
        <v>121.17258390131538</v>
      </c>
      <c r="GD25" s="59">
        <f t="shared" si="26"/>
        <v>342.35349780478379</v>
      </c>
      <c r="GE25" s="59">
        <f ca="1">AVERAGE(OFFSET($GD$3,0,0,'Données projet'!$E$17+1,1))-AVERAGE(OFFSET($H$3,0,0,'Données projet'!$E$17+1,1))</f>
        <v>448.73339628506784</v>
      </c>
      <c r="GF25" s="59">
        <f t="shared" si="50"/>
        <v>273.35778700650803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5.6</v>
      </c>
      <c r="N26" s="13">
        <f>IF('Données projet'!$A$36&gt;35,N25+M26-V25,IF(A26&lt;'Données projet'!$A$36,$K$205^A26,IF(A26='Données projet'!$A$36,'Données projet'!$B$36,N25+M26-V25)))</f>
        <v>58.800000000000004</v>
      </c>
      <c r="O26" s="13">
        <f>N26*VLOOKUP('Données projet'!$B$9,Paramètres!$A$1:$I$89,3,0)*VLOOKUP('Données projet'!$B$9,Paramètres!$A$1:$I$89,5,0)</f>
        <v>53.202240000000003</v>
      </c>
      <c r="P26" s="13">
        <f t="shared" si="33"/>
        <v>15.437740642425908</v>
      </c>
      <c r="Q26" s="20">
        <f t="shared" si="2"/>
        <v>119.54796628555846</v>
      </c>
      <c r="R26" s="59">
        <f t="shared" si="0"/>
        <v>343.03316299510493</v>
      </c>
      <c r="S26" s="59">
        <f ca="1">AVERAGE(OFFSET($R$3,0,0,'Données projet'!$E$9+1,1))-AVERAGE(OFFSET($H$3,0,0,'Données projet'!$E$9+1,1))</f>
        <v>408.51124670343137</v>
      </c>
      <c r="T26" s="59">
        <f t="shared" si="34"/>
        <v>250.47702091764884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</v>
      </c>
      <c r="AI26" s="13">
        <f>IF('Données projet'!$A$62&gt;35,AI25+AH26-AQ25,IF(A26&lt;'Données projet'!$A$62,$AF$205^A26,IF(A26='Données projet'!$A$62,'Données projet'!$B$62,AI25+AH26-AQ25)))</f>
        <v>101</v>
      </c>
      <c r="AJ26" s="13">
        <f>AI26*VLOOKUP('Données projet'!$B$10,Paramètres!$A$1:$I$89,3,0)*VLOOKUP('Données projet'!$B$10,Paramètres!$A$1:$I$89,5,0)</f>
        <v>80.355599999999995</v>
      </c>
      <c r="AK26" s="13">
        <f t="shared" si="35"/>
        <v>22.224107721582499</v>
      </c>
      <c r="AL26" s="20">
        <f t="shared" si="4"/>
        <v>178.65965761508951</v>
      </c>
      <c r="AM26" s="59">
        <f t="shared" si="5"/>
        <v>402.14485432463601</v>
      </c>
      <c r="AN26" s="59">
        <f ca="1">AVERAGE(OFFSET($AM$3,0,0,'Données projet'!$E$10+1,1))-AVERAGE(OFFSET($H$3,0,0,'Données projet'!$E$10+1,1))</f>
        <v>327.22763817565902</v>
      </c>
      <c r="AO26" s="59">
        <f t="shared" si="36"/>
        <v>311.68541696405975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6.8</v>
      </c>
      <c r="BD26" s="12">
        <f>IF('Données projet'!$A$88&gt;35,BD25+BC26-BL25,IF(A26&lt;'Données projet'!$A$88,$BA$205^A26,IF(A26='Données projet'!$A$88,'Données projet'!$B$88,BD25+BC26-BL25)))</f>
        <v>85.4</v>
      </c>
      <c r="BE26" s="13">
        <f>BD26*VLOOKUP('Données projet'!$B$11,Paramètres!$A$1:$I$89,3,0)*VLOOKUP('Données projet'!$B$11,Paramètres!$A$1:$I$89,5,0)</f>
        <v>54.621840000000006</v>
      </c>
      <c r="BF26" s="13">
        <f t="shared" si="37"/>
        <v>15.801159258451783</v>
      </c>
      <c r="BG26" s="20">
        <f t="shared" si="7"/>
        <v>122.65339037513688</v>
      </c>
      <c r="BH26" s="59">
        <f t="shared" si="8"/>
        <v>346.13858708468337</v>
      </c>
      <c r="BI26" s="59">
        <f ca="1">AVERAGE(OFFSET($BH$3,0,0,'Données projet'!$E$11+1,1))-AVERAGE(OFFSET($H$3,0,0,'Données projet'!$E$11+1,1))</f>
        <v>169.46470423366029</v>
      </c>
      <c r="BJ26" s="59">
        <f t="shared" si="38"/>
        <v>230.78141128389288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</v>
      </c>
      <c r="BY26" s="12">
        <f>IF('Données projet'!$A$114&gt;35,BY25+BX26-CG25,IF(A26&lt;'Données projet'!$A$114,$BV$205^A26,IF(A26='Données projet'!$A$114,'Données projet'!$B$114,BY25+BX26-CG25)))</f>
        <v>110.99999999999997</v>
      </c>
      <c r="BZ26" s="13">
        <f>BY26*VLOOKUP('Données projet'!$B$12,Paramètres!$A$1:$I$89,3,0)*VLOOKUP('Données projet'!$B$12,Paramètres!$A$1:$I$89,5,0)</f>
        <v>96.969599999999986</v>
      </c>
      <c r="CA26" s="13">
        <f t="shared" si="39"/>
        <v>26.238758642904337</v>
      </c>
      <c r="CB26" s="20">
        <f t="shared" si="10"/>
        <v>214.58789130305834</v>
      </c>
      <c r="CC26" s="59">
        <f t="shared" si="11"/>
        <v>438.07308801260484</v>
      </c>
      <c r="CD26" s="59">
        <f ca="1">AVERAGE(OFFSET($CC$3,0,0,'Données projet'!$E$12+1,1))-AVERAGE(OFFSET($H$3,0,0,'Données projet'!$E$12+1,1))</f>
        <v>342.79161436526499</v>
      </c>
      <c r="CE26" s="59">
        <f t="shared" si="40"/>
        <v>315.50730924873733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1.2</v>
      </c>
      <c r="CT26" s="12">
        <f>IF('Données projet'!$A$140&gt;35,CT25+CS26-DB25,IF(A26&lt;'Données projet'!$A$140,$CQ$205^A26,IF(A26='Données projet'!$A$140,'Données projet'!$B$140,CT25+CS26-DB25)))</f>
        <v>22.853438584779923</v>
      </c>
      <c r="CU26" s="17">
        <f>CT26*VLOOKUP('Données projet'!$B$13,Paramètres!$A$1:$I$89,3,0)*VLOOKUP('Données projet'!$B$13,Paramètres!$A$1:$I$89,5,0)</f>
        <v>15.330086602670374</v>
      </c>
      <c r="CV26" s="13">
        <f t="shared" si="41"/>
        <v>5.1416117660569478</v>
      </c>
      <c r="CW26" s="20">
        <f t="shared" si="13"/>
        <v>35.654874658866753</v>
      </c>
      <c r="CX26" s="59">
        <f t="shared" si="14"/>
        <v>259.14007136841326</v>
      </c>
      <c r="CY26" s="59">
        <f ca="1">AVERAGE(OFFSET($CX$3,0,0,'Données projet'!$E$13+1,1))-AVERAGE(OFFSET($H$3,0,0,'Données projet'!$E$13+1,1))</f>
        <v>201.84651193684252</v>
      </c>
      <c r="CZ26" s="59">
        <f t="shared" si="42"/>
        <v>138.00705940844708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7.8</v>
      </c>
      <c r="DO26" s="12">
        <f>IF('Données projet'!$A$166&gt;35,DO25+DN26-DW25,IF(A26&lt;'Données projet'!$A$166,$DL$205^A26,IF(A26='Données projet'!$A$166,'Données projet'!$B$166,DO25+DN26-DW25)))</f>
        <v>125.40000000000002</v>
      </c>
      <c r="DP26" s="17">
        <f>DO26*VLOOKUP('Données projet'!$B$14,Paramètres!$A$1:$I$89,3,0)*VLOOKUP('Données projet'!$B$14,Paramètres!$A$1:$I$89,5,0)</f>
        <v>91.943280000000016</v>
      </c>
      <c r="DQ26" s="13">
        <f t="shared" si="43"/>
        <v>25.033313055666699</v>
      </c>
      <c r="DR26" s="20">
        <f t="shared" si="16"/>
        <v>203.73423290528618</v>
      </c>
      <c r="DS26" s="59">
        <f t="shared" si="17"/>
        <v>427.21942961483268</v>
      </c>
      <c r="DT26" s="59">
        <f ca="1">AVERAGE(OFFSET($DS$3,0,0,'Données projet'!$E$14+1,1))-AVERAGE(OFFSET($H$3,0,0,'Données projet'!$E$14+1,1))</f>
        <v>242.21240859696931</v>
      </c>
      <c r="DU26" s="59">
        <f t="shared" si="44"/>
        <v>340.92165104349192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1.2</v>
      </c>
      <c r="EJ26" s="12">
        <f>IF('Données projet'!$A$192&gt;35,EJ25+EI26-ER25,IF(A26&lt;'Données projet'!$A$192,$EG$205^A26,IF(A26='Données projet'!$A$192,'Données projet'!$B$192,EJ25+EI26-ER25)))</f>
        <v>22.853438584779923</v>
      </c>
      <c r="EK26" s="17">
        <f>EJ26*VLOOKUP('Données projet'!$B$15,Paramètres!$A$1:$I$89,3,0)*VLOOKUP('Données projet'!$B$15,Paramètres!$A$1:$I$89,5,0)</f>
        <v>22.103845799199142</v>
      </c>
      <c r="EL26" s="13">
        <f t="shared" si="45"/>
        <v>7.1043418398123555</v>
      </c>
      <c r="EM26" s="20">
        <f t="shared" si="19"/>
        <v>50.870926804611692</v>
      </c>
      <c r="EN26" s="59">
        <f t="shared" si="20"/>
        <v>274.35612351415818</v>
      </c>
      <c r="EO26" s="59">
        <f ca="1">AVERAGE(OFFSET($EN$3,0,0,'Données projet'!$E$15+1,1))-AVERAGE(OFFSET($H$3,0,0,'Données projet'!$E$15+1,1))</f>
        <v>331.7059599630698</v>
      </c>
      <c r="EP26" s="59">
        <f t="shared" si="46"/>
        <v>173.19148969173838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1.2</v>
      </c>
      <c r="FE26" s="12">
        <f>IF('Données projet'!$A$218&gt;35,FE25+FD26-FM25,IF(A26&lt;'Données projet'!$A$218,$FB$205^A26,IF(A26='Données projet'!$A$218,'Données projet'!$B$218,FE25+FD26-FM25)))</f>
        <v>22.853438584779923</v>
      </c>
      <c r="FF26" s="17">
        <f>FE26*VLOOKUP('Données projet'!$B$16,Paramètres!$A$1:$I$89,3,0)*VLOOKUP('Données projet'!$B$16,Paramètres!$A$1:$I$89,5,0)</f>
        <v>24.599441292657108</v>
      </c>
      <c r="FG26" s="13">
        <f t="shared" si="47"/>
        <v>7.808607795256683</v>
      </c>
      <c r="FH26" s="20">
        <f t="shared" si="22"/>
        <v>56.444018828116505</v>
      </c>
      <c r="FI26" s="59">
        <f t="shared" si="23"/>
        <v>279.92921553766303</v>
      </c>
      <c r="FJ26" s="59">
        <f ca="1">AVERAGE(OFFSET($FI$3,0,0,'Données projet'!$E$16+1,1))-AVERAGE(OFFSET($H$3,0,0,'Données projet'!$E$16+1,1))</f>
        <v>360.86062459677004</v>
      </c>
      <c r="FK26" s="59">
        <f t="shared" si="48"/>
        <v>186.0840067781198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5.6</v>
      </c>
      <c r="FZ26" s="12">
        <f>IF('Données projet'!$A$244&gt;35,FZ25+FY26-GH25,IF(A26&lt;'Données projet'!$A$244,$FW$205^A26,IF(A26='Données projet'!$A$244,'Données projet'!$B$244,FZ25+FY26-GH25)))</f>
        <v>58.800000000000004</v>
      </c>
      <c r="GA26" s="17">
        <f>FZ26*VLOOKUP('Données projet'!$B$17,Paramètres!$A$1:$I$89,3,0)*VLOOKUP('Données projet'!$B$17,Paramètres!$A$1:$I$89,5,0)</f>
        <v>59.623200000000011</v>
      </c>
      <c r="GB26" s="13">
        <f t="shared" si="49"/>
        <v>17.072967249098898</v>
      </c>
      <c r="GC26" s="20">
        <f t="shared" si="25"/>
        <v>133.57915795884725</v>
      </c>
      <c r="GD26" s="59">
        <f t="shared" si="26"/>
        <v>357.06435466839378</v>
      </c>
      <c r="GE26" s="59">
        <f ca="1">AVERAGE(OFFSET($GD$3,0,0,'Données projet'!$E$17+1,1))-AVERAGE(OFFSET($H$3,0,0,'Données projet'!$E$17+1,1))</f>
        <v>448.73339628506784</v>
      </c>
      <c r="GF26" s="59">
        <f t="shared" si="50"/>
        <v>273.35778700650803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5.6</v>
      </c>
      <c r="N27" s="13">
        <f>IF('Données projet'!$A$36&gt;35,N26+M27-V26,IF(A27&lt;'Données projet'!$A$36,$K$205^A27,IF(A27='Données projet'!$A$36,'Données projet'!$B$36,N26+M27-V26)))</f>
        <v>64.400000000000006</v>
      </c>
      <c r="O27" s="13">
        <f>N27*VLOOKUP('Données projet'!$B$9,Paramètres!$A$1:$I$89,3,0)*VLOOKUP('Données projet'!$B$9,Paramètres!$A$1:$I$89,5,0)</f>
        <v>58.269120000000008</v>
      </c>
      <c r="P27" s="13">
        <f t="shared" si="33"/>
        <v>16.729905486873804</v>
      </c>
      <c r="Q27" s="20">
        <f t="shared" si="2"/>
        <v>130.62330272297189</v>
      </c>
      <c r="R27" s="59">
        <f t="shared" si="0"/>
        <v>356.39401090659169</v>
      </c>
      <c r="S27" s="59">
        <f ca="1">AVERAGE(OFFSET($R$3,0,0,'Données projet'!$E$9+1,1))-AVERAGE(OFFSET($H$3,0,0,'Données projet'!$E$9+1,1))</f>
        <v>408.51124670343137</v>
      </c>
      <c r="T27" s="59">
        <f t="shared" si="34"/>
        <v>250.47702091764884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</v>
      </c>
      <c r="AI27" s="13">
        <f>IF('Données projet'!$A$62&gt;35,AI26+AH27-AQ26,IF(A27&lt;'Données projet'!$A$62,$AF$205^A27,IF(A27='Données projet'!$A$62,'Données projet'!$B$62,AI26+AH27-AQ26)))</f>
        <v>108</v>
      </c>
      <c r="AJ27" s="13">
        <f>AI27*VLOOKUP('Données projet'!$B$10,Paramètres!$A$1:$I$89,3,0)*VLOOKUP('Données projet'!$B$10,Paramètres!$A$1:$I$89,5,0)</f>
        <v>85.924800000000005</v>
      </c>
      <c r="AK27" s="13">
        <f t="shared" si="35"/>
        <v>23.579750090592171</v>
      </c>
      <c r="AL27" s="20">
        <f t="shared" si="4"/>
        <v>190.7204247411147</v>
      </c>
      <c r="AM27" s="59">
        <f t="shared" si="5"/>
        <v>416.49113292473453</v>
      </c>
      <c r="AN27" s="59">
        <f ca="1">AVERAGE(OFFSET($AM$3,0,0,'Données projet'!$E$10+1,1))-AVERAGE(OFFSET($H$3,0,0,'Données projet'!$E$10+1,1))</f>
        <v>327.22763817565902</v>
      </c>
      <c r="AO27" s="59">
        <f t="shared" si="36"/>
        <v>311.68541696405975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6.8</v>
      </c>
      <c r="BD27" s="12">
        <f>IF('Données projet'!$A$88&gt;35,BD26+BC27-BL26,IF(A27&lt;'Données projet'!$A$88,$BA$205^A27,IF(A27='Données projet'!$A$88,'Données projet'!$B$88,BD26+BC27-BL26)))</f>
        <v>92.2</v>
      </c>
      <c r="BE27" s="13">
        <f>BD27*VLOOKUP('Données projet'!$B$11,Paramètres!$A$1:$I$89,3,0)*VLOOKUP('Données projet'!$B$11,Paramètres!$A$1:$I$89,5,0)</f>
        <v>58.971119999999999</v>
      </c>
      <c r="BF27" s="13">
        <f t="shared" si="37"/>
        <v>16.907874579085171</v>
      </c>
      <c r="BG27" s="20">
        <f t="shared" si="7"/>
        <v>132.15591555857335</v>
      </c>
      <c r="BH27" s="59">
        <f t="shared" si="8"/>
        <v>357.92662374219316</v>
      </c>
      <c r="BI27" s="59">
        <f ca="1">AVERAGE(OFFSET($BH$3,0,0,'Données projet'!$E$11+1,1))-AVERAGE(OFFSET($H$3,0,0,'Données projet'!$E$11+1,1))</f>
        <v>169.46470423366029</v>
      </c>
      <c r="BJ27" s="59">
        <f t="shared" si="38"/>
        <v>230.78141128389288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</v>
      </c>
      <c r="BY27" s="12">
        <f>IF('Données projet'!$A$114&gt;35,BY26+BX27-CG26,IF(A27&lt;'Données projet'!$A$114,$BV$205^A27,IF(A27='Données projet'!$A$114,'Données projet'!$B$114,BY26+BX27-CG26)))</f>
        <v>111.99999999999997</v>
      </c>
      <c r="BZ27" s="13">
        <f>BY27*VLOOKUP('Données projet'!$B$12,Paramètres!$A$1:$I$89,3,0)*VLOOKUP('Données projet'!$B$12,Paramètres!$A$1:$I$89,5,0)</f>
        <v>97.843199999999996</v>
      </c>
      <c r="CA27" s="13">
        <f t="shared" si="39"/>
        <v>26.447519466918756</v>
      </c>
      <c r="CB27" s="20">
        <f t="shared" si="10"/>
        <v>216.47300307155012</v>
      </c>
      <c r="CC27" s="59">
        <f t="shared" si="11"/>
        <v>442.24371125516996</v>
      </c>
      <c r="CD27" s="59">
        <f ca="1">AVERAGE(OFFSET($CC$3,0,0,'Données projet'!$E$12+1,1))-AVERAGE(OFFSET($H$3,0,0,'Données projet'!$E$12+1,1))</f>
        <v>342.79161436526499</v>
      </c>
      <c r="CE27" s="59">
        <f t="shared" si="40"/>
        <v>315.50730924873733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1.2</v>
      </c>
      <c r="CT27" s="12">
        <f>IF('Données projet'!$A$140&gt;35,CT26+CS27-DB26,IF(A27&lt;'Données projet'!$A$140,$CQ$205^A27,IF(A27='Données projet'!$A$140,'Données projet'!$B$140,CT26+CS27-DB26)))</f>
        <v>26.184024853780567</v>
      </c>
      <c r="CU27" s="17">
        <f>CT27*VLOOKUP('Données projet'!$B$13,Paramètres!$A$1:$I$89,3,0)*VLOOKUP('Données projet'!$B$13,Paramètres!$A$1:$I$89,5,0)</f>
        <v>17.564243871916005</v>
      </c>
      <c r="CV27" s="13">
        <f t="shared" si="41"/>
        <v>5.7983797422065528</v>
      </c>
      <c r="CW27" s="20">
        <f t="shared" si="13"/>
        <v>40.689902794596783</v>
      </c>
      <c r="CX27" s="59">
        <f t="shared" si="14"/>
        <v>266.46061097821661</v>
      </c>
      <c r="CY27" s="59">
        <f ca="1">AVERAGE(OFFSET($CX$3,0,0,'Données projet'!$E$13+1,1))-AVERAGE(OFFSET($H$3,0,0,'Données projet'!$E$13+1,1))</f>
        <v>201.84651193684252</v>
      </c>
      <c r="CZ27" s="59">
        <f t="shared" si="42"/>
        <v>138.00705940844708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7.8</v>
      </c>
      <c r="DO27" s="12">
        <f>IF('Données projet'!$A$166&gt;35,DO26+DN27-DW26,IF(A27&lt;'Données projet'!$A$166,$DL$205^A27,IF(A27='Données projet'!$A$166,'Données projet'!$B$166,DO26+DN27-DW26)))</f>
        <v>133.20000000000002</v>
      </c>
      <c r="DP27" s="17">
        <f>DO27*VLOOKUP('Données projet'!$B$14,Paramètres!$A$1:$I$89,3,0)*VLOOKUP('Données projet'!$B$14,Paramètres!$A$1:$I$89,5,0)</f>
        <v>97.662240000000011</v>
      </c>
      <c r="DQ27" s="13">
        <f t="shared" si="43"/>
        <v>26.404294032217511</v>
      </c>
      <c r="DR27" s="20">
        <f t="shared" si="16"/>
        <v>216.08254677277884</v>
      </c>
      <c r="DS27" s="59">
        <f t="shared" si="17"/>
        <v>441.85325495639864</v>
      </c>
      <c r="DT27" s="59">
        <f ca="1">AVERAGE(OFFSET($DS$3,0,0,'Données projet'!$E$14+1,1))-AVERAGE(OFFSET($H$3,0,0,'Données projet'!$E$14+1,1))</f>
        <v>242.21240859696931</v>
      </c>
      <c r="DU27" s="59">
        <f t="shared" si="44"/>
        <v>340.92165104349192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1.2</v>
      </c>
      <c r="EJ27" s="12">
        <f>IF('Données projet'!$A$192&gt;35,EJ26+EI27-ER26,IF(A27&lt;'Données projet'!$A$192,$EG$205^A27,IF(A27='Données projet'!$A$192,'Données projet'!$B$192,EJ26+EI27-ER26)))</f>
        <v>26.184024853780567</v>
      </c>
      <c r="EK27" s="17">
        <f>EJ27*VLOOKUP('Données projet'!$B$15,Paramètres!$A$1:$I$89,3,0)*VLOOKUP('Données projet'!$B$15,Paramètres!$A$1:$I$89,5,0)</f>
        <v>25.325188838576565</v>
      </c>
      <c r="EL27" s="13">
        <f t="shared" si="45"/>
        <v>8.0118207441534324</v>
      </c>
      <c r="EM27" s="20">
        <f t="shared" si="19"/>
        <v>58.061958356588072</v>
      </c>
      <c r="EN27" s="59">
        <f t="shared" si="20"/>
        <v>283.83266654020787</v>
      </c>
      <c r="EO27" s="59">
        <f ca="1">AVERAGE(OFFSET($EN$3,0,0,'Données projet'!$E$15+1,1))-AVERAGE(OFFSET($H$3,0,0,'Données projet'!$E$15+1,1))</f>
        <v>331.7059599630698</v>
      </c>
      <c r="EP27" s="59">
        <f t="shared" si="46"/>
        <v>173.19148969173838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1.2</v>
      </c>
      <c r="FE27" s="12">
        <f>IF('Données projet'!$A$218&gt;35,FE26+FD27-FM26,IF(A27&lt;'Données projet'!$A$218,$FB$205^A27,IF(A27='Données projet'!$A$218,'Données projet'!$B$218,FE26+FD27-FM26)))</f>
        <v>26.184024853780567</v>
      </c>
      <c r="FF27" s="17">
        <f>FE27*VLOOKUP('Données projet'!$B$16,Paramètres!$A$1:$I$89,3,0)*VLOOKUP('Données projet'!$B$16,Paramètres!$A$1:$I$89,5,0)</f>
        <v>28.184484352609399</v>
      </c>
      <c r="FG27" s="13">
        <f t="shared" si="47"/>
        <v>8.8060466863244411</v>
      </c>
      <c r="FH27" s="20">
        <f t="shared" si="22"/>
        <v>64.425174892809764</v>
      </c>
      <c r="FI27" s="59">
        <f t="shared" si="23"/>
        <v>290.1958830764296</v>
      </c>
      <c r="FJ27" s="59">
        <f ca="1">AVERAGE(OFFSET($FI$3,0,0,'Données projet'!$E$16+1,1))-AVERAGE(OFFSET($H$3,0,0,'Données projet'!$E$16+1,1))</f>
        <v>360.86062459677004</v>
      </c>
      <c r="FK27" s="59">
        <f t="shared" si="48"/>
        <v>186.0840067781198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5.6</v>
      </c>
      <c r="FZ27" s="12">
        <f>IF('Données projet'!$A$244&gt;35,FZ26+FY27-GH26,IF(A27&lt;'Données projet'!$A$244,$FW$205^A27,IF(A27='Données projet'!$A$244,'Données projet'!$B$244,FZ26+FY27-GH26)))</f>
        <v>64.400000000000006</v>
      </c>
      <c r="GA27" s="17">
        <f>FZ27*VLOOKUP('Données projet'!$B$17,Paramètres!$A$1:$I$89,3,0)*VLOOKUP('Données projet'!$B$17,Paramètres!$A$1:$I$89,5,0)</f>
        <v>65.301600000000008</v>
      </c>
      <c r="GB27" s="13">
        <f t="shared" si="49"/>
        <v>18.502003309535596</v>
      </c>
      <c r="GC27" s="20">
        <f t="shared" si="25"/>
        <v>145.95794243077449</v>
      </c>
      <c r="GD27" s="59">
        <f t="shared" si="26"/>
        <v>371.72865061439427</v>
      </c>
      <c r="GE27" s="59">
        <f ca="1">AVERAGE(OFFSET($GD$3,0,0,'Données projet'!$E$17+1,1))-AVERAGE(OFFSET($H$3,0,0,'Données projet'!$E$17+1,1))</f>
        <v>448.73339628506784</v>
      </c>
      <c r="GF27" s="59">
        <f t="shared" si="50"/>
        <v>273.35778700650803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70</v>
      </c>
      <c r="L28" s="12">
        <f>VLOOKUP(A28,'Données projet'!$A$35:$I$55,9,0)</f>
        <v>5.6</v>
      </c>
      <c r="M28" s="12">
        <f t="array" ref="M28">INDEX(L:L,MIN(IF(ISNUMBER(L28:L224),ROW(L28:L224),"")))</f>
        <v>5.6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369.71371867296341</v>
      </c>
      <c r="S28" s="59">
        <f ca="1">AVERAGE(OFFSET($R$3,0,0,'Données projet'!$E$9+1,1))-AVERAGE(OFFSET($H$3,0,0,'Données projet'!$E$9+1,1))</f>
        <v>408.51124670343137</v>
      </c>
      <c r="T28" s="59">
        <f t="shared" si="34"/>
        <v>250.47702091764884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115</v>
      </c>
      <c r="AG28" s="12">
        <f>VLOOKUP(A28,'Données projet'!$A$61:$I$81,9,0)</f>
        <v>7</v>
      </c>
      <c r="AH28" s="12">
        <f t="array" ref="AH28">INDEX(AG:AG,MIN(IF(ISNUMBER(AG28:AG224),ROW(AG28:AG224),"")))</f>
        <v>7</v>
      </c>
      <c r="AI28" s="13">
        <f>IF('Données projet'!$A$62&gt;35,AI27+AH28-AQ27,IF(A28&lt;'Données projet'!$A$62,$AF$205^A28,IF(A28='Données projet'!$A$62,'Données projet'!$B$62,AI27+AH28-AQ27)))</f>
        <v>115</v>
      </c>
      <c r="AJ28" s="13">
        <f>AI28*VLOOKUP('Données projet'!$B$10,Paramètres!$A$1:$I$89,3,0)*VLOOKUP('Données projet'!$B$10,Paramètres!$A$1:$I$89,5,0)</f>
        <v>91.494</v>
      </c>
      <c r="AK28" s="13">
        <f t="shared" si="35"/>
        <v>24.925195840896517</v>
      </c>
      <c r="AL28" s="20">
        <f t="shared" si="4"/>
        <v>202.7634327562281</v>
      </c>
      <c r="AM28" s="59">
        <f t="shared" si="5"/>
        <v>430.80120672256021</v>
      </c>
      <c r="AN28" s="59">
        <f ca="1">AVERAGE(OFFSET($AM$3,0,0,'Données projet'!$E$10+1,1))-AVERAGE(OFFSET($H$3,0,0,'Données projet'!$E$10+1,1))</f>
        <v>327.22763817565902</v>
      </c>
      <c r="AO28" s="59">
        <f t="shared" si="36"/>
        <v>311.68541696405975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99</v>
      </c>
      <c r="BB28" s="12">
        <f>VLOOKUP(A28,'Données projet'!$A$87:$I$107,9,0)</f>
        <v>6.8</v>
      </c>
      <c r="BC28" s="12">
        <f t="array" ref="BC28">INDEX(BB:BB,MIN(IF(ISNUMBER(BB28:BB224),ROW(BB28:BB224),"")))</f>
        <v>6.8</v>
      </c>
      <c r="BD28" s="12">
        <f>IF('Données projet'!$A$88&gt;35,BD27+BC28-BL27,IF(A28&lt;'Données projet'!$A$88,$BA$205^A28,IF(A28='Données projet'!$A$88,'Données projet'!$B$88,BD27+BC28-BL27)))</f>
        <v>99</v>
      </c>
      <c r="BE28" s="13">
        <f>BD28*VLOOKUP('Données projet'!$B$11,Paramètres!$A$1:$I$89,3,0)*VLOOKUP('Données projet'!$B$11,Paramètres!$A$1:$I$89,5,0)</f>
        <v>63.320399999999999</v>
      </c>
      <c r="BF28" s="13">
        <f t="shared" si="37"/>
        <v>18.005120560903215</v>
      </c>
      <c r="BG28" s="20">
        <f t="shared" si="7"/>
        <v>141.64194831023977</v>
      </c>
      <c r="BH28" s="59">
        <f t="shared" si="8"/>
        <v>369.67972227657185</v>
      </c>
      <c r="BI28" s="59">
        <f ca="1">AVERAGE(OFFSET($BH$3,0,0,'Données projet'!$E$11+1,1))-AVERAGE(OFFSET($H$3,0,0,'Données projet'!$E$11+1,1))</f>
        <v>169.46470423366029</v>
      </c>
      <c r="BJ28" s="59">
        <f t="shared" si="38"/>
        <v>230.78141128389288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12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113</v>
      </c>
      <c r="BW28" s="12">
        <f>VLOOKUP(A28,'Données projet'!$A$113:$I$133,9,0)</f>
        <v>1</v>
      </c>
      <c r="BX28" s="12">
        <f t="array" ref="BX28">INDEX(BW:BW,MIN(IF(ISNUMBER(BW28:BW224),ROW(BW28:BW224),"")))</f>
        <v>1</v>
      </c>
      <c r="BY28" s="12">
        <f>IF('Données projet'!$A$114&gt;35,BY27+BX28-CG27,IF(A28&lt;'Données projet'!$A$114,$BV$205^A28,IF(A28='Données projet'!$A$114,'Données projet'!$B$114,BY27+BX28-CG27)))</f>
        <v>112.99999999999997</v>
      </c>
      <c r="BZ28" s="13">
        <f>BY28*VLOOKUP('Données projet'!$B$12,Paramètres!$A$1:$I$89,3,0)*VLOOKUP('Données projet'!$B$12,Paramètres!$A$1:$I$89,5,0)</f>
        <v>98.716799999999978</v>
      </c>
      <c r="CA28" s="13">
        <f t="shared" si="39"/>
        <v>26.656063438447475</v>
      </c>
      <c r="CB28" s="20">
        <f t="shared" si="10"/>
        <v>218.35773715529595</v>
      </c>
      <c r="CC28" s="59">
        <f t="shared" si="11"/>
        <v>446.39551112162803</v>
      </c>
      <c r="CD28" s="59">
        <f ca="1">AVERAGE(OFFSET($CC$3,0,0,'Données projet'!$E$12+1,1))-AVERAGE(OFFSET($H$3,0,0,'Données projet'!$E$12+1,1))</f>
        <v>342.79161436526499</v>
      </c>
      <c r="CE28" s="59">
        <f t="shared" si="40"/>
        <v>315.50730924873733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30</v>
      </c>
      <c r="CR28" s="12">
        <f>VLOOKUP(A28,'Données projet'!$A$139:$I$159,9,0)</f>
        <v>1.2</v>
      </c>
      <c r="CS28" s="12">
        <f t="array" ref="CS28">INDEX(CR:CR,MIN(IF(ISNUMBER(CR28:CR224),ROW(CR28:CR224),"")))</f>
        <v>1.2</v>
      </c>
      <c r="CT28" s="12">
        <f>IF('Données projet'!$A$140&gt;35,CT27+CS28-DB27,IF(A28&lt;'Données projet'!$A$140,$CQ$205^A28,IF(A28='Données projet'!$A$140,'Données projet'!$B$140,CT27+CS28-DB27)))</f>
        <v>30</v>
      </c>
      <c r="CU28" s="17">
        <f>CT28*VLOOKUP('Données projet'!$B$13,Paramètres!$A$1:$I$89,3,0)*VLOOKUP('Données projet'!$B$13,Paramètres!$A$1:$I$89,5,0)</f>
        <v>20.124000000000002</v>
      </c>
      <c r="CV28" s="13">
        <f t="shared" si="41"/>
        <v>6.539040511923969</v>
      </c>
      <c r="CW28" s="20">
        <f t="shared" si="13"/>
        <v>46.438128891600911</v>
      </c>
      <c r="CX28" s="59">
        <f t="shared" si="14"/>
        <v>274.47590285793302</v>
      </c>
      <c r="CY28" s="59">
        <f ca="1">AVERAGE(OFFSET($CX$3,0,0,'Données projet'!$E$13+1,1))-AVERAGE(OFFSET($H$3,0,0,'Données projet'!$E$13+1,1))</f>
        <v>201.84651193684252</v>
      </c>
      <c r="CZ28" s="59">
        <f t="shared" si="42"/>
        <v>138.00705940844708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141</v>
      </c>
      <c r="DM28" s="12">
        <f>VLOOKUP(A28,'Données projet'!$A$165:$I$185,9,0)</f>
        <v>7.8</v>
      </c>
      <c r="DN28" s="12">
        <f t="array" ref="DN28">INDEX(DM:DM,MIN(IF(ISNUMBER(DM28:DM224),ROW(DM28:DM224),"")))</f>
        <v>7.8</v>
      </c>
      <c r="DO28" s="12">
        <f>IF('Données projet'!$A$166&gt;35,DO27+DN28-DW27,IF(A28&lt;'Données projet'!$A$166,$DL$205^A28,IF(A28='Données projet'!$A$166,'Données projet'!$B$166,DO27+DN28-DW27)))</f>
        <v>141.00000000000003</v>
      </c>
      <c r="DP28" s="17">
        <f>DO28*VLOOKUP('Données projet'!$B$14,Paramètres!$A$1:$I$89,3,0)*VLOOKUP('Données projet'!$B$14,Paramètres!$A$1:$I$89,5,0)</f>
        <v>103.38120000000002</v>
      </c>
      <c r="DQ28" s="13">
        <f t="shared" si="43"/>
        <v>27.765956260923325</v>
      </c>
      <c r="DR28" s="20">
        <f t="shared" si="16"/>
        <v>228.41463048777482</v>
      </c>
      <c r="DS28" s="59">
        <f t="shared" si="17"/>
        <v>456.45240445410695</v>
      </c>
      <c r="DT28" s="59">
        <f ca="1">AVERAGE(OFFSET($DS$3,0,0,'Données projet'!$E$14+1,1))-AVERAGE(OFFSET($H$3,0,0,'Données projet'!$E$14+1,1))</f>
        <v>242.21240859696931</v>
      </c>
      <c r="DU28" s="59">
        <f t="shared" si="44"/>
        <v>340.92165104349192</v>
      </c>
      <c r="DV28" s="15">
        <f>IF(ISNA(VLOOKUP(A28,'Données projet'!$A$165:$I$185,3,0)),0,VLOOKUP(A28,'Données projet'!$A$165:$I$185,3,0))</f>
        <v>4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8.6000000000000007E-2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30</v>
      </c>
      <c r="EH28" s="12">
        <f>VLOOKUP(A28,'Données projet'!$A$191:$I$211,9,0)</f>
        <v>1.2</v>
      </c>
      <c r="EI28" s="12">
        <f t="array" ref="EI28">INDEX(EH:EH,MIN(IF(ISNUMBER(EH28:EH224),ROW(EH28:EH224),"")))</f>
        <v>1.2</v>
      </c>
      <c r="EJ28" s="12">
        <f>IF('Données projet'!$A$192&gt;35,EJ27+EI28-ER27,IF(A28&lt;'Données projet'!$A$192,$EG$205^A28,IF(A28='Données projet'!$A$192,'Données projet'!$B$192,EJ27+EI28-ER27)))</f>
        <v>30</v>
      </c>
      <c r="EK28" s="17">
        <f>EJ28*VLOOKUP('Données projet'!$B$15,Paramètres!$A$1:$I$89,3,0)*VLOOKUP('Données projet'!$B$15,Paramètres!$A$1:$I$89,5,0)</f>
        <v>29.016000000000002</v>
      </c>
      <c r="EL28" s="13">
        <f t="shared" si="45"/>
        <v>9.0352172071357728</v>
      </c>
      <c r="EM28" s="20">
        <f t="shared" si="19"/>
        <v>66.272536635761469</v>
      </c>
      <c r="EN28" s="59">
        <f t="shared" si="20"/>
        <v>294.31031060209358</v>
      </c>
      <c r="EO28" s="59">
        <f ca="1">AVERAGE(OFFSET($EN$3,0,0,'Données projet'!$E$15+1,1))-AVERAGE(OFFSET($H$3,0,0,'Données projet'!$E$15+1,1))</f>
        <v>331.7059599630698</v>
      </c>
      <c r="EP28" s="59">
        <f t="shared" si="46"/>
        <v>173.19148969173838</v>
      </c>
      <c r="EQ28" s="15">
        <f>IF(ISNA(VLOOKUP(A28,'Données projet'!$A$191:$I$211,3,0)),0,VLOOKUP(A28,'Données projet'!$A$191:$I$211,3,0))</f>
        <v>1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30</v>
      </c>
      <c r="FC28" s="12">
        <f>VLOOKUP(A28,'Données projet'!$A$217:$I$237,9,0)</f>
        <v>1.2</v>
      </c>
      <c r="FD28" s="12">
        <f t="array" ref="FD28">INDEX(FC:FC,MIN(IF(ISNUMBER(FC28:FC224),ROW(FC28:FC224),"")))</f>
        <v>1.2</v>
      </c>
      <c r="FE28" s="12">
        <f>IF('Données projet'!$A$218&gt;35,FE27+FD28-FM27,IF(A28&lt;'Données projet'!$A$218,$FB$205^A28,IF(A28='Données projet'!$A$218,'Données projet'!$B$218,FE27+FD28-FM27)))</f>
        <v>30</v>
      </c>
      <c r="FF28" s="17">
        <f>FE28*VLOOKUP('Données projet'!$B$16,Paramètres!$A$1:$I$89,3,0)*VLOOKUP('Données projet'!$B$16,Paramètres!$A$1:$I$89,5,0)</f>
        <v>32.292000000000002</v>
      </c>
      <c r="FG28" s="13">
        <f t="shared" si="47"/>
        <v>9.9308942483743401</v>
      </c>
      <c r="FH28" s="20">
        <f t="shared" si="22"/>
        <v>73.538207482585321</v>
      </c>
      <c r="FI28" s="59">
        <f t="shared" si="23"/>
        <v>301.57598144891745</v>
      </c>
      <c r="FJ28" s="59">
        <f ca="1">AVERAGE(OFFSET($FI$3,0,0,'Données projet'!$E$16+1,1))-AVERAGE(OFFSET($H$3,0,0,'Données projet'!$E$16+1,1))</f>
        <v>360.86062459677004</v>
      </c>
      <c r="FK28" s="59">
        <f t="shared" si="48"/>
        <v>186.0840067781198</v>
      </c>
      <c r="FL28" s="15">
        <f>IF(ISNA(VLOOKUP(A28,'Données projet'!$A$217:$I$237,3,0)),0,VLOOKUP(A28,'Données projet'!$A$217:$I$237,3,0))</f>
        <v>1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70</v>
      </c>
      <c r="FX28" s="12">
        <f>VLOOKUP(A28,'Données projet'!$A$243:$I$263,9,0)</f>
        <v>5.6</v>
      </c>
      <c r="FY28" s="12">
        <f t="array" ref="FY28">INDEX(FX:FX,MIN(IF(ISNUMBER(FX28:FX224),ROW(FX28:FX224),"")))</f>
        <v>5.6</v>
      </c>
      <c r="FZ28" s="12">
        <f>IF('Données projet'!$A$244&gt;35,FZ27+FY28-GH27,IF(A28&lt;'Données projet'!$A$244,$FW$205^A28,IF(A28='Données projet'!$A$244,'Données projet'!$B$244,FZ27+FY28-GH27)))</f>
        <v>70</v>
      </c>
      <c r="GA28" s="17">
        <f>FZ28*VLOOKUP('Données projet'!$B$17,Paramètres!$A$1:$I$89,3,0)*VLOOKUP('Données projet'!$B$17,Paramètres!$A$1:$I$89,5,0)</f>
        <v>70.98</v>
      </c>
      <c r="GB28" s="13">
        <f t="shared" si="49"/>
        <v>19.916628839746853</v>
      </c>
      <c r="GC28" s="20">
        <f t="shared" si="25"/>
        <v>158.31162856255909</v>
      </c>
      <c r="GD28" s="59">
        <f t="shared" si="26"/>
        <v>386.34940252889123</v>
      </c>
      <c r="GE28" s="59">
        <f ca="1">AVERAGE(OFFSET($GD$3,0,0,'Données projet'!$E$17+1,1))-AVERAGE(OFFSET($H$3,0,0,'Données projet'!$E$17+1,1))</f>
        <v>448.73339628506784</v>
      </c>
      <c r="GF28" s="59">
        <f t="shared" si="50"/>
        <v>273.35778700650803</v>
      </c>
      <c r="GG28" s="15">
        <f>IF(ISNA(VLOOKUP(A28,'Données projet'!$A$243:$I$263,3,0)),0,VLOOKUP(A28,'Données projet'!$A$243:$I$263,3,0))</f>
        <v>2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5.4</v>
      </c>
      <c r="N29" s="13">
        <f>IF('Données projet'!$A$36&gt;35,N28+M29-V28,IF(A29&lt;'Données projet'!$A$36,$K$205^A29,IF(A29='Données projet'!$A$36,'Données projet'!$B$36,N28+M29-V28)))</f>
        <v>75.400000000000006</v>
      </c>
      <c r="O29" s="13">
        <f>N29*VLOOKUP('Données projet'!$B$9,Paramètres!$A$1:$I$89,3,0)*VLOOKUP('Données projet'!$B$9,Paramètres!$A$1:$I$89,5,0)</f>
        <v>68.221919999999997</v>
      </c>
      <c r="P29" s="13">
        <f t="shared" si="33"/>
        <v>19.23123860664986</v>
      </c>
      <c r="Q29" s="20">
        <f t="shared" si="2"/>
        <v>152.31425123991514</v>
      </c>
      <c r="R29" s="59">
        <f t="shared" si="0"/>
        <v>382.60096528910532</v>
      </c>
      <c r="S29" s="59">
        <f ca="1">AVERAGE(OFFSET($R$3,0,0,'Données projet'!$E$9+1,1))-AVERAGE(OFFSET($H$3,0,0,'Données projet'!$E$9+1,1))</f>
        <v>408.51124670343137</v>
      </c>
      <c r="T29" s="59">
        <f t="shared" si="34"/>
        <v>250.47702091764884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6.2</v>
      </c>
      <c r="AI29" s="13">
        <f>IF('Données projet'!$A$62&gt;35,AI28+AH29-AQ28,IF(A29&lt;'Données projet'!$A$62,$AF$205^A29,IF(A29='Données projet'!$A$62,'Données projet'!$B$62,AI28+AH29-AQ28)))</f>
        <v>121.2</v>
      </c>
      <c r="AJ29" s="13">
        <f>AI29*VLOOKUP('Données projet'!$B$10,Paramètres!$A$1:$I$89,3,0)*VLOOKUP('Données projet'!$B$10,Paramètres!$A$1:$I$89,5,0)</f>
        <v>96.426720000000017</v>
      </c>
      <c r="AK29" s="13">
        <f t="shared" si="35"/>
        <v>26.108918492824891</v>
      </c>
      <c r="AL29" s="20">
        <f t="shared" si="4"/>
        <v>213.41623704167003</v>
      </c>
      <c r="AM29" s="59">
        <f t="shared" si="5"/>
        <v>443.70295109086021</v>
      </c>
      <c r="AN29" s="59">
        <f ca="1">AVERAGE(OFFSET($AM$3,0,0,'Données projet'!$E$10+1,1))-AVERAGE(OFFSET($H$3,0,0,'Données projet'!$E$10+1,1))</f>
        <v>327.22763817565902</v>
      </c>
      <c r="AO29" s="59">
        <f t="shared" si="36"/>
        <v>311.68541696405975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7.2</v>
      </c>
      <c r="BD29" s="12">
        <f>IF('Données projet'!$A$88&gt;35,BD28+BC29-BL28,IF(A29&lt;'Données projet'!$A$88,$BA$205^A29,IF(A29='Données projet'!$A$88,'Données projet'!$B$88,BD28+BC29-BL28)))</f>
        <v>94.2</v>
      </c>
      <c r="BE29" s="13">
        <f>BD29*VLOOKUP('Données projet'!$B$11,Paramètres!$A$1:$I$89,3,0)*VLOOKUP('Données projet'!$B$11,Paramètres!$A$1:$I$89,5,0)</f>
        <v>60.250320000000002</v>
      </c>
      <c r="BF29" s="13">
        <f t="shared" si="37"/>
        <v>17.231542418923954</v>
      </c>
      <c r="BG29" s="20">
        <f t="shared" si="7"/>
        <v>134.94757704629254</v>
      </c>
      <c r="BH29" s="59">
        <f t="shared" si="8"/>
        <v>365.23429109548272</v>
      </c>
      <c r="BI29" s="59">
        <f ca="1">AVERAGE(OFFSET($BH$3,0,0,'Données projet'!$E$11+1,1))-AVERAGE(OFFSET($H$3,0,0,'Données projet'!$E$11+1,1))</f>
        <v>169.46470423366029</v>
      </c>
      <c r="BJ29" s="59">
        <f t="shared" si="38"/>
        <v>230.78141128389288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4.4000000000000004</v>
      </c>
      <c r="BY29" s="12">
        <f>IF('Données projet'!$A$114&gt;35,BY28+BX29-CG28,IF(A29&lt;'Données projet'!$A$114,$BV$205^A29,IF(A29='Données projet'!$A$114,'Données projet'!$B$114,BY28+BX29-CG28)))</f>
        <v>117.39999999999998</v>
      </c>
      <c r="BZ29" s="13">
        <f>BY29*VLOOKUP('Données projet'!$B$12,Paramètres!$A$1:$I$89,3,0)*VLOOKUP('Données projet'!$B$12,Paramètres!$A$1:$I$89,5,0)</f>
        <v>102.56064000000001</v>
      </c>
      <c r="CA29" s="13">
        <f t="shared" si="39"/>
        <v>27.571134131783779</v>
      </c>
      <c r="CB29" s="20">
        <f t="shared" si="10"/>
        <v>226.64617327952342</v>
      </c>
      <c r="CC29" s="59">
        <f t="shared" si="11"/>
        <v>456.9328873287136</v>
      </c>
      <c r="CD29" s="59">
        <f ca="1">AVERAGE(OFFSET($CC$3,0,0,'Données projet'!$E$12+1,1))-AVERAGE(OFFSET($H$3,0,0,'Données projet'!$E$12+1,1))</f>
        <v>342.79161436526499</v>
      </c>
      <c r="CE29" s="59">
        <f t="shared" si="40"/>
        <v>315.50730924873733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4.8</v>
      </c>
      <c r="CT29" s="12">
        <f>IF('Données projet'!$A$140&gt;35,CT28+CS29-DB28,IF(A29&lt;'Données projet'!$A$140,$CQ$205^A29,IF(A29='Données projet'!$A$140,'Données projet'!$B$140,CT28+CS29-DB28)))</f>
        <v>34.799999999999997</v>
      </c>
      <c r="CU29" s="17">
        <f>CT29*VLOOKUP('Données projet'!$B$13,Paramètres!$A$1:$I$89,3,0)*VLOOKUP('Données projet'!$B$13,Paramètres!$A$1:$I$89,5,0)</f>
        <v>23.34384</v>
      </c>
      <c r="CV29" s="13">
        <f t="shared" si="41"/>
        <v>7.4553683777741586</v>
      </c>
      <c r="CW29" s="20">
        <f t="shared" si="13"/>
        <v>53.641954591289988</v>
      </c>
      <c r="CX29" s="59">
        <f t="shared" si="14"/>
        <v>283.92866864048017</v>
      </c>
      <c r="CY29" s="59">
        <f ca="1">AVERAGE(OFFSET($CX$3,0,0,'Données projet'!$E$13+1,1))-AVERAGE(OFFSET($H$3,0,0,'Données projet'!$E$13+1,1))</f>
        <v>201.84651193684252</v>
      </c>
      <c r="CZ29" s="59">
        <f t="shared" si="42"/>
        <v>138.00705940844708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7.2</v>
      </c>
      <c r="DO29" s="12">
        <f>IF('Données projet'!$A$166&gt;35,DO28+DN29-DW28,IF(A29&lt;'Données projet'!$A$166,$DL$205^A29,IF(A29='Données projet'!$A$166,'Données projet'!$B$166,DO28+DN29-DW28)))</f>
        <v>148.20000000000002</v>
      </c>
      <c r="DP29" s="17">
        <f>DO29*VLOOKUP('Données projet'!$B$14,Paramètres!$A$1:$I$89,3,0)*VLOOKUP('Données projet'!$B$14,Paramètres!$A$1:$I$89,5,0)</f>
        <v>108.66024000000002</v>
      </c>
      <c r="DQ29" s="13">
        <f t="shared" si="43"/>
        <v>29.015101890437414</v>
      </c>
      <c r="DR29" s="20">
        <f t="shared" si="16"/>
        <v>239.78455379251184</v>
      </c>
      <c r="DS29" s="59">
        <f t="shared" si="17"/>
        <v>470.07126784170202</v>
      </c>
      <c r="DT29" s="59">
        <f ca="1">AVERAGE(OFFSET($DS$3,0,0,'Données projet'!$E$14+1,1))-AVERAGE(OFFSET($H$3,0,0,'Données projet'!$E$14+1,1))</f>
        <v>242.21240859696931</v>
      </c>
      <c r="DU29" s="59">
        <f t="shared" si="44"/>
        <v>340.92165104349192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4.8</v>
      </c>
      <c r="EJ29" s="12">
        <f>IF('Données projet'!$A$192&gt;35,EJ28+EI29-ER28,IF(A29&lt;'Données projet'!$A$192,$EG$205^A29,IF(A29='Données projet'!$A$192,'Données projet'!$B$192,EJ28+EI29-ER28)))</f>
        <v>34.799999999999997</v>
      </c>
      <c r="EK29" s="17">
        <f>EJ29*VLOOKUP('Données projet'!$B$15,Paramètres!$A$1:$I$89,3,0)*VLOOKUP('Données projet'!$B$15,Paramètres!$A$1:$I$89,5,0)</f>
        <v>33.658559999999994</v>
      </c>
      <c r="EL29" s="13">
        <f t="shared" si="45"/>
        <v>10.301338939492439</v>
      </c>
      <c r="EM29" s="20">
        <f t="shared" si="19"/>
        <v>76.563490652949312</v>
      </c>
      <c r="EN29" s="59">
        <f t="shared" si="20"/>
        <v>306.85020470213948</v>
      </c>
      <c r="EO29" s="59">
        <f ca="1">AVERAGE(OFFSET($EN$3,0,0,'Données projet'!$E$15+1,1))-AVERAGE(OFFSET($H$3,0,0,'Données projet'!$E$15+1,1))</f>
        <v>331.7059599630698</v>
      </c>
      <c r="EP29" s="59">
        <f t="shared" si="46"/>
        <v>173.19148969173838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4.8</v>
      </c>
      <c r="FE29" s="12">
        <f>IF('Données projet'!$A$218&gt;35,FE28+FD29-FM28,IF(A29&lt;'Données projet'!$A$218,$FB$205^A29,IF(A29='Données projet'!$A$218,'Données projet'!$B$218,FE28+FD29-FM28)))</f>
        <v>34.799999999999997</v>
      </c>
      <c r="FF29" s="17">
        <f>FE29*VLOOKUP('Données projet'!$B$16,Paramètres!$A$1:$I$89,3,0)*VLOOKUP('Données projet'!$B$16,Paramètres!$A$1:$I$89,5,0)</f>
        <v>37.45872</v>
      </c>
      <c r="FG29" s="13">
        <f t="shared" si="47"/>
        <v>11.322528864493165</v>
      </c>
      <c r="FH29" s="20">
        <f t="shared" si="22"/>
        <v>84.960675105658922</v>
      </c>
      <c r="FI29" s="59">
        <f t="shared" si="23"/>
        <v>315.24738915484909</v>
      </c>
      <c r="FJ29" s="59">
        <f ca="1">AVERAGE(OFFSET($FI$3,0,0,'Données projet'!$E$16+1,1))-AVERAGE(OFFSET($H$3,0,0,'Données projet'!$E$16+1,1))</f>
        <v>360.86062459677004</v>
      </c>
      <c r="FK29" s="59">
        <f t="shared" si="48"/>
        <v>186.0840067781198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5.4</v>
      </c>
      <c r="FZ29" s="12">
        <f>IF('Données projet'!$A$244&gt;35,FZ28+FY29-GH28,IF(A29&lt;'Données projet'!$A$244,$FW$205^A29,IF(A29='Données projet'!$A$244,'Données projet'!$B$244,FZ28+FY29-GH28)))</f>
        <v>75.400000000000006</v>
      </c>
      <c r="GA29" s="17">
        <f>FZ29*VLOOKUP('Données projet'!$B$17,Paramètres!$A$1:$I$89,3,0)*VLOOKUP('Données projet'!$B$17,Paramètres!$A$1:$I$89,5,0)</f>
        <v>76.455600000000004</v>
      </c>
      <c r="GB29" s="13">
        <f t="shared" si="49"/>
        <v>21.268287536105685</v>
      </c>
      <c r="GC29" s="20">
        <f t="shared" si="25"/>
        <v>170.20243745871741</v>
      </c>
      <c r="GD29" s="59">
        <f t="shared" si="26"/>
        <v>400.48915150790759</v>
      </c>
      <c r="GE29" s="59">
        <f ca="1">AVERAGE(OFFSET($GD$3,0,0,'Données projet'!$E$17+1,1))-AVERAGE(OFFSET($H$3,0,0,'Données projet'!$E$17+1,1))</f>
        <v>448.73339628506784</v>
      </c>
      <c r="GF29" s="59">
        <f t="shared" si="50"/>
        <v>273.35778700650803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5.4</v>
      </c>
      <c r="N30" s="13">
        <f>IF('Données projet'!$A$36&gt;35,N29+M30-V29,IF(A30&lt;'Données projet'!$A$36,$K$205^A30,IF(A30='Données projet'!$A$36,'Données projet'!$B$36,N29+M30-V29)))</f>
        <v>80.800000000000011</v>
      </c>
      <c r="O30" s="13">
        <f>N30*VLOOKUP('Données projet'!$B$9,Paramètres!$A$1:$I$89,3,0)*VLOOKUP('Données projet'!$B$9,Paramètres!$A$1:$I$89,5,0)</f>
        <v>73.10784000000001</v>
      </c>
      <c r="P30" s="13">
        <f t="shared" si="33"/>
        <v>20.443281718403117</v>
      </c>
      <c r="Q30" s="20">
        <f t="shared" si="2"/>
        <v>162.93487032621877</v>
      </c>
      <c r="R30" s="59">
        <f t="shared" si="0"/>
        <v>395.45271319878225</v>
      </c>
      <c r="S30" s="59">
        <f ca="1">AVERAGE(OFFSET($R$3,0,0,'Données projet'!$E$9+1,1))-AVERAGE(OFFSET($H$3,0,0,'Données projet'!$E$9+1,1))</f>
        <v>408.51124670343137</v>
      </c>
      <c r="T30" s="59">
        <f t="shared" si="34"/>
        <v>250.47702091764884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6.2</v>
      </c>
      <c r="AI30" s="13">
        <f>IF('Données projet'!$A$62&gt;35,AI29+AH30-AQ29,IF(A30&lt;'Données projet'!$A$62,$AF$205^A30,IF(A30='Données projet'!$A$62,'Données projet'!$B$62,AI29+AH30-AQ29)))</f>
        <v>127.4</v>
      </c>
      <c r="AJ30" s="13">
        <f>AI30*VLOOKUP('Données projet'!$B$10,Paramètres!$A$1:$I$89,3,0)*VLOOKUP('Données projet'!$B$10,Paramètres!$A$1:$I$89,5,0)</f>
        <v>101.35944000000001</v>
      </c>
      <c r="AK30" s="13">
        <f t="shared" si="35"/>
        <v>27.285610426884986</v>
      </c>
      <c r="AL30" s="20">
        <f t="shared" si="4"/>
        <v>224.05679616015803</v>
      </c>
      <c r="AM30" s="59">
        <f t="shared" si="5"/>
        <v>456.57463903272151</v>
      </c>
      <c r="AN30" s="59">
        <f ca="1">AVERAGE(OFFSET($AM$3,0,0,'Données projet'!$E$10+1,1))-AVERAGE(OFFSET($H$3,0,0,'Données projet'!$E$10+1,1))</f>
        <v>327.22763817565902</v>
      </c>
      <c r="AO30" s="59">
        <f t="shared" si="36"/>
        <v>311.68541696405975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7.2</v>
      </c>
      <c r="BD30" s="12">
        <f>IF('Données projet'!$A$88&gt;35,BD29+BC30-BL29,IF(A30&lt;'Données projet'!$A$88,$BA$205^A30,IF(A30='Données projet'!$A$88,'Données projet'!$B$88,BD29+BC30-BL29)))</f>
        <v>101.4</v>
      </c>
      <c r="BE30" s="13">
        <f>BD30*VLOOKUP('Données projet'!$B$11,Paramètres!$A$1:$I$89,3,0)*VLOOKUP('Données projet'!$B$11,Paramètres!$A$1:$I$89,5,0)</f>
        <v>64.855440000000002</v>
      </c>
      <c r="BF30" s="13">
        <f t="shared" si="37"/>
        <v>18.390261842318516</v>
      </c>
      <c r="BG30" s="20">
        <f t="shared" si="7"/>
        <v>144.98626404203807</v>
      </c>
      <c r="BH30" s="59">
        <f t="shared" si="8"/>
        <v>377.50410691460161</v>
      </c>
      <c r="BI30" s="59">
        <f ca="1">AVERAGE(OFFSET($BH$3,0,0,'Données projet'!$E$11+1,1))-AVERAGE(OFFSET($H$3,0,0,'Données projet'!$E$11+1,1))</f>
        <v>169.46470423366029</v>
      </c>
      <c r="BJ30" s="59">
        <f t="shared" si="38"/>
        <v>230.78141128389288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4.4000000000000004</v>
      </c>
      <c r="BY30" s="12">
        <f>IF('Données projet'!$A$114&gt;35,BY29+BX30-CG29,IF(A30&lt;'Données projet'!$A$114,$BV$205^A30,IF(A30='Données projet'!$A$114,'Données projet'!$B$114,BY29+BX30-CG29)))</f>
        <v>121.79999999999998</v>
      </c>
      <c r="BZ30" s="13">
        <f>BY30*VLOOKUP('Données projet'!$B$12,Paramètres!$A$1:$I$89,3,0)*VLOOKUP('Données projet'!$B$12,Paramètres!$A$1:$I$89,5,0)</f>
        <v>106.40448000000001</v>
      </c>
      <c r="CA30" s="13">
        <f t="shared" si="39"/>
        <v>28.482220519479547</v>
      </c>
      <c r="CB30" s="20">
        <f t="shared" si="10"/>
        <v>234.92767007142686</v>
      </c>
      <c r="CC30" s="59">
        <f t="shared" si="11"/>
        <v>467.44551294399037</v>
      </c>
      <c r="CD30" s="59">
        <f ca="1">AVERAGE(OFFSET($CC$3,0,0,'Données projet'!$E$12+1,1))-AVERAGE(OFFSET($H$3,0,0,'Données projet'!$E$12+1,1))</f>
        <v>342.79161436526499</v>
      </c>
      <c r="CE30" s="59">
        <f t="shared" si="40"/>
        <v>315.50730924873733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4.8</v>
      </c>
      <c r="CT30" s="12">
        <f>IF('Données projet'!$A$140&gt;35,CT29+CS30-DB29,IF(A30&lt;'Données projet'!$A$140,$CQ$205^A30,IF(A30='Données projet'!$A$140,'Données projet'!$B$140,CT29+CS30-DB29)))</f>
        <v>39.599999999999994</v>
      </c>
      <c r="CU30" s="17">
        <f>CT30*VLOOKUP('Données projet'!$B$13,Paramètres!$A$1:$I$89,3,0)*VLOOKUP('Données projet'!$B$13,Paramètres!$A$1:$I$89,5,0)</f>
        <v>26.563679999999998</v>
      </c>
      <c r="CV30" s="13">
        <f t="shared" si="41"/>
        <v>8.3570529453561306</v>
      </c>
      <c r="CW30" s="20">
        <f t="shared" si="13"/>
        <v>60.820276546495258</v>
      </c>
      <c r="CX30" s="59">
        <f t="shared" si="14"/>
        <v>293.33811941905878</v>
      </c>
      <c r="CY30" s="59">
        <f ca="1">AVERAGE(OFFSET($CX$3,0,0,'Données projet'!$E$13+1,1))-AVERAGE(OFFSET($H$3,0,0,'Données projet'!$E$13+1,1))</f>
        <v>201.84651193684252</v>
      </c>
      <c r="CZ30" s="59">
        <f t="shared" si="42"/>
        <v>138.00705940844708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7.2</v>
      </c>
      <c r="DO30" s="12">
        <f>IF('Données projet'!$A$166&gt;35,DO29+DN30-DW29,IF(A30&lt;'Données projet'!$A$166,$DL$205^A30,IF(A30='Données projet'!$A$166,'Données projet'!$B$166,DO29+DN30-DW29)))</f>
        <v>155.4</v>
      </c>
      <c r="DP30" s="17">
        <f>DO30*VLOOKUP('Données projet'!$B$14,Paramètres!$A$1:$I$89,3,0)*VLOOKUP('Données projet'!$B$14,Paramètres!$A$1:$I$89,5,0)</f>
        <v>113.93928</v>
      </c>
      <c r="DQ30" s="13">
        <f t="shared" si="43"/>
        <v>30.257200534714013</v>
      </c>
      <c r="DR30" s="20">
        <f t="shared" si="16"/>
        <v>251.14220359796022</v>
      </c>
      <c r="DS30" s="59">
        <f t="shared" si="17"/>
        <v>483.66004647052375</v>
      </c>
      <c r="DT30" s="59">
        <f ca="1">AVERAGE(OFFSET($DS$3,0,0,'Données projet'!$E$14+1,1))-AVERAGE(OFFSET($H$3,0,0,'Données projet'!$E$14+1,1))</f>
        <v>242.21240859696931</v>
      </c>
      <c r="DU30" s="59">
        <f t="shared" si="44"/>
        <v>340.92165104349192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4.8</v>
      </c>
      <c r="EJ30" s="12">
        <f>IF('Données projet'!$A$192&gt;35,EJ29+EI30-ER29,IF(A30&lt;'Données projet'!$A$192,$EG$205^A30,IF(A30='Données projet'!$A$192,'Données projet'!$B$192,EJ29+EI30-ER29)))</f>
        <v>39.599999999999994</v>
      </c>
      <c r="EK30" s="17">
        <f>EJ30*VLOOKUP('Données projet'!$B$15,Paramètres!$A$1:$I$89,3,0)*VLOOKUP('Données projet'!$B$15,Paramètres!$A$1:$I$89,5,0)</f>
        <v>38.301119999999997</v>
      </c>
      <c r="EL30" s="13">
        <f t="shared" si="45"/>
        <v>11.547227522927502</v>
      </c>
      <c r="EM30" s="20">
        <f t="shared" si="19"/>
        <v>86.819205269098731</v>
      </c>
      <c r="EN30" s="59">
        <f t="shared" si="20"/>
        <v>319.33704814166225</v>
      </c>
      <c r="EO30" s="59">
        <f ca="1">AVERAGE(OFFSET($EN$3,0,0,'Données projet'!$E$15+1,1))-AVERAGE(OFFSET($H$3,0,0,'Données projet'!$E$15+1,1))</f>
        <v>331.7059599630698</v>
      </c>
      <c r="EP30" s="59">
        <f t="shared" si="46"/>
        <v>173.19148969173838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4.8</v>
      </c>
      <c r="FE30" s="12">
        <f>IF('Données projet'!$A$218&gt;35,FE29+FD30-FM29,IF(A30&lt;'Données projet'!$A$218,$FB$205^A30,IF(A30='Données projet'!$A$218,'Données projet'!$B$218,FE29+FD30-FM29)))</f>
        <v>39.599999999999994</v>
      </c>
      <c r="FF30" s="17">
        <f>FE30*VLOOKUP('Données projet'!$B$16,Paramètres!$A$1:$I$89,3,0)*VLOOKUP('Données projet'!$B$16,Paramètres!$A$1:$I$89,5,0)</f>
        <v>42.62543999999999</v>
      </c>
      <c r="FG30" s="13">
        <f t="shared" si="47"/>
        <v>12.691924583898647</v>
      </c>
      <c r="FH30" s="20">
        <f t="shared" si="22"/>
        <v>96.34440998362345</v>
      </c>
      <c r="FI30" s="59">
        <f t="shared" si="23"/>
        <v>328.86225285618696</v>
      </c>
      <c r="FJ30" s="59">
        <f ca="1">AVERAGE(OFFSET($FI$3,0,0,'Données projet'!$E$16+1,1))-AVERAGE(OFFSET($H$3,0,0,'Données projet'!$E$16+1,1))</f>
        <v>360.86062459677004</v>
      </c>
      <c r="FK30" s="59">
        <f t="shared" si="48"/>
        <v>186.0840067781198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5.4</v>
      </c>
      <c r="FZ30" s="12">
        <f>IF('Données projet'!$A$244&gt;35,FZ29+FY30-GH29,IF(A30&lt;'Données projet'!$A$244,$FW$205^A30,IF(A30='Données projet'!$A$244,'Données projet'!$B$244,FZ29+FY30-GH29)))</f>
        <v>80.800000000000011</v>
      </c>
      <c r="GA30" s="17">
        <f>FZ30*VLOOKUP('Données projet'!$B$17,Paramètres!$A$1:$I$89,3,0)*VLOOKUP('Données projet'!$B$17,Paramètres!$A$1:$I$89,5,0)</f>
        <v>81.931200000000018</v>
      </c>
      <c r="GB30" s="13">
        <f t="shared" si="49"/>
        <v>22.608715052719766</v>
      </c>
      <c r="GC30" s="20">
        <f t="shared" si="25"/>
        <v>182.07368538348692</v>
      </c>
      <c r="GD30" s="59">
        <f t="shared" si="26"/>
        <v>414.59152825605042</v>
      </c>
      <c r="GE30" s="59">
        <f ca="1">AVERAGE(OFFSET($GD$3,0,0,'Données projet'!$E$17+1,1))-AVERAGE(OFFSET($H$3,0,0,'Données projet'!$E$17+1,1))</f>
        <v>448.73339628506784</v>
      </c>
      <c r="GF30" s="59">
        <f t="shared" si="50"/>
        <v>273.35778700650803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5.4</v>
      </c>
      <c r="N31" s="13">
        <f>IF('Données projet'!$A$36&gt;35,N30+M31-V30,IF(A31&lt;'Données projet'!$A$36,$K$205^A31,IF(A31='Données projet'!$A$36,'Données projet'!$B$36,N30+M31-V30)))</f>
        <v>86.200000000000017</v>
      </c>
      <c r="O31" s="13">
        <f>N31*VLOOKUP('Données projet'!$B$9,Paramètres!$A$1:$I$89,3,0)*VLOOKUP('Données projet'!$B$9,Paramètres!$A$1:$I$89,5,0)</f>
        <v>77.993760000000023</v>
      </c>
      <c r="P31" s="13">
        <f t="shared" si="33"/>
        <v>21.645925290308433</v>
      </c>
      <c r="Q31" s="20">
        <f t="shared" si="2"/>
        <v>173.53911854728722</v>
      </c>
      <c r="R31" s="59">
        <f t="shared" si="0"/>
        <v>408.27058796927133</v>
      </c>
      <c r="S31" s="59">
        <f ca="1">AVERAGE(OFFSET($R$3,0,0,'Données projet'!$E$9+1,1))-AVERAGE(OFFSET($H$3,0,0,'Données projet'!$E$9+1,1))</f>
        <v>408.51124670343137</v>
      </c>
      <c r="T31" s="59">
        <f t="shared" si="34"/>
        <v>250.47702091764884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6.2</v>
      </c>
      <c r="AI31" s="13">
        <f>IF('Données projet'!$A$62&gt;35,AI30+AH31-AQ30,IF(A31&lt;'Données projet'!$A$62,$AF$205^A31,IF(A31='Données projet'!$A$62,'Données projet'!$B$62,AI30+AH31-AQ30)))</f>
        <v>133.6</v>
      </c>
      <c r="AJ31" s="13">
        <f>AI31*VLOOKUP('Données projet'!$B$10,Paramètres!$A$1:$I$89,3,0)*VLOOKUP('Données projet'!$B$10,Paramètres!$A$1:$I$89,5,0)</f>
        <v>106.29216</v>
      </c>
      <c r="AK31" s="13">
        <f t="shared" si="35"/>
        <v>28.455652852200942</v>
      </c>
      <c r="AL31" s="20">
        <f t="shared" si="4"/>
        <v>234.68577405091659</v>
      </c>
      <c r="AM31" s="59">
        <f t="shared" si="5"/>
        <v>469.41724347290068</v>
      </c>
      <c r="AN31" s="59">
        <f ca="1">AVERAGE(OFFSET($AM$3,0,0,'Données projet'!$E$10+1,1))-AVERAGE(OFFSET($H$3,0,0,'Données projet'!$E$10+1,1))</f>
        <v>327.22763817565902</v>
      </c>
      <c r="AO31" s="59">
        <f t="shared" si="36"/>
        <v>311.68541696405975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7.2</v>
      </c>
      <c r="BD31" s="12">
        <f>IF('Données projet'!$A$88&gt;35,BD30+BC31-BL30,IF(A31&lt;'Données projet'!$A$88,$BA$205^A31,IF(A31='Données projet'!$A$88,'Données projet'!$B$88,BD30+BC31-BL30)))</f>
        <v>108.60000000000001</v>
      </c>
      <c r="BE31" s="13">
        <f>BD31*VLOOKUP('Données projet'!$B$11,Paramètres!$A$1:$I$89,3,0)*VLOOKUP('Données projet'!$B$11,Paramètres!$A$1:$I$89,5,0)</f>
        <v>69.460560000000001</v>
      </c>
      <c r="BF31" s="13">
        <f t="shared" si="37"/>
        <v>19.539435351393045</v>
      </c>
      <c r="BG31" s="20">
        <f t="shared" si="7"/>
        <v>155.00832523700953</v>
      </c>
      <c r="BH31" s="59">
        <f t="shared" si="8"/>
        <v>389.73979465899362</v>
      </c>
      <c r="BI31" s="59">
        <f ca="1">AVERAGE(OFFSET($BH$3,0,0,'Données projet'!$E$11+1,1))-AVERAGE(OFFSET($H$3,0,0,'Données projet'!$E$11+1,1))</f>
        <v>169.46470423366029</v>
      </c>
      <c r="BJ31" s="59">
        <f t="shared" si="38"/>
        <v>230.78141128389288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4.4000000000000004</v>
      </c>
      <c r="BY31" s="12">
        <f>IF('Données projet'!$A$114&gt;35,BY30+BX31-CG30,IF(A31&lt;'Données projet'!$A$114,$BV$205^A31,IF(A31='Données projet'!$A$114,'Données projet'!$B$114,BY30+BX31-CG30)))</f>
        <v>126.19999999999999</v>
      </c>
      <c r="BZ31" s="13">
        <f>BY31*VLOOKUP('Données projet'!$B$12,Paramètres!$A$1:$I$89,3,0)*VLOOKUP('Données projet'!$B$12,Paramètres!$A$1:$I$89,5,0)</f>
        <v>110.24831999999999</v>
      </c>
      <c r="CA31" s="13">
        <f t="shared" si="39"/>
        <v>29.389483021072536</v>
      </c>
      <c r="CB31" s="20">
        <f t="shared" si="10"/>
        <v>243.20250692836802</v>
      </c>
      <c r="CC31" s="59">
        <f t="shared" si="11"/>
        <v>477.93397635035211</v>
      </c>
      <c r="CD31" s="59">
        <f ca="1">AVERAGE(OFFSET($CC$3,0,0,'Données projet'!$E$12+1,1))-AVERAGE(OFFSET($H$3,0,0,'Données projet'!$E$12+1,1))</f>
        <v>342.79161436526499</v>
      </c>
      <c r="CE31" s="59">
        <f t="shared" si="40"/>
        <v>315.50730924873733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4.8</v>
      </c>
      <c r="CT31" s="12">
        <f>IF('Données projet'!$A$140&gt;35,CT30+CS31-DB30,IF(A31&lt;'Données projet'!$A$140,$CQ$205^A31,IF(A31='Données projet'!$A$140,'Données projet'!$B$140,CT30+CS31-DB30)))</f>
        <v>44.399999999999991</v>
      </c>
      <c r="CU31" s="17">
        <f>CT31*VLOOKUP('Données projet'!$B$13,Paramètres!$A$1:$I$89,3,0)*VLOOKUP('Données projet'!$B$13,Paramètres!$A$1:$I$89,5,0)</f>
        <v>29.783519999999992</v>
      </c>
      <c r="CV31" s="13">
        <f t="shared" si="41"/>
        <v>9.2460721855042003</v>
      </c>
      <c r="CW31" s="20">
        <f t="shared" si="13"/>
        <v>67.976539723086475</v>
      </c>
      <c r="CX31" s="59">
        <f t="shared" si="14"/>
        <v>302.70800914507055</v>
      </c>
      <c r="CY31" s="59">
        <f ca="1">AVERAGE(OFFSET($CX$3,0,0,'Données projet'!$E$13+1,1))-AVERAGE(OFFSET($H$3,0,0,'Données projet'!$E$13+1,1))</f>
        <v>201.84651193684252</v>
      </c>
      <c r="CZ31" s="59">
        <f t="shared" si="42"/>
        <v>138.00705940844708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7.2</v>
      </c>
      <c r="DO31" s="12">
        <f>IF('Données projet'!$A$166&gt;35,DO30+DN31-DW30,IF(A31&lt;'Données projet'!$A$166,$DL$205^A31,IF(A31='Données projet'!$A$166,'Données projet'!$B$166,DO30+DN31-DW30)))</f>
        <v>162.6</v>
      </c>
      <c r="DP31" s="17">
        <f>DO31*VLOOKUP('Données projet'!$B$14,Paramètres!$A$1:$I$89,3,0)*VLOOKUP('Données projet'!$B$14,Paramètres!$A$1:$I$89,5,0)</f>
        <v>119.21832000000001</v>
      </c>
      <c r="DQ31" s="13">
        <f t="shared" si="43"/>
        <v>31.492615984694421</v>
      </c>
      <c r="DR31" s="20">
        <f t="shared" si="16"/>
        <v>262.48821350667612</v>
      </c>
      <c r="DS31" s="59">
        <f t="shared" si="17"/>
        <v>497.21968292866018</v>
      </c>
      <c r="DT31" s="59">
        <f ca="1">AVERAGE(OFFSET($DS$3,0,0,'Données projet'!$E$14+1,1))-AVERAGE(OFFSET($H$3,0,0,'Données projet'!$E$14+1,1))</f>
        <v>242.21240859696931</v>
      </c>
      <c r="DU31" s="59">
        <f t="shared" si="44"/>
        <v>340.92165104349192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4.8</v>
      </c>
      <c r="EJ31" s="12">
        <f>IF('Données projet'!$A$192&gt;35,EJ30+EI31-ER30,IF(A31&lt;'Données projet'!$A$192,$EG$205^A31,IF(A31='Données projet'!$A$192,'Données projet'!$B$192,EJ30+EI31-ER30)))</f>
        <v>44.399999999999991</v>
      </c>
      <c r="EK31" s="17">
        <f>EJ31*VLOOKUP('Données projet'!$B$15,Paramètres!$A$1:$I$89,3,0)*VLOOKUP('Données projet'!$B$15,Paramètres!$A$1:$I$89,5,0)</f>
        <v>42.943679999999993</v>
      </c>
      <c r="EL31" s="13">
        <f t="shared" si="45"/>
        <v>12.775615987781539</v>
      </c>
      <c r="EM31" s="20">
        <f t="shared" si="19"/>
        <v>97.044440512052844</v>
      </c>
      <c r="EN31" s="59">
        <f t="shared" si="20"/>
        <v>331.77590993403692</v>
      </c>
      <c r="EO31" s="59">
        <f ca="1">AVERAGE(OFFSET($EN$3,0,0,'Données projet'!$E$15+1,1))-AVERAGE(OFFSET($H$3,0,0,'Données projet'!$E$15+1,1))</f>
        <v>331.7059599630698</v>
      </c>
      <c r="EP31" s="59">
        <f t="shared" si="46"/>
        <v>173.19148969173838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4.8</v>
      </c>
      <c r="FE31" s="12">
        <f>IF('Données projet'!$A$218&gt;35,FE30+FD31-FM30,IF(A31&lt;'Données projet'!$A$218,$FB$205^A31,IF(A31='Données projet'!$A$218,'Données projet'!$B$218,FE30+FD31-FM30)))</f>
        <v>44.399999999999991</v>
      </c>
      <c r="FF31" s="17">
        <f>FE31*VLOOKUP('Données projet'!$B$16,Paramètres!$A$1:$I$89,3,0)*VLOOKUP('Données projet'!$B$16,Paramètres!$A$1:$I$89,5,0)</f>
        <v>47.792159999999988</v>
      </c>
      <c r="FG31" s="13">
        <f t="shared" si="47"/>
        <v>14.042085367056567</v>
      </c>
      <c r="FH31" s="20">
        <f t="shared" si="22"/>
        <v>107.69464401429015</v>
      </c>
      <c r="FI31" s="59">
        <f t="shared" si="23"/>
        <v>342.42611343627425</v>
      </c>
      <c r="FJ31" s="59">
        <f ca="1">AVERAGE(OFFSET($FI$3,0,0,'Données projet'!$E$16+1,1))-AVERAGE(OFFSET($H$3,0,0,'Données projet'!$E$16+1,1))</f>
        <v>360.86062459677004</v>
      </c>
      <c r="FK31" s="59">
        <f t="shared" si="48"/>
        <v>186.0840067781198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5.4</v>
      </c>
      <c r="FZ31" s="12">
        <f>IF('Données projet'!$A$244&gt;35,FZ30+FY31-GH30,IF(A31&lt;'Données projet'!$A$244,$FW$205^A31,IF(A31='Données projet'!$A$244,'Données projet'!$B$244,FZ30+FY31-GH30)))</f>
        <v>86.200000000000017</v>
      </c>
      <c r="GA31" s="17">
        <f>FZ31*VLOOKUP('Données projet'!$B$17,Paramètres!$A$1:$I$89,3,0)*VLOOKUP('Données projet'!$B$17,Paramètres!$A$1:$I$89,5,0)</f>
        <v>87.406800000000032</v>
      </c>
      <c r="GB31" s="13">
        <f t="shared" si="49"/>
        <v>23.938747393012555</v>
      </c>
      <c r="GC31" s="20">
        <f t="shared" si="25"/>
        <v>193.9268283761636</v>
      </c>
      <c r="GD31" s="59">
        <f t="shared" si="26"/>
        <v>428.65829779814771</v>
      </c>
      <c r="GE31" s="59">
        <f ca="1">AVERAGE(OFFSET($GD$3,0,0,'Données projet'!$E$17+1,1))-AVERAGE(OFFSET($H$3,0,0,'Données projet'!$E$17+1,1))</f>
        <v>448.73339628506784</v>
      </c>
      <c r="GF31" s="59">
        <f t="shared" si="50"/>
        <v>273.35778700650803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5.4</v>
      </c>
      <c r="N32" s="13">
        <f>IF('Données projet'!$A$36&gt;35,N31+M32-V31,IF(A32&lt;'Données projet'!$A$36,$K$205^A32,IF(A32='Données projet'!$A$36,'Données projet'!$B$36,N31+M32-V31)))</f>
        <v>91.600000000000023</v>
      </c>
      <c r="O32" s="13">
        <f>N32*VLOOKUP('Données projet'!$B$9,Paramètres!$A$1:$I$89,3,0)*VLOOKUP('Données projet'!$B$9,Paramètres!$A$1:$I$89,5,0)</f>
        <v>82.879680000000008</v>
      </c>
      <c r="P32" s="13">
        <f t="shared" si="33"/>
        <v>22.83982519050506</v>
      </c>
      <c r="Q32" s="20">
        <f t="shared" si="2"/>
        <v>184.12813820679631</v>
      </c>
      <c r="R32" s="59">
        <f t="shared" si="0"/>
        <v>421.05603552957211</v>
      </c>
      <c r="S32" s="59">
        <f ca="1">AVERAGE(OFFSET($R$3,0,0,'Données projet'!$E$9+1,1))-AVERAGE(OFFSET($H$3,0,0,'Données projet'!$E$9+1,1))</f>
        <v>408.51124670343137</v>
      </c>
      <c r="T32" s="59">
        <f t="shared" si="34"/>
        <v>250.47702091764884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6.2</v>
      </c>
      <c r="AI32" s="13">
        <f>IF('Données projet'!$A$62&gt;35,AI31+AH32-AQ31,IF(A32&lt;'Données projet'!$A$62,$AF$205^A32,IF(A32='Données projet'!$A$62,'Données projet'!$B$62,AI31+AH32-AQ31)))</f>
        <v>139.79999999999998</v>
      </c>
      <c r="AJ32" s="13">
        <f>AI32*VLOOKUP('Données projet'!$B$10,Paramètres!$A$1:$I$89,3,0)*VLOOKUP('Données projet'!$B$10,Paramètres!$A$1:$I$89,5,0)</f>
        <v>111.22487999999998</v>
      </c>
      <c r="AK32" s="13">
        <f t="shared" si="35"/>
        <v>29.619389596563099</v>
      </c>
      <c r="AL32" s="20">
        <f t="shared" si="4"/>
        <v>245.3037695473474</v>
      </c>
      <c r="AM32" s="59">
        <f t="shared" si="5"/>
        <v>482.23166687012326</v>
      </c>
      <c r="AN32" s="59">
        <f ca="1">AVERAGE(OFFSET($AM$3,0,0,'Données projet'!$E$10+1,1))-AVERAGE(OFFSET($H$3,0,0,'Données projet'!$E$10+1,1))</f>
        <v>327.22763817565902</v>
      </c>
      <c r="AO32" s="59">
        <f t="shared" si="36"/>
        <v>311.68541696405975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7.2</v>
      </c>
      <c r="BD32" s="12">
        <f>IF('Données projet'!$A$88&gt;35,BD31+BC32-BL31,IF(A32&lt;'Données projet'!$A$88,$BA$205^A32,IF(A32='Données projet'!$A$88,'Données projet'!$B$88,BD31+BC32-BL31)))</f>
        <v>115.80000000000001</v>
      </c>
      <c r="BE32" s="13">
        <f>BD32*VLOOKUP('Données projet'!$B$11,Paramètres!$A$1:$I$89,3,0)*VLOOKUP('Données projet'!$B$11,Paramètres!$A$1:$I$89,5,0)</f>
        <v>74.06568</v>
      </c>
      <c r="BF32" s="13">
        <f t="shared" si="37"/>
        <v>20.679767839019505</v>
      </c>
      <c r="BG32" s="20">
        <f t="shared" si="7"/>
        <v>165.01498831962564</v>
      </c>
      <c r="BH32" s="59">
        <f t="shared" si="8"/>
        <v>401.94288564240151</v>
      </c>
      <c r="BI32" s="59">
        <f ca="1">AVERAGE(OFFSET($BH$3,0,0,'Données projet'!$E$11+1,1))-AVERAGE(OFFSET($H$3,0,0,'Données projet'!$E$11+1,1))</f>
        <v>169.46470423366029</v>
      </c>
      <c r="BJ32" s="59">
        <f t="shared" si="38"/>
        <v>230.78141128389288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4.4000000000000004</v>
      </c>
      <c r="BY32" s="12">
        <f>IF('Données projet'!$A$114&gt;35,BY31+BX32-CG31,IF(A32&lt;'Données projet'!$A$114,$BV$205^A32,IF(A32='Données projet'!$A$114,'Données projet'!$B$114,BY31+BX32-CG31)))</f>
        <v>130.6</v>
      </c>
      <c r="BZ32" s="13">
        <f>BY32*VLOOKUP('Données projet'!$B$12,Paramètres!$A$1:$I$89,3,0)*VLOOKUP('Données projet'!$B$12,Paramètres!$A$1:$I$89,5,0)</f>
        <v>114.09216000000002</v>
      </c>
      <c r="CA32" s="13">
        <f t="shared" si="39"/>
        <v>30.293070235611584</v>
      </c>
      <c r="CB32" s="20">
        <f t="shared" si="10"/>
        <v>251.47094266035685</v>
      </c>
      <c r="CC32" s="59">
        <f t="shared" si="11"/>
        <v>488.39883998313269</v>
      </c>
      <c r="CD32" s="59">
        <f ca="1">AVERAGE(OFFSET($CC$3,0,0,'Données projet'!$E$12+1,1))-AVERAGE(OFFSET($H$3,0,0,'Données projet'!$E$12+1,1))</f>
        <v>342.79161436526499</v>
      </c>
      <c r="CE32" s="59">
        <f t="shared" si="40"/>
        <v>315.50730924873733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4.8</v>
      </c>
      <c r="CT32" s="12">
        <f>IF('Données projet'!$A$140&gt;35,CT31+CS32-DB31,IF(A32&lt;'Données projet'!$A$140,$CQ$205^A32,IF(A32='Données projet'!$A$140,'Données projet'!$B$140,CT31+CS32-DB31)))</f>
        <v>49.199999999999989</v>
      </c>
      <c r="CU32" s="17">
        <f>CT32*VLOOKUP('Données projet'!$B$13,Paramètres!$A$1:$I$89,3,0)*VLOOKUP('Données projet'!$B$13,Paramètres!$A$1:$I$89,5,0)</f>
        <v>33.003359999999994</v>
      </c>
      <c r="CV32" s="13">
        <f t="shared" si="41"/>
        <v>10.12395141093587</v>
      </c>
      <c r="CW32" s="20">
        <f t="shared" si="13"/>
        <v>75.113400707379952</v>
      </c>
      <c r="CX32" s="59">
        <f t="shared" si="14"/>
        <v>312.04129803015576</v>
      </c>
      <c r="CY32" s="59">
        <f ca="1">AVERAGE(OFFSET($CX$3,0,0,'Données projet'!$E$13+1,1))-AVERAGE(OFFSET($H$3,0,0,'Données projet'!$E$13+1,1))</f>
        <v>201.84651193684252</v>
      </c>
      <c r="CZ32" s="59">
        <f t="shared" si="42"/>
        <v>138.00705940844708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7.2</v>
      </c>
      <c r="DO32" s="12">
        <f>IF('Données projet'!$A$166&gt;35,DO31+DN32-DW31,IF(A32&lt;'Données projet'!$A$166,$DL$205^A32,IF(A32='Données projet'!$A$166,'Données projet'!$B$166,DO31+DN32-DW31)))</f>
        <v>169.79999999999998</v>
      </c>
      <c r="DP32" s="17">
        <f>DO32*VLOOKUP('Données projet'!$B$14,Paramètres!$A$1:$I$89,3,0)*VLOOKUP('Données projet'!$B$14,Paramètres!$A$1:$I$89,5,0)</f>
        <v>124.49735999999997</v>
      </c>
      <c r="DQ32" s="13">
        <f t="shared" si="43"/>
        <v>32.721677992091536</v>
      </c>
      <c r="DR32" s="20">
        <f t="shared" si="16"/>
        <v>273.82315783622602</v>
      </c>
      <c r="DS32" s="59">
        <f t="shared" si="17"/>
        <v>510.75105515900185</v>
      </c>
      <c r="DT32" s="59">
        <f ca="1">AVERAGE(OFFSET($DS$3,0,0,'Données projet'!$E$14+1,1))-AVERAGE(OFFSET($H$3,0,0,'Données projet'!$E$14+1,1))</f>
        <v>242.21240859696931</v>
      </c>
      <c r="DU32" s="59">
        <f t="shared" si="44"/>
        <v>340.92165104349192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4.8</v>
      </c>
      <c r="EJ32" s="12">
        <f>IF('Données projet'!$A$192&gt;35,EJ31+EI32-ER31,IF(A32&lt;'Données projet'!$A$192,$EG$205^A32,IF(A32='Données projet'!$A$192,'Données projet'!$B$192,EJ31+EI32-ER31)))</f>
        <v>49.199999999999989</v>
      </c>
      <c r="EK32" s="17">
        <f>EJ32*VLOOKUP('Données projet'!$B$15,Paramètres!$A$1:$I$89,3,0)*VLOOKUP('Données projet'!$B$15,Paramètres!$A$1:$I$89,5,0)</f>
        <v>47.586239999999989</v>
      </c>
      <c r="EL32" s="13">
        <f t="shared" si="45"/>
        <v>13.98861191110446</v>
      </c>
      <c r="EM32" s="20">
        <f t="shared" si="19"/>
        <v>107.2428670785069</v>
      </c>
      <c r="EN32" s="59">
        <f t="shared" si="20"/>
        <v>344.17076440128272</v>
      </c>
      <c r="EO32" s="59">
        <f ca="1">AVERAGE(OFFSET($EN$3,0,0,'Données projet'!$E$15+1,1))-AVERAGE(OFFSET($H$3,0,0,'Données projet'!$E$15+1,1))</f>
        <v>331.7059599630698</v>
      </c>
      <c r="EP32" s="59">
        <f t="shared" si="46"/>
        <v>173.19148969173838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4.8</v>
      </c>
      <c r="FE32" s="12">
        <f>IF('Données projet'!$A$218&gt;35,FE31+FD32-FM31,IF(A32&lt;'Données projet'!$A$218,$FB$205^A32,IF(A32='Données projet'!$A$218,'Données projet'!$B$218,FE31+FD32-FM31)))</f>
        <v>49.199999999999989</v>
      </c>
      <c r="FF32" s="17">
        <f>FE32*VLOOKUP('Données projet'!$B$16,Paramètres!$A$1:$I$89,3,0)*VLOOKUP('Données projet'!$B$16,Paramètres!$A$1:$I$89,5,0)</f>
        <v>52.958879999999979</v>
      </c>
      <c r="FG32" s="13">
        <f t="shared" si="47"/>
        <v>15.375327718852537</v>
      </c>
      <c r="FH32" s="20">
        <f t="shared" si="22"/>
        <v>119.01541177700146</v>
      </c>
      <c r="FI32" s="59">
        <f t="shared" si="23"/>
        <v>355.94330909977731</v>
      </c>
      <c r="FJ32" s="59">
        <f ca="1">AVERAGE(OFFSET($FI$3,0,0,'Données projet'!$E$16+1,1))-AVERAGE(OFFSET($H$3,0,0,'Données projet'!$E$16+1,1))</f>
        <v>360.86062459677004</v>
      </c>
      <c r="FK32" s="59">
        <f t="shared" si="48"/>
        <v>186.0840067781198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5.4</v>
      </c>
      <c r="FZ32" s="12">
        <f>IF('Données projet'!$A$244&gt;35,FZ31+FY32-GH31,IF(A32&lt;'Données projet'!$A$244,$FW$205^A32,IF(A32='Données projet'!$A$244,'Données projet'!$B$244,FZ31+FY32-GH31)))</f>
        <v>91.600000000000023</v>
      </c>
      <c r="GA32" s="17">
        <f>FZ32*VLOOKUP('Données projet'!$B$17,Paramètres!$A$1:$I$89,3,0)*VLOOKUP('Données projet'!$B$17,Paramètres!$A$1:$I$89,5,0)</f>
        <v>92.882400000000018</v>
      </c>
      <c r="GB32" s="13">
        <f t="shared" si="49"/>
        <v>25.259109897273174</v>
      </c>
      <c r="GC32" s="20">
        <f t="shared" si="25"/>
        <v>205.7631297377508</v>
      </c>
      <c r="GD32" s="59">
        <f t="shared" si="26"/>
        <v>442.69102706052661</v>
      </c>
      <c r="GE32" s="59">
        <f ca="1">AVERAGE(OFFSET($GD$3,0,0,'Données projet'!$E$17+1,1))-AVERAGE(OFFSET($H$3,0,0,'Données projet'!$E$17+1,1))</f>
        <v>448.73339628506784</v>
      </c>
      <c r="GF32" s="59">
        <f t="shared" si="50"/>
        <v>273.35778700650803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5.4</v>
      </c>
      <c r="M33" s="12">
        <f t="array" ref="M33">INDEX(L:L,MIN(IF(ISNUMBER(L33:L229),ROW(L33:L229),"")))</f>
        <v>5.4</v>
      </c>
      <c r="N33" s="13">
        <f>IF('Données projet'!$A$36&gt;35,N32+M33-V32,IF(A33&lt;'Données projet'!$A$36,$K$205^A33,IF(A33='Données projet'!$A$36,'Données projet'!$B$36,N32+M33-V32)))</f>
        <v>97.000000000000028</v>
      </c>
      <c r="O33" s="13">
        <f>N33*VLOOKUP('Données projet'!$B$9,Paramètres!$A$1:$I$89,3,0)*VLOOKUP('Données projet'!$B$9,Paramètres!$A$1:$I$89,5,0)</f>
        <v>87.76560000000002</v>
      </c>
      <c r="P33" s="13">
        <f t="shared" si="33"/>
        <v>24.025555589247954</v>
      </c>
      <c r="Q33" s="20">
        <f t="shared" si="2"/>
        <v>194.7029293179402</v>
      </c>
      <c r="R33" s="59">
        <f t="shared" si="0"/>
        <v>433.81035425098219</v>
      </c>
      <c r="S33" s="59">
        <f ca="1">AVERAGE(OFFSET($R$3,0,0,'Données projet'!$E$9+1,1))-AVERAGE(OFFSET($H$3,0,0,'Données projet'!$E$9+1,1))</f>
        <v>408.51124670343137</v>
      </c>
      <c r="T33" s="59">
        <f t="shared" si="34"/>
        <v>250.47702091764884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146</v>
      </c>
      <c r="AG33" s="12">
        <f>VLOOKUP(A33,'Données projet'!$A$61:$I$81,9,0)</f>
        <v>6.2</v>
      </c>
      <c r="AH33" s="12">
        <f t="array" ref="AH33">INDEX(AG:AG,MIN(IF(ISNUMBER(AG33:AG229),ROW(AG33:AG229),"")))</f>
        <v>6.2</v>
      </c>
      <c r="AI33" s="13">
        <f>IF('Données projet'!$A$62&gt;35,AI32+AH33-AQ32,IF(A33&lt;'Données projet'!$A$62,$AF$205^A33,IF(A33='Données projet'!$A$62,'Données projet'!$B$62,AI32+AH33-AQ32)))</f>
        <v>145.99999999999997</v>
      </c>
      <c r="AJ33" s="13">
        <f>AI33*VLOOKUP('Données projet'!$B$10,Paramètres!$A$1:$I$89,3,0)*VLOOKUP('Données projet'!$B$10,Paramètres!$A$1:$I$89,5,0)</f>
        <v>116.15759999999999</v>
      </c>
      <c r="AK33" s="13">
        <f t="shared" si="35"/>
        <v>30.777132266613055</v>
      </c>
      <c r="AL33" s="20">
        <f t="shared" si="4"/>
        <v>255.91132536435109</v>
      </c>
      <c r="AM33" s="59">
        <f t="shared" si="5"/>
        <v>495.01875029739307</v>
      </c>
      <c r="AN33" s="59">
        <f ca="1">AVERAGE(OFFSET($AM$3,0,0,'Données projet'!$E$10+1,1))-AVERAGE(OFFSET($H$3,0,0,'Données projet'!$E$10+1,1))</f>
        <v>327.22763817565902</v>
      </c>
      <c r="AO33" s="59">
        <f t="shared" si="36"/>
        <v>311.68541696405975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123</v>
      </c>
      <c r="BB33" s="12">
        <f>VLOOKUP(A33,'Données projet'!$A$87:$I$107,9,0)</f>
        <v>7.2</v>
      </c>
      <c r="BC33" s="12">
        <f t="array" ref="BC33">INDEX(BB:BB,MIN(IF(ISNUMBER(BB33:BB229),ROW(BB33:BB229),"")))</f>
        <v>7.2</v>
      </c>
      <c r="BD33" s="12">
        <f>IF('Données projet'!$A$88&gt;35,BD32+BC33-BL32,IF(A33&lt;'Données projet'!$A$88,$BA$205^A33,IF(A33='Données projet'!$A$88,'Données projet'!$B$88,BD32+BC33-BL32)))</f>
        <v>123.00000000000001</v>
      </c>
      <c r="BE33" s="13">
        <f>BD33*VLOOKUP('Données projet'!$B$11,Paramètres!$A$1:$I$89,3,0)*VLOOKUP('Données projet'!$B$11,Paramètres!$A$1:$I$89,5,0)</f>
        <v>78.6708</v>
      </c>
      <c r="BF33" s="13">
        <f t="shared" si="37"/>
        <v>21.811871589005307</v>
      </c>
      <c r="BG33" s="20">
        <f t="shared" si="7"/>
        <v>175.00731968418424</v>
      </c>
      <c r="BH33" s="59">
        <f t="shared" si="8"/>
        <v>414.11474461722622</v>
      </c>
      <c r="BI33" s="59">
        <f ca="1">AVERAGE(OFFSET($BH$3,0,0,'Données projet'!$E$11+1,1))-AVERAGE(OFFSET($H$3,0,0,'Données projet'!$E$11+1,1))</f>
        <v>169.46470423366029</v>
      </c>
      <c r="BJ33" s="59">
        <f t="shared" si="38"/>
        <v>230.78141128389288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14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135</v>
      </c>
      <c r="BW33" s="12">
        <f>VLOOKUP(A33,'Données projet'!$A$113:$I$133,9,0)</f>
        <v>4.4000000000000004</v>
      </c>
      <c r="BX33" s="12">
        <f t="array" ref="BX33">INDEX(BW:BW,MIN(IF(ISNUMBER(BW33:BW229),ROW(BW33:BW229),"")))</f>
        <v>4.4000000000000004</v>
      </c>
      <c r="BY33" s="12">
        <f>IF('Données projet'!$A$114&gt;35,BY32+BX33-CG32,IF(A33&lt;'Données projet'!$A$114,$BV$205^A33,IF(A33='Données projet'!$A$114,'Données projet'!$B$114,BY32+BX33-CG32)))</f>
        <v>135</v>
      </c>
      <c r="BZ33" s="13">
        <f>BY33*VLOOKUP('Données projet'!$B$12,Paramètres!$A$1:$I$89,3,0)*VLOOKUP('Données projet'!$B$12,Paramètres!$A$1:$I$89,5,0)</f>
        <v>117.93600000000002</v>
      </c>
      <c r="CA33" s="13">
        <f t="shared" si="39"/>
        <v>31.1931201812605</v>
      </c>
      <c r="CB33" s="20">
        <f t="shared" si="10"/>
        <v>259.73321764902875</v>
      </c>
      <c r="CC33" s="59">
        <f t="shared" si="11"/>
        <v>498.8406425820707</v>
      </c>
      <c r="CD33" s="59">
        <f ca="1">AVERAGE(OFFSET($CC$3,0,0,'Données projet'!$E$12+1,1))-AVERAGE(OFFSET($H$3,0,0,'Données projet'!$E$12+1,1))</f>
        <v>342.79161436526499</v>
      </c>
      <c r="CE33" s="59">
        <f t="shared" si="40"/>
        <v>315.50730924873733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8.6000000000000007E-2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54</v>
      </c>
      <c r="CR33" s="12">
        <f>VLOOKUP(A33,'Données projet'!$A$139:$I$159,9,0)</f>
        <v>4.8</v>
      </c>
      <c r="CS33" s="12">
        <f t="array" ref="CS33">INDEX(CR:CR,MIN(IF(ISNUMBER(CR33:CR229),ROW(CR33:CR229),"")))</f>
        <v>4.8</v>
      </c>
      <c r="CT33" s="12">
        <f>IF('Données projet'!$A$140&gt;35,CT32+CS33-DB32,IF(A33&lt;'Données projet'!$A$140,$CQ$205^A33,IF(A33='Données projet'!$A$140,'Données projet'!$B$140,CT32+CS33-DB32)))</f>
        <v>53.999999999999986</v>
      </c>
      <c r="CU33" s="17">
        <f>CT33*VLOOKUP('Données projet'!$B$13,Paramètres!$A$1:$I$89,3,0)*VLOOKUP('Données projet'!$B$13,Paramètres!$A$1:$I$89,5,0)</f>
        <v>36.223199999999991</v>
      </c>
      <c r="CV33" s="13">
        <f t="shared" si="41"/>
        <v>10.991901134203907</v>
      </c>
      <c r="CW33" s="20">
        <f t="shared" si="13"/>
        <v>82.232967808738451</v>
      </c>
      <c r="CX33" s="59">
        <f t="shared" si="14"/>
        <v>321.34039274178042</v>
      </c>
      <c r="CY33" s="59">
        <f ca="1">AVERAGE(OFFSET($CX$3,0,0,'Données projet'!$E$13+1,1))-AVERAGE(OFFSET($H$3,0,0,'Données projet'!$E$13+1,1))</f>
        <v>201.84651193684252</v>
      </c>
      <c r="CZ33" s="59">
        <f t="shared" si="42"/>
        <v>138.00705940844708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177</v>
      </c>
      <c r="DM33" s="12">
        <f>VLOOKUP(A33,'Données projet'!$A$165:$I$185,9,0)</f>
        <v>7.2</v>
      </c>
      <c r="DN33" s="12">
        <f t="array" ref="DN33">INDEX(DM:DM,MIN(IF(ISNUMBER(DM33:DM229),ROW(DM33:DM229),"")))</f>
        <v>7.2</v>
      </c>
      <c r="DO33" s="12">
        <f>IF('Données projet'!$A$166&gt;35,DO32+DN33-DW32,IF(A33&lt;'Données projet'!$A$166,$DL$205^A33,IF(A33='Données projet'!$A$166,'Données projet'!$B$166,DO32+DN33-DW32)))</f>
        <v>176.99999999999997</v>
      </c>
      <c r="DP33" s="17">
        <f>DO33*VLOOKUP('Données projet'!$B$14,Paramètres!$A$1:$I$89,3,0)*VLOOKUP('Données projet'!$B$14,Paramètres!$A$1:$I$89,5,0)</f>
        <v>129.77639999999997</v>
      </c>
      <c r="DQ33" s="13">
        <f t="shared" si="43"/>
        <v>33.94468676198089</v>
      </c>
      <c r="DR33" s="20">
        <f t="shared" si="16"/>
        <v>285.14755944378334</v>
      </c>
      <c r="DS33" s="59">
        <f t="shared" si="17"/>
        <v>524.25498437682529</v>
      </c>
      <c r="DT33" s="59">
        <f ca="1">AVERAGE(OFFSET($DS$3,0,0,'Données projet'!$E$14+1,1))-AVERAGE(OFFSET($H$3,0,0,'Données projet'!$E$14+1,1))</f>
        <v>242.21240859696931</v>
      </c>
      <c r="DU33" s="59">
        <f t="shared" si="44"/>
        <v>340.92165104349192</v>
      </c>
      <c r="DV33" s="15">
        <f>IF(ISNA(VLOOKUP(A33,'Données projet'!$A$165:$I$185,3,0)),0,VLOOKUP(A33,'Données projet'!$A$165:$I$185,3,0))</f>
        <v>5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0.129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54</v>
      </c>
      <c r="EH33" s="12">
        <f>VLOOKUP(A33,'Données projet'!$A$191:$I$211,9,0)</f>
        <v>4.8</v>
      </c>
      <c r="EI33" s="12">
        <f t="array" ref="EI33">INDEX(EH:EH,MIN(IF(ISNUMBER(EH33:EH229),ROW(EH33:EH229),"")))</f>
        <v>4.8</v>
      </c>
      <c r="EJ33" s="12">
        <f>IF('Données projet'!$A$192&gt;35,EJ32+EI33-ER32,IF(A33&lt;'Données projet'!$A$192,$EG$205^A33,IF(A33='Données projet'!$A$192,'Données projet'!$B$192,EJ32+EI33-ER32)))</f>
        <v>53.999999999999986</v>
      </c>
      <c r="EK33" s="17">
        <f>EJ33*VLOOKUP('Données projet'!$B$15,Paramètres!$A$1:$I$89,3,0)*VLOOKUP('Données projet'!$B$15,Paramètres!$A$1:$I$89,5,0)</f>
        <v>52.228799999999985</v>
      </c>
      <c r="EL33" s="13">
        <f t="shared" si="45"/>
        <v>15.187887899730002</v>
      </c>
      <c r="EM33" s="20">
        <f t="shared" si="19"/>
        <v>117.41739809202973</v>
      </c>
      <c r="EN33" s="59">
        <f t="shared" si="20"/>
        <v>356.52482302507173</v>
      </c>
      <c r="EO33" s="59">
        <f ca="1">AVERAGE(OFFSET($EN$3,0,0,'Données projet'!$E$15+1,1))-AVERAGE(OFFSET($H$3,0,0,'Données projet'!$E$15+1,1))</f>
        <v>331.7059599630698</v>
      </c>
      <c r="EP33" s="59">
        <f t="shared" si="46"/>
        <v>173.19148969173838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54</v>
      </c>
      <c r="FC33" s="12">
        <f>VLOOKUP(A33,'Données projet'!$A$217:$I$237,9,0)</f>
        <v>4.8</v>
      </c>
      <c r="FD33" s="12">
        <f t="array" ref="FD33">INDEX(FC:FC,MIN(IF(ISNUMBER(FC33:FC229),ROW(FC33:FC229),"")))</f>
        <v>4.8</v>
      </c>
      <c r="FE33" s="12">
        <f>IF('Données projet'!$A$218&gt;35,FE32+FD33-FM32,IF(A33&lt;'Données projet'!$A$218,$FB$205^A33,IF(A33='Données projet'!$A$218,'Données projet'!$B$218,FE32+FD33-FM32)))</f>
        <v>53.999999999999986</v>
      </c>
      <c r="FF33" s="17">
        <f>FE33*VLOOKUP('Données projet'!$B$16,Paramètres!$A$1:$I$89,3,0)*VLOOKUP('Données projet'!$B$16,Paramètres!$A$1:$I$89,5,0)</f>
        <v>58.125599999999977</v>
      </c>
      <c r="FG33" s="13">
        <f t="shared" si="47"/>
        <v>16.693490054590161</v>
      </c>
      <c r="FH33" s="20">
        <f t="shared" si="22"/>
        <v>130.30991517841116</v>
      </c>
      <c r="FI33" s="59">
        <f t="shared" si="23"/>
        <v>369.41734011145314</v>
      </c>
      <c r="FJ33" s="59">
        <f ca="1">AVERAGE(OFFSET($FI$3,0,0,'Données projet'!$E$16+1,1))-AVERAGE(OFFSET($H$3,0,0,'Données projet'!$E$16+1,1))</f>
        <v>360.86062459677004</v>
      </c>
      <c r="FK33" s="59">
        <f t="shared" si="48"/>
        <v>186.0840067781198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97</v>
      </c>
      <c r="FX33" s="12">
        <f>VLOOKUP(A33,'Données projet'!$A$243:$I$263,9,0)</f>
        <v>5.4</v>
      </c>
      <c r="FY33" s="12">
        <f t="array" ref="FY33">INDEX(FX:FX,MIN(IF(ISNUMBER(FX33:FX229),ROW(FX33:FX229),"")))</f>
        <v>5.4</v>
      </c>
      <c r="FZ33" s="12">
        <f>IF('Données projet'!$A$244&gt;35,FZ32+FY33-GH32,IF(A33&lt;'Données projet'!$A$244,$FW$205^A33,IF(A33='Données projet'!$A$244,'Données projet'!$B$244,FZ32+FY33-GH32)))</f>
        <v>97.000000000000028</v>
      </c>
      <c r="GA33" s="17">
        <f>FZ33*VLOOKUP('Données projet'!$B$17,Paramètres!$A$1:$I$89,3,0)*VLOOKUP('Données projet'!$B$17,Paramètres!$A$1:$I$89,5,0)</f>
        <v>98.358000000000033</v>
      </c>
      <c r="GB33" s="13">
        <f t="shared" si="49"/>
        <v>26.570437554143147</v>
      </c>
      <c r="GC33" s="20">
        <f t="shared" si="25"/>
        <v>217.58369540679939</v>
      </c>
      <c r="GD33" s="59">
        <f t="shared" si="26"/>
        <v>456.6911203398414</v>
      </c>
      <c r="GE33" s="59">
        <f ca="1">AVERAGE(OFFSET($GD$3,0,0,'Données projet'!$E$17+1,1))-AVERAGE(OFFSET($H$3,0,0,'Données projet'!$E$17+1,1))</f>
        <v>448.73339628506784</v>
      </c>
      <c r="GF33" s="59">
        <f t="shared" si="50"/>
        <v>273.35778700650803</v>
      </c>
      <c r="GG33" s="15">
        <f>IF(ISNA(VLOOKUP(A33,'Données projet'!$A$243:$I$263,3,0)),0,VLOOKUP(A33,'Données projet'!$A$243:$I$263,3,0))</f>
        <v>3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3.8</v>
      </c>
      <c r="N34" s="13">
        <f>IF('Données projet'!$A$36&gt;35,N33+M34-V33,IF(A34&lt;'Données projet'!$A$36,$K$205^A34,IF(A34='Données projet'!$A$36,'Données projet'!$B$36,N33+M34-V33)))</f>
        <v>100.80000000000003</v>
      </c>
      <c r="O34" s="13">
        <f>N34*VLOOKUP('Données projet'!$B$9,Paramètres!$A$1:$I$89,3,0)*VLOOKUP('Données projet'!$B$9,Paramètres!$A$1:$I$89,5,0)</f>
        <v>91.203840000000028</v>
      </c>
      <c r="P34" s="13">
        <f t="shared" si="33"/>
        <v>24.855337308022545</v>
      </c>
      <c r="Q34" s="20">
        <f t="shared" si="2"/>
        <v>202.13640047813931</v>
      </c>
      <c r="R34" s="59">
        <f t="shared" si="0"/>
        <v>442.18452369095689</v>
      </c>
      <c r="S34" s="59">
        <f ca="1">AVERAGE(OFFSET($R$3,0,0,'Données projet'!$E$9+1,1))-AVERAGE(OFFSET($H$3,0,0,'Données projet'!$E$9+1,1))</f>
        <v>408.51124670343137</v>
      </c>
      <c r="T34" s="59">
        <f t="shared" si="34"/>
        <v>250.47702091764884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5.2</v>
      </c>
      <c r="AI34" s="13">
        <f>IF('Données projet'!$A$62&gt;35,AI33+AH34-AQ33,IF(A34&lt;'Données projet'!$A$62,$AF$205^A34,IF(A34='Données projet'!$A$62,'Données projet'!$B$62,AI33+AH34-AQ33)))</f>
        <v>151.19999999999996</v>
      </c>
      <c r="AJ34" s="13">
        <f>AI34*VLOOKUP('Données projet'!$B$10,Paramètres!$A$1:$I$89,3,0)*VLOOKUP('Données projet'!$B$10,Paramètres!$A$1:$I$89,5,0)</f>
        <v>120.29471999999997</v>
      </c>
      <c r="AK34" s="13">
        <f t="shared" si="35"/>
        <v>31.743728077799098</v>
      </c>
      <c r="AL34" s="20">
        <f t="shared" si="4"/>
        <v>264.80029706883334</v>
      </c>
      <c r="AM34" s="59">
        <f t="shared" si="5"/>
        <v>504.84842028165087</v>
      </c>
      <c r="AN34" s="59">
        <f ca="1">AVERAGE(OFFSET($AM$3,0,0,'Données projet'!$E$10+1,1))-AVERAGE(OFFSET($H$3,0,0,'Données projet'!$E$10+1,1))</f>
        <v>327.22763817565902</v>
      </c>
      <c r="AO34" s="59">
        <f t="shared" si="36"/>
        <v>311.68541696405975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7.4</v>
      </c>
      <c r="BD34" s="12">
        <f>IF('Données projet'!$A$88&gt;35,BD33+BC34-BL33,IF(A34&lt;'Données projet'!$A$88,$BA$205^A34,IF(A34='Données projet'!$A$88,'Données projet'!$B$88,BD33+BC34-BL33)))</f>
        <v>116.4</v>
      </c>
      <c r="BE34" s="13">
        <f>BD34*VLOOKUP('Données projet'!$B$11,Paramètres!$A$1:$I$89,3,0)*VLOOKUP('Données projet'!$B$11,Paramètres!$A$1:$I$89,5,0)</f>
        <v>74.449439999999996</v>
      </c>
      <c r="BF34" s="13">
        <f t="shared" si="37"/>
        <v>20.774416249703886</v>
      </c>
      <c r="BG34" s="20">
        <f t="shared" si="7"/>
        <v>165.84821630156759</v>
      </c>
      <c r="BH34" s="59">
        <f t="shared" si="8"/>
        <v>405.89633951438515</v>
      </c>
      <c r="BI34" s="59">
        <f ca="1">AVERAGE(OFFSET($BH$3,0,0,'Données projet'!$E$11+1,1))-AVERAGE(OFFSET($H$3,0,0,'Données projet'!$E$11+1,1))</f>
        <v>169.46470423366029</v>
      </c>
      <c r="BJ34" s="59">
        <f t="shared" si="38"/>
        <v>230.78141128389288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3.6</v>
      </c>
      <c r="BY34" s="12">
        <f>IF('Données projet'!$A$114&gt;35,BY33+BX34-CG33,IF(A34&lt;'Données projet'!$A$114,$BV$205^A34,IF(A34='Données projet'!$A$114,'Données projet'!$B$114,BY33+BX34-CG33)))</f>
        <v>138.6</v>
      </c>
      <c r="BZ34" s="13">
        <f>BY34*VLOOKUP('Données projet'!$B$12,Paramètres!$A$1:$I$89,3,0)*VLOOKUP('Données projet'!$B$12,Paramètres!$A$1:$I$89,5,0)</f>
        <v>121.08096</v>
      </c>
      <c r="CA34" s="13">
        <f t="shared" si="39"/>
        <v>31.92698372788707</v>
      </c>
      <c r="CB34" s="20">
        <f t="shared" si="10"/>
        <v>266.48883532606993</v>
      </c>
      <c r="CC34" s="59">
        <f t="shared" si="11"/>
        <v>506.53695853888746</v>
      </c>
      <c r="CD34" s="59">
        <f ca="1">AVERAGE(OFFSET($CC$3,0,0,'Données projet'!$E$12+1,1))-AVERAGE(OFFSET($H$3,0,0,'Données projet'!$E$12+1,1))</f>
        <v>342.79161436526499</v>
      </c>
      <c r="CE34" s="59">
        <f t="shared" si="40"/>
        <v>315.50730924873733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</v>
      </c>
      <c r="CT34" s="12">
        <f>IF('Données projet'!$A$140&gt;35,CT33+CS34-DB33,IF(A34&lt;'Données projet'!$A$140,$CQ$205^A34,IF(A34='Données projet'!$A$140,'Données projet'!$B$140,CT33+CS34-DB33)))</f>
        <v>58.999999999999986</v>
      </c>
      <c r="CU34" s="17">
        <f>CT34*VLOOKUP('Données projet'!$B$13,Paramètres!$A$1:$I$89,3,0)*VLOOKUP('Données projet'!$B$13,Paramètres!$A$1:$I$89,5,0)</f>
        <v>39.577199999999991</v>
      </c>
      <c r="CV34" s="13">
        <f t="shared" si="41"/>
        <v>11.886514509066229</v>
      </c>
      <c r="CW34" s="20">
        <f t="shared" si="13"/>
        <v>89.632636103290338</v>
      </c>
      <c r="CX34" s="59">
        <f t="shared" si="14"/>
        <v>329.68075931610792</v>
      </c>
      <c r="CY34" s="59">
        <f ca="1">AVERAGE(OFFSET($CX$3,0,0,'Données projet'!$E$13+1,1))-AVERAGE(OFFSET($H$3,0,0,'Données projet'!$E$13+1,1))</f>
        <v>201.84651193684252</v>
      </c>
      <c r="CZ34" s="59">
        <f t="shared" si="42"/>
        <v>138.00705940844708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5.8</v>
      </c>
      <c r="DO34" s="12">
        <f>IF('Données projet'!$A$166&gt;35,DO33+DN34-DW33,IF(A34&lt;'Données projet'!$A$166,$DL$205^A34,IF(A34='Données projet'!$A$166,'Données projet'!$B$166,DO33+DN34-DW33)))</f>
        <v>182.79999999999998</v>
      </c>
      <c r="DP34" s="17">
        <f>DO34*VLOOKUP('Données projet'!$B$14,Paramètres!$A$1:$I$89,3,0)*VLOOKUP('Données projet'!$B$14,Paramètres!$A$1:$I$89,5,0)</f>
        <v>134.02895999999998</v>
      </c>
      <c r="DQ34" s="13">
        <f t="shared" si="43"/>
        <v>34.925673519949044</v>
      </c>
      <c r="DR34" s="20">
        <f t="shared" si="16"/>
        <v>294.26265338057789</v>
      </c>
      <c r="DS34" s="59">
        <f t="shared" si="17"/>
        <v>534.31077659339542</v>
      </c>
      <c r="DT34" s="59">
        <f ca="1">AVERAGE(OFFSET($DS$3,0,0,'Données projet'!$E$14+1,1))-AVERAGE(OFFSET($H$3,0,0,'Données projet'!$E$14+1,1))</f>
        <v>242.21240859696931</v>
      </c>
      <c r="DU34" s="59">
        <f t="shared" si="44"/>
        <v>340.92165104349192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5</v>
      </c>
      <c r="EJ34" s="12">
        <f>IF('Données projet'!$A$192&gt;35,EJ33+EI34-ER33,IF(A34&lt;'Données projet'!$A$192,$EG$205^A34,IF(A34='Données projet'!$A$192,'Données projet'!$B$192,EJ33+EI34-ER33)))</f>
        <v>58.999999999999986</v>
      </c>
      <c r="EK34" s="17">
        <f>EJ34*VLOOKUP('Données projet'!$B$15,Paramètres!$A$1:$I$89,3,0)*VLOOKUP('Données projet'!$B$15,Paramètres!$A$1:$I$89,5,0)</f>
        <v>57.064799999999991</v>
      </c>
      <c r="EL34" s="13">
        <f t="shared" si="45"/>
        <v>16.424005972947381</v>
      </c>
      <c r="EM34" s="20">
        <f t="shared" si="19"/>
        <v>127.99300373621668</v>
      </c>
      <c r="EN34" s="59">
        <f t="shared" si="20"/>
        <v>368.04112694903426</v>
      </c>
      <c r="EO34" s="59">
        <f ca="1">AVERAGE(OFFSET($EN$3,0,0,'Données projet'!$E$15+1,1))-AVERAGE(OFFSET($H$3,0,0,'Données projet'!$E$15+1,1))</f>
        <v>331.7059599630698</v>
      </c>
      <c r="EP34" s="59">
        <f t="shared" si="46"/>
        <v>173.19148969173838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5</v>
      </c>
      <c r="FE34" s="12">
        <f>IF('Données projet'!$A$218&gt;35,FE33+FD34-FM33,IF(A34&lt;'Données projet'!$A$218,$FB$205^A34,IF(A34='Données projet'!$A$218,'Données projet'!$B$218,FE33+FD34-FM33)))</f>
        <v>58.999999999999986</v>
      </c>
      <c r="FF34" s="17">
        <f>FE34*VLOOKUP('Données projet'!$B$16,Paramètres!$A$1:$I$89,3,0)*VLOOKUP('Données projet'!$B$16,Paramètres!$A$1:$I$89,5,0)</f>
        <v>63.507599999999982</v>
      </c>
      <c r="FG34" s="13">
        <f t="shared" si="47"/>
        <v>18.052146695841799</v>
      </c>
      <c r="FH34" s="20">
        <f t="shared" si="22"/>
        <v>142.04989216192442</v>
      </c>
      <c r="FI34" s="59">
        <f t="shared" si="23"/>
        <v>382.09801537474198</v>
      </c>
      <c r="FJ34" s="59">
        <f ca="1">AVERAGE(OFFSET($FI$3,0,0,'Données projet'!$E$16+1,1))-AVERAGE(OFFSET($H$3,0,0,'Données projet'!$E$16+1,1))</f>
        <v>360.86062459677004</v>
      </c>
      <c r="FK34" s="59">
        <f t="shared" si="48"/>
        <v>186.0840067781198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3.8</v>
      </c>
      <c r="FZ34" s="12">
        <f>IF('Données projet'!$A$244&gt;35,FZ33+FY34-GH33,IF(A34&lt;'Données projet'!$A$244,$FW$205^A34,IF(A34='Données projet'!$A$244,'Données projet'!$B$244,FZ33+FY34-GH33)))</f>
        <v>100.80000000000003</v>
      </c>
      <c r="GA34" s="17">
        <f>FZ34*VLOOKUP('Données projet'!$B$17,Paramètres!$A$1:$I$89,3,0)*VLOOKUP('Données projet'!$B$17,Paramètres!$A$1:$I$89,5,0)</f>
        <v>102.21120000000005</v>
      </c>
      <c r="GB34" s="13">
        <f t="shared" si="49"/>
        <v>27.488113037666043</v>
      </c>
      <c r="GC34" s="20">
        <f t="shared" si="25"/>
        <v>225.89297020726841</v>
      </c>
      <c r="GD34" s="59">
        <f t="shared" si="26"/>
        <v>465.94109342008596</v>
      </c>
      <c r="GE34" s="59">
        <f ca="1">AVERAGE(OFFSET($GD$3,0,0,'Données projet'!$E$17+1,1))-AVERAGE(OFFSET($H$3,0,0,'Données projet'!$E$17+1,1))</f>
        <v>448.73339628506784</v>
      </c>
      <c r="GF34" s="59">
        <f t="shared" si="50"/>
        <v>273.35778700650803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3.8</v>
      </c>
      <c r="N35" s="13">
        <f>IF('Données projet'!$A$36&gt;35,N34+M35-V34,IF(A35&lt;'Données projet'!$A$36,$K$205^A35,IF(A35='Données projet'!$A$36,'Données projet'!$B$36,N34+M35-V34)))</f>
        <v>104.60000000000002</v>
      </c>
      <c r="O35" s="13">
        <f>N35*VLOOKUP('Données projet'!$B$9,Paramètres!$A$1:$I$89,3,0)*VLOOKUP('Données projet'!$B$9,Paramètres!$A$1:$I$89,5,0)</f>
        <v>94.642080000000007</v>
      </c>
      <c r="P35" s="13">
        <f t="shared" si="33"/>
        <v>25.68148493360578</v>
      </c>
      <c r="Q35" s="20">
        <f t="shared" ref="Q35:Q66" si="53">(O35+P35)*0.475*44/12</f>
        <v>209.5635422593634</v>
      </c>
      <c r="R35" s="59">
        <f t="shared" si="0"/>
        <v>450.53604473988872</v>
      </c>
      <c r="S35" s="59">
        <f ca="1">AVERAGE(OFFSET($R$3,0,0,'Données projet'!$E$9+1,1))-AVERAGE(OFFSET($H$3,0,0,'Données projet'!$E$9+1,1))</f>
        <v>408.51124670343137</v>
      </c>
      <c r="T35" s="59">
        <f t="shared" si="34"/>
        <v>250.47702091764884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5.2</v>
      </c>
      <c r="AI35" s="13">
        <f>IF('Données projet'!$A$62&gt;35,AI34+AH35-AQ34,IF(A35&lt;'Données projet'!$A$62,$AF$205^A35,IF(A35='Données projet'!$A$62,'Données projet'!$B$62,AI34+AH35-AQ34)))</f>
        <v>156.39999999999995</v>
      </c>
      <c r="AJ35" s="13">
        <f>AI35*VLOOKUP('Données projet'!$B$10,Paramètres!$A$1:$I$89,3,0)*VLOOKUP('Données projet'!$B$10,Paramètres!$A$1:$I$89,5,0)</f>
        <v>124.43183999999998</v>
      </c>
      <c r="AK35" s="13">
        <f t="shared" si="35"/>
        <v>32.70646136755245</v>
      </c>
      <c r="AL35" s="20">
        <f t="shared" si="4"/>
        <v>273.68254154848717</v>
      </c>
      <c r="AM35" s="59">
        <f t="shared" si="5"/>
        <v>514.65504402901252</v>
      </c>
      <c r="AN35" s="59">
        <f ca="1">AVERAGE(OFFSET($AM$3,0,0,'Données projet'!$E$10+1,1))-AVERAGE(OFFSET($H$3,0,0,'Données projet'!$E$10+1,1))</f>
        <v>327.22763817565902</v>
      </c>
      <c r="AO35" s="59">
        <f t="shared" si="36"/>
        <v>311.68541696405975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7.4</v>
      </c>
      <c r="BD35" s="12">
        <f>IF('Données projet'!$A$88&gt;35,BD34+BC35-BL34,IF(A35&lt;'Données projet'!$A$88,$BA$205^A35,IF(A35='Données projet'!$A$88,'Données projet'!$B$88,BD34+BC35-BL34)))</f>
        <v>123.80000000000001</v>
      </c>
      <c r="BE35" s="13">
        <f>BD35*VLOOKUP('Données projet'!$B$11,Paramètres!$A$1:$I$89,3,0)*VLOOKUP('Données projet'!$B$11,Paramètres!$A$1:$I$89,5,0)</f>
        <v>79.182480000000012</v>
      </c>
      <c r="BF35" s="13">
        <f t="shared" si="37"/>
        <v>21.93717690158617</v>
      </c>
      <c r="BG35" s="20">
        <f t="shared" si="7"/>
        <v>176.11673577026261</v>
      </c>
      <c r="BH35" s="59">
        <f t="shared" si="8"/>
        <v>417.08923825078796</v>
      </c>
      <c r="BI35" s="59">
        <f ca="1">AVERAGE(OFFSET($BH$3,0,0,'Données projet'!$E$11+1,1))-AVERAGE(OFFSET($H$3,0,0,'Données projet'!$E$11+1,1))</f>
        <v>169.46470423366029</v>
      </c>
      <c r="BJ35" s="59">
        <f t="shared" si="38"/>
        <v>230.78141128389288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3.6</v>
      </c>
      <c r="BY35" s="12">
        <f>IF('Données projet'!$A$114&gt;35,BY34+BX35-CG34,IF(A35&lt;'Données projet'!$A$114,$BV$205^A35,IF(A35='Données projet'!$A$114,'Données projet'!$B$114,BY34+BX35-CG34)))</f>
        <v>142.19999999999999</v>
      </c>
      <c r="BZ35" s="13">
        <f>BY35*VLOOKUP('Données projet'!$B$12,Paramètres!$A$1:$I$89,3,0)*VLOOKUP('Données projet'!$B$12,Paramètres!$A$1:$I$89,5,0)</f>
        <v>124.22592000000002</v>
      </c>
      <c r="CA35" s="13">
        <f t="shared" si="39"/>
        <v>32.658631616019996</v>
      </c>
      <c r="CB35" s="20">
        <f t="shared" si="10"/>
        <v>273.2405940645682</v>
      </c>
      <c r="CC35" s="59">
        <f t="shared" si="11"/>
        <v>514.21309654509355</v>
      </c>
      <c r="CD35" s="59">
        <f ca="1">AVERAGE(OFFSET($CC$3,0,0,'Données projet'!$E$12+1,1))-AVERAGE(OFFSET($H$3,0,0,'Données projet'!$E$12+1,1))</f>
        <v>342.79161436526499</v>
      </c>
      <c r="CE35" s="59">
        <f t="shared" si="40"/>
        <v>315.50730924873733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</v>
      </c>
      <c r="CT35" s="12">
        <f>IF('Données projet'!$A$140&gt;35,CT34+CS35-DB34,IF(A35&lt;'Données projet'!$A$140,$CQ$205^A35,IF(A35='Données projet'!$A$140,'Données projet'!$B$140,CT34+CS35-DB34)))</f>
        <v>63.999999999999986</v>
      </c>
      <c r="CU35" s="17">
        <f>CT35*VLOOKUP('Données projet'!$B$13,Paramètres!$A$1:$I$89,3,0)*VLOOKUP('Données projet'!$B$13,Paramètres!$A$1:$I$89,5,0)</f>
        <v>42.93119999999999</v>
      </c>
      <c r="CV35" s="13">
        <f t="shared" si="41"/>
        <v>12.772335335285687</v>
      </c>
      <c r="CW35" s="20">
        <f t="shared" si="13"/>
        <v>97.016990708955873</v>
      </c>
      <c r="CX35" s="59">
        <f t="shared" si="14"/>
        <v>337.98949318948121</v>
      </c>
      <c r="CY35" s="59">
        <f ca="1">AVERAGE(OFFSET($CX$3,0,0,'Données projet'!$E$13+1,1))-AVERAGE(OFFSET($H$3,0,0,'Données projet'!$E$13+1,1))</f>
        <v>201.84651193684252</v>
      </c>
      <c r="CZ35" s="59">
        <f t="shared" si="42"/>
        <v>138.00705940844708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5.8</v>
      </c>
      <c r="DO35" s="12">
        <f>IF('Données projet'!$A$166&gt;35,DO34+DN35-DW34,IF(A35&lt;'Données projet'!$A$166,$DL$205^A35,IF(A35='Données projet'!$A$166,'Données projet'!$B$166,DO34+DN35-DW34)))</f>
        <v>188.6</v>
      </c>
      <c r="DP35" s="17">
        <f>DO35*VLOOKUP('Données projet'!$B$14,Paramètres!$A$1:$I$89,3,0)*VLOOKUP('Données projet'!$B$14,Paramètres!$A$1:$I$89,5,0)</f>
        <v>138.28152</v>
      </c>
      <c r="DQ35" s="13">
        <f t="shared" si="43"/>
        <v>35.903043322174675</v>
      </c>
      <c r="DR35" s="20">
        <f t="shared" si="16"/>
        <v>303.37144778612088</v>
      </c>
      <c r="DS35" s="59">
        <f t="shared" si="17"/>
        <v>544.34395026664617</v>
      </c>
      <c r="DT35" s="59">
        <f ca="1">AVERAGE(OFFSET($DS$3,0,0,'Données projet'!$E$14+1,1))-AVERAGE(OFFSET($H$3,0,0,'Données projet'!$E$14+1,1))</f>
        <v>242.21240859696931</v>
      </c>
      <c r="DU35" s="59">
        <f t="shared" si="44"/>
        <v>340.92165104349192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5</v>
      </c>
      <c r="EJ35" s="12">
        <f>IF('Données projet'!$A$192&gt;35,EJ34+EI35-ER34,IF(A35&lt;'Données projet'!$A$192,$EG$205^A35,IF(A35='Données projet'!$A$192,'Données projet'!$B$192,EJ34+EI35-ER34)))</f>
        <v>63.999999999999986</v>
      </c>
      <c r="EK35" s="17">
        <f>EJ35*VLOOKUP('Données projet'!$B$15,Paramètres!$A$1:$I$89,3,0)*VLOOKUP('Données projet'!$B$15,Paramètres!$A$1:$I$89,5,0)</f>
        <v>61.90079999999999</v>
      </c>
      <c r="EL35" s="13">
        <f t="shared" si="45"/>
        <v>17.647975079256284</v>
      </c>
      <c r="EM35" s="20">
        <f t="shared" si="19"/>
        <v>138.54744992970467</v>
      </c>
      <c r="EN35" s="59">
        <f t="shared" si="20"/>
        <v>379.51995241022996</v>
      </c>
      <c r="EO35" s="59">
        <f ca="1">AVERAGE(OFFSET($EN$3,0,0,'Données projet'!$E$15+1,1))-AVERAGE(OFFSET($H$3,0,0,'Données projet'!$E$15+1,1))</f>
        <v>331.7059599630698</v>
      </c>
      <c r="EP35" s="59">
        <f t="shared" si="46"/>
        <v>173.19148969173838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5</v>
      </c>
      <c r="FE35" s="12">
        <f>IF('Données projet'!$A$218&gt;35,FE34+FD35-FM34,IF(A35&lt;'Données projet'!$A$218,$FB$205^A35,IF(A35='Données projet'!$A$218,'Données projet'!$B$218,FE34+FD35-FM34)))</f>
        <v>63.999999999999986</v>
      </c>
      <c r="FF35" s="17">
        <f>FE35*VLOOKUP('Données projet'!$B$16,Paramètres!$A$1:$I$89,3,0)*VLOOKUP('Données projet'!$B$16,Paramètres!$A$1:$I$89,5,0)</f>
        <v>68.889599999999987</v>
      </c>
      <c r="FG35" s="13">
        <f t="shared" si="47"/>
        <v>19.397450021635805</v>
      </c>
      <c r="FH35" s="20">
        <f t="shared" si="22"/>
        <v>153.76661212101567</v>
      </c>
      <c r="FI35" s="59">
        <f t="shared" si="23"/>
        <v>394.73911460154102</v>
      </c>
      <c r="FJ35" s="59">
        <f ca="1">AVERAGE(OFFSET($FI$3,0,0,'Données projet'!$E$16+1,1))-AVERAGE(OFFSET($H$3,0,0,'Données projet'!$E$16+1,1))</f>
        <v>360.86062459677004</v>
      </c>
      <c r="FK35" s="59">
        <f t="shared" si="48"/>
        <v>186.0840067781198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3.8</v>
      </c>
      <c r="FZ35" s="12">
        <f>IF('Données projet'!$A$244&gt;35,FZ34+FY35-GH34,IF(A35&lt;'Données projet'!$A$244,$FW$205^A35,IF(A35='Données projet'!$A$244,'Données projet'!$B$244,FZ34+FY35-GH34)))</f>
        <v>104.60000000000002</v>
      </c>
      <c r="GA35" s="17">
        <f>FZ35*VLOOKUP('Données projet'!$B$17,Paramètres!$A$1:$I$89,3,0)*VLOOKUP('Données projet'!$B$17,Paramètres!$A$1:$I$89,5,0)</f>
        <v>106.06440000000003</v>
      </c>
      <c r="GB35" s="13">
        <f t="shared" si="49"/>
        <v>28.401769490459468</v>
      </c>
      <c r="GC35" s="20">
        <f t="shared" si="25"/>
        <v>234.19524519588359</v>
      </c>
      <c r="GD35" s="59">
        <f t="shared" si="26"/>
        <v>475.16774767640891</v>
      </c>
      <c r="GE35" s="59">
        <f ca="1">AVERAGE(OFFSET($GD$3,0,0,'Données projet'!$E$17+1,1))-AVERAGE(OFFSET($H$3,0,0,'Données projet'!$E$17+1,1))</f>
        <v>448.73339628506784</v>
      </c>
      <c r="GF35" s="59">
        <f t="shared" si="50"/>
        <v>273.35778700650803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3.8</v>
      </c>
      <c r="N36" s="13">
        <f>IF('Données projet'!$A$36&gt;35,N35+M36-V35,IF(A36&lt;'Données projet'!$A$36,$K$205^A36,IF(A36='Données projet'!$A$36,'Données projet'!$B$36,N35+M36-V35)))</f>
        <v>108.40000000000002</v>
      </c>
      <c r="O36" s="13">
        <f>N36*VLOOKUP('Données projet'!$B$9,Paramètres!$A$1:$I$89,3,0)*VLOOKUP('Données projet'!$B$9,Paramètres!$A$1:$I$89,5,0)</f>
        <v>98.080320000000015</v>
      </c>
      <c r="P36" s="13">
        <f t="shared" si="33"/>
        <v>26.504145610568084</v>
      </c>
      <c r="Q36" s="20">
        <f t="shared" si="53"/>
        <v>216.98461093840606</v>
      </c>
      <c r="R36" s="59">
        <f t="shared" si="0"/>
        <v>458.8654567729468</v>
      </c>
      <c r="S36" s="59">
        <f ca="1">AVERAGE(OFFSET($R$3,0,0,'Données projet'!$E$9+1,1))-AVERAGE(OFFSET($H$3,0,0,'Données projet'!$E$9+1,1))</f>
        <v>408.51124670343137</v>
      </c>
      <c r="T36" s="59">
        <f t="shared" si="34"/>
        <v>250.47702091764884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5.2</v>
      </c>
      <c r="AI36" s="13">
        <f>IF('Données projet'!$A$62&gt;35,AI35+AH36-AQ35,IF(A36&lt;'Données projet'!$A$62,$AF$205^A36,IF(A36='Données projet'!$A$62,'Données projet'!$B$62,AI35+AH36-AQ35)))</f>
        <v>161.59999999999994</v>
      </c>
      <c r="AJ36" s="13">
        <f>AI36*VLOOKUP('Données projet'!$B$10,Paramètres!$A$1:$I$89,3,0)*VLOOKUP('Données projet'!$B$10,Paramètres!$A$1:$I$89,5,0)</f>
        <v>128.56895999999995</v>
      </c>
      <c r="AK36" s="13">
        <f t="shared" si="35"/>
        <v>33.665475282053634</v>
      </c>
      <c r="AL36" s="20">
        <f t="shared" si="4"/>
        <v>282.55830811624332</v>
      </c>
      <c r="AM36" s="59">
        <f t="shared" si="5"/>
        <v>524.43915395078409</v>
      </c>
      <c r="AN36" s="59">
        <f ca="1">AVERAGE(OFFSET($AM$3,0,0,'Données projet'!$E$10+1,1))-AVERAGE(OFFSET($H$3,0,0,'Données projet'!$E$10+1,1))</f>
        <v>327.22763817565902</v>
      </c>
      <c r="AO36" s="59">
        <f t="shared" si="36"/>
        <v>311.68541696405975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7.4</v>
      </c>
      <c r="BD36" s="12">
        <f>IF('Données projet'!$A$88&gt;35,BD35+BC36-BL35,IF(A36&lt;'Données projet'!$A$88,$BA$205^A36,IF(A36='Données projet'!$A$88,'Données projet'!$B$88,BD35+BC36-BL35)))</f>
        <v>131.20000000000002</v>
      </c>
      <c r="BE36" s="13">
        <f>BD36*VLOOKUP('Données projet'!$B$11,Paramètres!$A$1:$I$89,3,0)*VLOOKUP('Données projet'!$B$11,Paramètres!$A$1:$I$89,5,0)</f>
        <v>83.915520000000001</v>
      </c>
      <c r="BF36" s="13">
        <f t="shared" si="37"/>
        <v>23.091870453158084</v>
      </c>
      <c r="BG36" s="20">
        <f t="shared" si="7"/>
        <v>186.3712050392503</v>
      </c>
      <c r="BH36" s="59">
        <f t="shared" si="8"/>
        <v>428.25205087379106</v>
      </c>
      <c r="BI36" s="59">
        <f ca="1">AVERAGE(OFFSET($BH$3,0,0,'Données projet'!$E$11+1,1))-AVERAGE(OFFSET($H$3,0,0,'Données projet'!$E$11+1,1))</f>
        <v>169.46470423366029</v>
      </c>
      <c r="BJ36" s="59">
        <f t="shared" si="38"/>
        <v>230.78141128389288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3.6</v>
      </c>
      <c r="BY36" s="12">
        <f>IF('Données projet'!$A$114&gt;35,BY35+BX36-CG35,IF(A36&lt;'Données projet'!$A$114,$BV$205^A36,IF(A36='Données projet'!$A$114,'Données projet'!$B$114,BY35+BX36-CG35)))</f>
        <v>145.79999999999998</v>
      </c>
      <c r="BZ36" s="13">
        <f>BY36*VLOOKUP('Données projet'!$B$12,Paramètres!$A$1:$I$89,3,0)*VLOOKUP('Données projet'!$B$12,Paramètres!$A$1:$I$89,5,0)</f>
        <v>127.37088</v>
      </c>
      <c r="CA36" s="13">
        <f t="shared" si="39"/>
        <v>33.388126388800494</v>
      </c>
      <c r="CB36" s="20">
        <f t="shared" si="10"/>
        <v>279.98860279382751</v>
      </c>
      <c r="CC36" s="59">
        <f t="shared" si="11"/>
        <v>521.86944862836822</v>
      </c>
      <c r="CD36" s="59">
        <f ca="1">AVERAGE(OFFSET($CC$3,0,0,'Données projet'!$E$12+1,1))-AVERAGE(OFFSET($H$3,0,0,'Données projet'!$E$12+1,1))</f>
        <v>342.79161436526499</v>
      </c>
      <c r="CE36" s="59">
        <f t="shared" si="40"/>
        <v>315.50730924873733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</v>
      </c>
      <c r="CT36" s="12">
        <f>IF('Données projet'!$A$140&gt;35,CT35+CS36-DB35,IF(A36&lt;'Données projet'!$A$140,$CQ$205^A36,IF(A36='Données projet'!$A$140,'Données projet'!$B$140,CT35+CS36-DB35)))</f>
        <v>68.999999999999986</v>
      </c>
      <c r="CU36" s="17">
        <f>CT36*VLOOKUP('Données projet'!$B$13,Paramètres!$A$1:$I$89,3,0)*VLOOKUP('Données projet'!$B$13,Paramètres!$A$1:$I$89,5,0)</f>
        <v>46.285199999999996</v>
      </c>
      <c r="CV36" s="13">
        <f t="shared" si="41"/>
        <v>13.650128629818649</v>
      </c>
      <c r="CW36" s="20">
        <f t="shared" si="13"/>
        <v>104.38736403026746</v>
      </c>
      <c r="CX36" s="59">
        <f t="shared" si="14"/>
        <v>346.26820986480823</v>
      </c>
      <c r="CY36" s="59">
        <f ca="1">AVERAGE(OFFSET($CX$3,0,0,'Données projet'!$E$13+1,1))-AVERAGE(OFFSET($H$3,0,0,'Données projet'!$E$13+1,1))</f>
        <v>201.84651193684252</v>
      </c>
      <c r="CZ36" s="59">
        <f t="shared" si="42"/>
        <v>138.00705940844708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5.8</v>
      </c>
      <c r="DO36" s="12">
        <f>IF('Données projet'!$A$166&gt;35,DO35+DN36-DW35,IF(A36&lt;'Données projet'!$A$166,$DL$205^A36,IF(A36='Données projet'!$A$166,'Données projet'!$B$166,DO35+DN36-DW35)))</f>
        <v>194.4</v>
      </c>
      <c r="DP36" s="17">
        <f>DO36*VLOOKUP('Données projet'!$B$14,Paramètres!$A$1:$I$89,3,0)*VLOOKUP('Données projet'!$B$14,Paramètres!$A$1:$I$89,5,0)</f>
        <v>142.53407999999999</v>
      </c>
      <c r="DQ36" s="13">
        <f t="shared" si="43"/>
        <v>36.876920165647533</v>
      </c>
      <c r="DR36" s="20">
        <f t="shared" si="16"/>
        <v>312.47415862183612</v>
      </c>
      <c r="DS36" s="59">
        <f t="shared" si="17"/>
        <v>554.35500445637683</v>
      </c>
      <c r="DT36" s="59">
        <f ca="1">AVERAGE(OFFSET($DS$3,0,0,'Données projet'!$E$14+1,1))-AVERAGE(OFFSET($H$3,0,0,'Données projet'!$E$14+1,1))</f>
        <v>242.21240859696931</v>
      </c>
      <c r="DU36" s="59">
        <f t="shared" si="44"/>
        <v>340.92165104349192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5</v>
      </c>
      <c r="EJ36" s="12">
        <f>IF('Données projet'!$A$192&gt;35,EJ35+EI36-ER35,IF(A36&lt;'Données projet'!$A$192,$EG$205^A36,IF(A36='Données projet'!$A$192,'Données projet'!$B$192,EJ35+EI36-ER35)))</f>
        <v>68.999999999999986</v>
      </c>
      <c r="EK36" s="17">
        <f>EJ36*VLOOKUP('Données projet'!$B$15,Paramètres!$A$1:$I$89,3,0)*VLOOKUP('Données projet'!$B$15,Paramètres!$A$1:$I$89,5,0)</f>
        <v>66.736799999999988</v>
      </c>
      <c r="EL36" s="13">
        <f t="shared" si="45"/>
        <v>18.860852268900583</v>
      </c>
      <c r="EM36" s="20">
        <f t="shared" si="19"/>
        <v>149.0825777016685</v>
      </c>
      <c r="EN36" s="59">
        <f t="shared" si="20"/>
        <v>390.96342353620923</v>
      </c>
      <c r="EO36" s="59">
        <f ca="1">AVERAGE(OFFSET($EN$3,0,0,'Données projet'!$E$15+1,1))-AVERAGE(OFFSET($H$3,0,0,'Données projet'!$E$15+1,1))</f>
        <v>331.7059599630698</v>
      </c>
      <c r="EP36" s="59">
        <f t="shared" si="46"/>
        <v>173.19148969173838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5</v>
      </c>
      <c r="FE36" s="12">
        <f>IF('Données projet'!$A$218&gt;35,FE35+FD36-FM35,IF(A36&lt;'Données projet'!$A$218,$FB$205^A36,IF(A36='Données projet'!$A$218,'Données projet'!$B$218,FE35+FD36-FM35)))</f>
        <v>68.999999999999986</v>
      </c>
      <c r="FF36" s="17">
        <f>FE36*VLOOKUP('Données projet'!$B$16,Paramètres!$A$1:$I$89,3,0)*VLOOKUP('Données projet'!$B$16,Paramètres!$A$1:$I$89,5,0)</f>
        <v>74.271599999999978</v>
      </c>
      <c r="FG36" s="13">
        <f t="shared" si="47"/>
        <v>20.730561869473863</v>
      </c>
      <c r="FH36" s="20">
        <f t="shared" si="22"/>
        <v>165.46209858933358</v>
      </c>
      <c r="FI36" s="59">
        <f t="shared" si="23"/>
        <v>407.34294442387431</v>
      </c>
      <c r="FJ36" s="59">
        <f ca="1">AVERAGE(OFFSET($FI$3,0,0,'Données projet'!$E$16+1,1))-AVERAGE(OFFSET($H$3,0,0,'Données projet'!$E$16+1,1))</f>
        <v>360.86062459677004</v>
      </c>
      <c r="FK36" s="59">
        <f t="shared" si="48"/>
        <v>186.0840067781198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3.8</v>
      </c>
      <c r="FZ36" s="12">
        <f>IF('Données projet'!$A$244&gt;35,FZ35+FY36-GH35,IF(A36&lt;'Données projet'!$A$244,$FW$205^A36,IF(A36='Données projet'!$A$244,'Données projet'!$B$244,FZ35+FY36-GH35)))</f>
        <v>108.40000000000002</v>
      </c>
      <c r="GA36" s="17">
        <f>FZ36*VLOOKUP('Données projet'!$B$17,Paramètres!$A$1:$I$89,3,0)*VLOOKUP('Données projet'!$B$17,Paramètres!$A$1:$I$89,5,0)</f>
        <v>109.91760000000004</v>
      </c>
      <c r="GB36" s="13">
        <f t="shared" si="49"/>
        <v>29.311569643229223</v>
      </c>
      <c r="GC36" s="20">
        <f t="shared" si="25"/>
        <v>242.49080379529093</v>
      </c>
      <c r="GD36" s="59">
        <f t="shared" si="26"/>
        <v>484.37164962983167</v>
      </c>
      <c r="GE36" s="59">
        <f ca="1">AVERAGE(OFFSET($GD$3,0,0,'Données projet'!$E$17+1,1))-AVERAGE(OFFSET($H$3,0,0,'Données projet'!$E$17+1,1))</f>
        <v>448.73339628506784</v>
      </c>
      <c r="GF36" s="59">
        <f t="shared" si="50"/>
        <v>273.35778700650803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3.8</v>
      </c>
      <c r="N37" s="13">
        <f>IF('Données projet'!$A$36&gt;35,N36+M37-V36,IF(A37&lt;'Données projet'!$A$36,$K$205^A37,IF(A37='Données projet'!$A$36,'Données projet'!$B$36,N36+M37-V36)))</f>
        <v>112.20000000000002</v>
      </c>
      <c r="O37" s="13">
        <f>N37*VLOOKUP('Données projet'!$B$9,Paramètres!$A$1:$I$89,3,0)*VLOOKUP('Données projet'!$B$9,Paramètres!$A$1:$I$89,5,0)</f>
        <v>101.51856000000002</v>
      </c>
      <c r="P37" s="13">
        <f t="shared" si="33"/>
        <v>27.323455582096614</v>
      </c>
      <c r="Q37" s="20">
        <f t="shared" si="53"/>
        <v>224.39984380548495</v>
      </c>
      <c r="R37" s="59">
        <f t="shared" si="0"/>
        <v>467.1732752676005</v>
      </c>
      <c r="S37" s="59">
        <f ca="1">AVERAGE(OFFSET($R$3,0,0,'Données projet'!$E$9+1,1))-AVERAGE(OFFSET($H$3,0,0,'Données projet'!$E$9+1,1))</f>
        <v>408.51124670343137</v>
      </c>
      <c r="T37" s="59">
        <f t="shared" si="34"/>
        <v>250.47702091764884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5.2</v>
      </c>
      <c r="AI37" s="13">
        <f>IF('Données projet'!$A$62&gt;35,AI36+AH37-AQ36,IF(A37&lt;'Données projet'!$A$62,$AF$205^A37,IF(A37='Données projet'!$A$62,'Données projet'!$B$62,AI36+AH37-AQ36)))</f>
        <v>166.79999999999993</v>
      </c>
      <c r="AJ37" s="13">
        <f>AI37*VLOOKUP('Données projet'!$B$10,Paramètres!$A$1:$I$89,3,0)*VLOOKUP('Données projet'!$B$10,Paramètres!$A$1:$I$89,5,0)</f>
        <v>132.70607999999996</v>
      </c>
      <c r="AK37" s="13">
        <f t="shared" si="35"/>
        <v>34.620903232076245</v>
      </c>
      <c r="AL37" s="20">
        <f t="shared" si="4"/>
        <v>291.42782912919938</v>
      </c>
      <c r="AM37" s="59">
        <f t="shared" si="5"/>
        <v>534.20126059131496</v>
      </c>
      <c r="AN37" s="59">
        <f ca="1">AVERAGE(OFFSET($AM$3,0,0,'Données projet'!$E$10+1,1))-AVERAGE(OFFSET($H$3,0,0,'Données projet'!$E$10+1,1))</f>
        <v>327.22763817565902</v>
      </c>
      <c r="AO37" s="59">
        <f t="shared" si="36"/>
        <v>311.68541696405975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7.4</v>
      </c>
      <c r="BD37" s="12">
        <f>IF('Données projet'!$A$88&gt;35,BD36+BC37-BL36,IF(A37&lt;'Données projet'!$A$88,$BA$205^A37,IF(A37='Données projet'!$A$88,'Données projet'!$B$88,BD36+BC37-BL36)))</f>
        <v>138.60000000000002</v>
      </c>
      <c r="BE37" s="13">
        <f>BD37*VLOOKUP('Données projet'!$B$11,Paramètres!$A$1:$I$89,3,0)*VLOOKUP('Données projet'!$B$11,Paramètres!$A$1:$I$89,5,0)</f>
        <v>88.648560000000018</v>
      </c>
      <c r="BF37" s="13">
        <f t="shared" si="37"/>
        <v>24.239003759473157</v>
      </c>
      <c r="BG37" s="20">
        <f t="shared" si="7"/>
        <v>196.61250688108245</v>
      </c>
      <c r="BH37" s="59">
        <f t="shared" si="8"/>
        <v>439.38593834319806</v>
      </c>
      <c r="BI37" s="59">
        <f ca="1">AVERAGE(OFFSET($BH$3,0,0,'Données projet'!$E$11+1,1))-AVERAGE(OFFSET($H$3,0,0,'Données projet'!$E$11+1,1))</f>
        <v>169.46470423366029</v>
      </c>
      <c r="BJ37" s="59">
        <f t="shared" si="38"/>
        <v>230.78141128389288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3.6</v>
      </c>
      <c r="BY37" s="12">
        <f>IF('Données projet'!$A$114&gt;35,BY36+BX37-CG36,IF(A37&lt;'Données projet'!$A$114,$BV$205^A37,IF(A37='Données projet'!$A$114,'Données projet'!$B$114,BY36+BX37-CG36)))</f>
        <v>149.39999999999998</v>
      </c>
      <c r="BZ37" s="13">
        <f>BY37*VLOOKUP('Données projet'!$B$12,Paramètres!$A$1:$I$89,3,0)*VLOOKUP('Données projet'!$B$12,Paramètres!$A$1:$I$89,5,0)</f>
        <v>130.51584</v>
      </c>
      <c r="CA37" s="13">
        <f t="shared" si="39"/>
        <v>34.115527324758368</v>
      </c>
      <c r="CB37" s="20">
        <f t="shared" si="10"/>
        <v>286.7329647572875</v>
      </c>
      <c r="CC37" s="59">
        <f t="shared" si="11"/>
        <v>529.50639621940309</v>
      </c>
      <c r="CD37" s="59">
        <f ca="1">AVERAGE(OFFSET($CC$3,0,0,'Données projet'!$E$12+1,1))-AVERAGE(OFFSET($H$3,0,0,'Données projet'!$E$12+1,1))</f>
        <v>342.79161436526499</v>
      </c>
      <c r="CE37" s="59">
        <f t="shared" si="40"/>
        <v>315.50730924873733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</v>
      </c>
      <c r="CT37" s="12">
        <f>IF('Données projet'!$A$140&gt;35,CT36+CS37-DB36,IF(A37&lt;'Données projet'!$A$140,$CQ$205^A37,IF(A37='Données projet'!$A$140,'Données projet'!$B$140,CT36+CS37-DB36)))</f>
        <v>73.999999999999986</v>
      </c>
      <c r="CU37" s="17">
        <f>CT37*VLOOKUP('Données projet'!$B$13,Paramètres!$A$1:$I$89,3,0)*VLOOKUP('Données projet'!$B$13,Paramètres!$A$1:$I$89,5,0)</f>
        <v>49.639199999999988</v>
      </c>
      <c r="CV37" s="13">
        <f t="shared" si="41"/>
        <v>14.520542252452634</v>
      </c>
      <c r="CW37" s="20">
        <f t="shared" si="13"/>
        <v>111.74488442302163</v>
      </c>
      <c r="CX37" s="59">
        <f t="shared" si="14"/>
        <v>354.51831588513721</v>
      </c>
      <c r="CY37" s="59">
        <f ca="1">AVERAGE(OFFSET($CX$3,0,0,'Données projet'!$E$13+1,1))-AVERAGE(OFFSET($H$3,0,0,'Données projet'!$E$13+1,1))</f>
        <v>201.84651193684252</v>
      </c>
      <c r="CZ37" s="59">
        <f t="shared" si="42"/>
        <v>138.00705940844708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5.8</v>
      </c>
      <c r="DO37" s="12">
        <f>IF('Données projet'!$A$166&gt;35,DO36+DN37-DW36,IF(A37&lt;'Données projet'!$A$166,$DL$205^A37,IF(A37='Données projet'!$A$166,'Données projet'!$B$166,DO36+DN37-DW36)))</f>
        <v>200.20000000000002</v>
      </c>
      <c r="DP37" s="17">
        <f>DO37*VLOOKUP('Données projet'!$B$14,Paramètres!$A$1:$I$89,3,0)*VLOOKUP('Données projet'!$B$14,Paramètres!$A$1:$I$89,5,0)</f>
        <v>146.78664000000001</v>
      </c>
      <c r="DQ37" s="13">
        <f t="shared" si="43"/>
        <v>37.847420227803333</v>
      </c>
      <c r="DR37" s="20">
        <f t="shared" si="16"/>
        <v>321.57098823009079</v>
      </c>
      <c r="DS37" s="59">
        <f t="shared" si="17"/>
        <v>564.34441969220643</v>
      </c>
      <c r="DT37" s="59">
        <f ca="1">AVERAGE(OFFSET($DS$3,0,0,'Données projet'!$E$14+1,1))-AVERAGE(OFFSET($H$3,0,0,'Données projet'!$E$14+1,1))</f>
        <v>242.21240859696931</v>
      </c>
      <c r="DU37" s="59">
        <f t="shared" si="44"/>
        <v>340.92165104349192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5</v>
      </c>
      <c r="EJ37" s="12">
        <f>IF('Données projet'!$A$192&gt;35,EJ36+EI37-ER36,IF(A37&lt;'Données projet'!$A$192,$EG$205^A37,IF(A37='Données projet'!$A$192,'Données projet'!$B$192,EJ36+EI37-ER36)))</f>
        <v>73.999999999999986</v>
      </c>
      <c r="EK37" s="17">
        <f>EJ37*VLOOKUP('Données projet'!$B$15,Paramètres!$A$1:$I$89,3,0)*VLOOKUP('Données projet'!$B$15,Paramètres!$A$1:$I$89,5,0)</f>
        <v>71.572799999999987</v>
      </c>
      <c r="EL37" s="13">
        <f t="shared" si="45"/>
        <v>20.063532712034</v>
      </c>
      <c r="EM37" s="20">
        <f t="shared" si="19"/>
        <v>159.59994614012587</v>
      </c>
      <c r="EN37" s="59">
        <f t="shared" si="20"/>
        <v>402.37337760224148</v>
      </c>
      <c r="EO37" s="59">
        <f ca="1">AVERAGE(OFFSET($EN$3,0,0,'Données projet'!$E$15+1,1))-AVERAGE(OFFSET($H$3,0,0,'Données projet'!$E$15+1,1))</f>
        <v>331.7059599630698</v>
      </c>
      <c r="EP37" s="59">
        <f t="shared" si="46"/>
        <v>173.19148969173838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5</v>
      </c>
      <c r="FE37" s="12">
        <f>IF('Données projet'!$A$218&gt;35,FE36+FD37-FM36,IF(A37&lt;'Données projet'!$A$218,$FB$205^A37,IF(A37='Données projet'!$A$218,'Données projet'!$B$218,FE36+FD37-FM36)))</f>
        <v>73.999999999999986</v>
      </c>
      <c r="FF37" s="17">
        <f>FE37*VLOOKUP('Données projet'!$B$16,Paramètres!$A$1:$I$89,3,0)*VLOOKUP('Données projet'!$B$16,Paramètres!$A$1:$I$89,5,0)</f>
        <v>79.653599999999983</v>
      </c>
      <c r="FG37" s="13">
        <f t="shared" si="47"/>
        <v>22.052466149308238</v>
      </c>
      <c r="FH37" s="20">
        <f t="shared" si="22"/>
        <v>177.13806521004514</v>
      </c>
      <c r="FI37" s="59">
        <f t="shared" si="23"/>
        <v>419.91149667216075</v>
      </c>
      <c r="FJ37" s="59">
        <f ca="1">AVERAGE(OFFSET($FI$3,0,0,'Données projet'!$E$16+1,1))-AVERAGE(OFFSET($H$3,0,0,'Données projet'!$E$16+1,1))</f>
        <v>360.86062459677004</v>
      </c>
      <c r="FK37" s="59">
        <f t="shared" si="48"/>
        <v>186.0840067781198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3.8</v>
      </c>
      <c r="FZ37" s="12">
        <f>IF('Données projet'!$A$244&gt;35,FZ36+FY37-GH36,IF(A37&lt;'Données projet'!$A$244,$FW$205^A37,IF(A37='Données projet'!$A$244,'Données projet'!$B$244,FZ36+FY37-GH36)))</f>
        <v>112.20000000000002</v>
      </c>
      <c r="GA37" s="17">
        <f>FZ37*VLOOKUP('Données projet'!$B$17,Paramètres!$A$1:$I$89,3,0)*VLOOKUP('Données projet'!$B$17,Paramètres!$A$1:$I$89,5,0)</f>
        <v>113.77080000000001</v>
      </c>
      <c r="GB37" s="13">
        <f t="shared" si="49"/>
        <v>30.217664170580228</v>
      </c>
      <c r="GC37" s="20">
        <f t="shared" si="25"/>
        <v>250.77990843042721</v>
      </c>
      <c r="GD37" s="59">
        <f t="shared" si="26"/>
        <v>493.55333989254279</v>
      </c>
      <c r="GE37" s="59">
        <f ca="1">AVERAGE(OFFSET($GD$3,0,0,'Données projet'!$E$17+1,1))-AVERAGE(OFFSET($H$3,0,0,'Données projet'!$E$17+1,1))</f>
        <v>448.73339628506784</v>
      </c>
      <c r="GF37" s="59">
        <f t="shared" si="50"/>
        <v>273.35778700650803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116</v>
      </c>
      <c r="L38" s="12">
        <f>VLOOKUP(A38,'Données projet'!$A$35:$I$55,9,0)</f>
        <v>3.8</v>
      </c>
      <c r="M38" s="12">
        <f t="array" ref="M38">INDEX(L:L,MIN(IF(ISNUMBER(L38:L234),ROW(L38:L234),"")))</f>
        <v>3.8</v>
      </c>
      <c r="N38" s="13">
        <f>IF('Données projet'!$A$36&gt;35,N37+M38-V37,IF(A38&lt;'Données projet'!$A$36,$K$205^A38,IF(A38='Données projet'!$A$36,'Données projet'!$B$36,N37+M38-V37)))</f>
        <v>116.00000000000001</v>
      </c>
      <c r="O38" s="13">
        <f>N38*VLOOKUP('Données projet'!$B$9,Paramètres!$A$1:$I$89,3,0)*VLOOKUP('Données projet'!$B$9,Paramètres!$A$1:$I$89,5,0)</f>
        <v>104.9568</v>
      </c>
      <c r="P38" s="13">
        <f t="shared" si="33"/>
        <v>28.139541339232373</v>
      </c>
      <c r="Q38" s="20">
        <f t="shared" si="53"/>
        <v>231.8094611658297</v>
      </c>
      <c r="R38" s="59">
        <f t="shared" si="0"/>
        <v>475.45999389040423</v>
      </c>
      <c r="S38" s="59">
        <f ca="1">AVERAGE(OFFSET($R$3,0,0,'Données projet'!$E$9+1,1))-AVERAGE(OFFSET($H$3,0,0,'Données projet'!$E$9+1,1))</f>
        <v>408.51124670343137</v>
      </c>
      <c r="T38" s="59">
        <f t="shared" si="34"/>
        <v>250.47702091764884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21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172</v>
      </c>
      <c r="AG38" s="12">
        <f>VLOOKUP(A38,'Données projet'!$A$61:$I$81,9,0)</f>
        <v>5.2</v>
      </c>
      <c r="AH38" s="12">
        <f t="array" ref="AH38">INDEX(AG:AG,MIN(IF(ISNUMBER(AG38:AG234),ROW(AG38:AG234),"")))</f>
        <v>5.2</v>
      </c>
      <c r="AI38" s="13">
        <f>IF('Données projet'!$A$62&gt;35,AI37+AH38-AQ37,IF(A38&lt;'Données projet'!$A$62,$AF$205^A38,IF(A38='Données projet'!$A$62,'Données projet'!$B$62,AI37+AH38-AQ37)))</f>
        <v>171.99999999999991</v>
      </c>
      <c r="AJ38" s="13">
        <f>AI38*VLOOKUP('Données projet'!$B$10,Paramètres!$A$1:$I$89,3,0)*VLOOKUP('Données projet'!$B$10,Paramètres!$A$1:$I$89,5,0)</f>
        <v>136.84319999999994</v>
      </c>
      <c r="AK38" s="13">
        <f t="shared" si="35"/>
        <v>35.572869837729613</v>
      </c>
      <c r="AL38" s="20">
        <f t="shared" si="4"/>
        <v>300.29132163404557</v>
      </c>
      <c r="AM38" s="59">
        <f t="shared" si="5"/>
        <v>543.94185435862005</v>
      </c>
      <c r="AN38" s="59">
        <f ca="1">AVERAGE(OFFSET($AM$3,0,0,'Données projet'!$E$10+1,1))-AVERAGE(OFFSET($H$3,0,0,'Données projet'!$E$10+1,1))</f>
        <v>327.22763817565902</v>
      </c>
      <c r="AO38" s="59">
        <f t="shared" si="36"/>
        <v>311.68541696405975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0.10600000000000001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2.6103923103826401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2.6103923103826401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146</v>
      </c>
      <c r="BB38" s="12">
        <f>VLOOKUP(A38,'Données projet'!$A$87:$I$107,9,0)</f>
        <v>7.4</v>
      </c>
      <c r="BC38" s="12">
        <f t="array" ref="BC38">INDEX(BB:BB,MIN(IF(ISNUMBER(BB38:BB234),ROW(BB38:BB234),"")))</f>
        <v>7.4</v>
      </c>
      <c r="BD38" s="12">
        <f>IF('Données projet'!$A$88&gt;35,BD37+BC38-BL37,IF(A38&lt;'Données projet'!$A$88,$BA$205^A38,IF(A38='Données projet'!$A$88,'Données projet'!$B$88,BD37+BC38-BL37)))</f>
        <v>146.00000000000003</v>
      </c>
      <c r="BE38" s="13">
        <f>BD38*VLOOKUP('Données projet'!$B$11,Paramètres!$A$1:$I$89,3,0)*VLOOKUP('Données projet'!$B$11,Paramètres!$A$1:$I$89,5,0)</f>
        <v>93.38160000000002</v>
      </c>
      <c r="BF38" s="13">
        <f t="shared" si="37"/>
        <v>25.379026495745208</v>
      </c>
      <c r="BG38" s="20">
        <f t="shared" si="7"/>
        <v>206.84142448008961</v>
      </c>
      <c r="BH38" s="59">
        <f t="shared" si="8"/>
        <v>450.49195720466412</v>
      </c>
      <c r="BI38" s="59">
        <f ca="1">AVERAGE(OFFSET($BH$3,0,0,'Données projet'!$E$11+1,1))-AVERAGE(OFFSET($H$3,0,0,'Données projet'!$E$11+1,1))</f>
        <v>169.46470423366029</v>
      </c>
      <c r="BJ38" s="59">
        <f t="shared" si="38"/>
        <v>230.78141128389288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15</v>
      </c>
      <c r="BM38" s="16">
        <f>IF(ISNA(VLOOKUP(A38,'Données projet'!$A$87:$I$107,5,0)),0%,VLOOKUP(A38,'Données projet'!$A$87:$I$107,5,0)*VLOOKUP('Données projet'!$B$11,Paramètres!$A$1:$I$89,7,0))</f>
        <v>8.6000000000000007E-2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0.91210592262656476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0.91210592262656476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153</v>
      </c>
      <c r="BW38" s="12">
        <f>VLOOKUP(A38,'Données projet'!$A$113:$I$133,9,0)</f>
        <v>3.6</v>
      </c>
      <c r="BX38" s="12">
        <f t="array" ref="BX38">INDEX(BW:BW,MIN(IF(ISNUMBER(BW38:BW234),ROW(BW38:BW234),"")))</f>
        <v>3.6</v>
      </c>
      <c r="BY38" s="12">
        <f>IF('Données projet'!$A$114&gt;35,BY37+BX38-CG37,IF(A38&lt;'Données projet'!$A$114,$BV$205^A38,IF(A38='Données projet'!$A$114,'Données projet'!$B$114,BY37+BX38-CG37)))</f>
        <v>152.99999999999997</v>
      </c>
      <c r="BZ38" s="13">
        <f>BY38*VLOOKUP('Données projet'!$B$12,Paramètres!$A$1:$I$89,3,0)*VLOOKUP('Données projet'!$B$12,Paramètres!$A$1:$I$89,5,0)</f>
        <v>133.66079999999999</v>
      </c>
      <c r="CA38" s="13">
        <f t="shared" si="39"/>
        <v>34.840890682716747</v>
      </c>
      <c r="CB38" s="20">
        <f t="shared" si="10"/>
        <v>293.47377793906497</v>
      </c>
      <c r="CC38" s="59">
        <f t="shared" si="11"/>
        <v>537.12431066363945</v>
      </c>
      <c r="CD38" s="59">
        <f ca="1">AVERAGE(OFFSET($CC$3,0,0,'Données projet'!$E$12+1,1))-AVERAGE(OFFSET($H$3,0,0,'Données projet'!$E$12+1,1))</f>
        <v>342.79161436526499</v>
      </c>
      <c r="CE38" s="59">
        <f t="shared" si="40"/>
        <v>315.50730924873733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24</v>
      </c>
      <c r="CH38" s="16">
        <f>IF(ISNA(VLOOKUP(A38,'Données projet'!$A$113:$I$133,5,0)),0%,VLOOKUP(A38,'Données projet'!$A$113:$I$133,5,0)*VLOOKUP('Données projet'!$B$12,Paramètres!$A$1:$I$89,7,0))</f>
        <v>8.6000000000000007E-2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1.9932851382278101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1.9932851382278101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79</v>
      </c>
      <c r="CR38" s="12">
        <f>VLOOKUP(A38,'Données projet'!$A$139:$I$159,9,0)</f>
        <v>5</v>
      </c>
      <c r="CS38" s="12">
        <f t="array" ref="CS38">INDEX(CR:CR,MIN(IF(ISNUMBER(CR38:CR234),ROW(CR38:CR234),"")))</f>
        <v>5</v>
      </c>
      <c r="CT38" s="12">
        <f>IF('Données projet'!$A$140&gt;35,CT37+CS38-DB37,IF(A38&lt;'Données projet'!$A$140,$CQ$205^A38,IF(A38='Données projet'!$A$140,'Données projet'!$B$140,CT37+CS38-DB37)))</f>
        <v>78.999999999999986</v>
      </c>
      <c r="CU38" s="17">
        <f>CT38*VLOOKUP('Données projet'!$B$13,Paramètres!$A$1:$I$89,3,0)*VLOOKUP('Données projet'!$B$13,Paramètres!$A$1:$I$89,5,0)</f>
        <v>52.993199999999987</v>
      </c>
      <c r="CV38" s="13">
        <f t="shared" si="41"/>
        <v>15.384131560034538</v>
      </c>
      <c r="CW38" s="20">
        <f t="shared" si="13"/>
        <v>119.09051913372679</v>
      </c>
      <c r="CX38" s="59">
        <f t="shared" si="14"/>
        <v>362.74105185830126</v>
      </c>
      <c r="CY38" s="59">
        <f ca="1">AVERAGE(OFFSET($CX$3,0,0,'Données projet'!$E$13+1,1))-AVERAGE(OFFSET($H$3,0,0,'Données projet'!$E$13+1,1))</f>
        <v>201.84651193684252</v>
      </c>
      <c r="CZ38" s="59">
        <f t="shared" si="42"/>
        <v>138.00705940844708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13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206</v>
      </c>
      <c r="DM38" s="12">
        <f>VLOOKUP(A38,'Données projet'!$A$165:$I$185,9,0)</f>
        <v>5.8</v>
      </c>
      <c r="DN38" s="12">
        <f t="array" ref="DN38">INDEX(DM:DM,MIN(IF(ISNUMBER(DM38:DM234),ROW(DM38:DM234),"")))</f>
        <v>5.8</v>
      </c>
      <c r="DO38" s="12">
        <f>IF('Données projet'!$A$166&gt;35,DO37+DN38-DW37,IF(A38&lt;'Données projet'!$A$166,$DL$205^A38,IF(A38='Données projet'!$A$166,'Données projet'!$B$166,DO37+DN38-DW37)))</f>
        <v>206.00000000000003</v>
      </c>
      <c r="DP38" s="17">
        <f>DO38*VLOOKUP('Données projet'!$B$14,Paramètres!$A$1:$I$89,3,0)*VLOOKUP('Données projet'!$B$14,Paramètres!$A$1:$I$89,5,0)</f>
        <v>151.03920000000002</v>
      </c>
      <c r="DQ38" s="13">
        <f t="shared" si="43"/>
        <v>38.814652571726079</v>
      </c>
      <c r="DR38" s="20">
        <f t="shared" si="16"/>
        <v>330.66212656242288</v>
      </c>
      <c r="DS38" s="59">
        <f t="shared" si="17"/>
        <v>574.31265928699736</v>
      </c>
      <c r="DT38" s="59">
        <f ca="1">AVERAGE(OFFSET($DS$3,0,0,'Données projet'!$E$14+1,1))-AVERAGE(OFFSET($H$3,0,0,'Données projet'!$E$14+1,1))</f>
        <v>242.21240859696931</v>
      </c>
      <c r="DU38" s="59">
        <f t="shared" si="44"/>
        <v>340.92165104349192</v>
      </c>
      <c r="DV38" s="15">
        <f>IF(ISNA(VLOOKUP(A38,'Données projet'!$A$165:$I$185,3,0)),0,VLOOKUP(A38,'Données projet'!$A$165:$I$185,3,0))</f>
        <v>6</v>
      </c>
      <c r="DW38" s="15">
        <f>IF(ISNA(VLOOKUP(A38,'Données projet'!$A$165:$I$185,4,0)),0,VLOOKUP(A38,'Données projet'!$A$165:$I$185,4,0))</f>
        <v>35</v>
      </c>
      <c r="DX38" s="16">
        <f>IF(ISNA(VLOOKUP(A38,'Données projet'!$A$165:$I$185,5,0)),0%,VLOOKUP(A38,'Données projet'!$A$165:$I$185,5,0)*VLOOKUP('Données projet'!$B$14,Paramètres!$A$1:$I$89,7,0))</f>
        <v>0.17200000000000001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4.8793959112868261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4.8793959112868261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79</v>
      </c>
      <c r="EH38" s="12">
        <f>VLOOKUP(A38,'Données projet'!$A$191:$I$211,9,0)</f>
        <v>5</v>
      </c>
      <c r="EI38" s="12">
        <f t="array" ref="EI38">INDEX(EH:EH,MIN(IF(ISNUMBER(EH38:EH234),ROW(EH38:EH234),"")))</f>
        <v>5</v>
      </c>
      <c r="EJ38" s="12">
        <f>IF('Données projet'!$A$192&gt;35,EJ37+EI38-ER37,IF(A38&lt;'Données projet'!$A$192,$EG$205^A38,IF(A38='Données projet'!$A$192,'Données projet'!$B$192,EJ37+EI38-ER37)))</f>
        <v>78.999999999999986</v>
      </c>
      <c r="EK38" s="17">
        <f>EJ38*VLOOKUP('Données projet'!$B$15,Paramètres!$A$1:$I$89,3,0)*VLOOKUP('Données projet'!$B$15,Paramètres!$A$1:$I$89,5,0)</f>
        <v>76.408799999999985</v>
      </c>
      <c r="EL38" s="13">
        <f t="shared" si="45"/>
        <v>21.256783764315173</v>
      </c>
      <c r="EM38" s="20">
        <f t="shared" si="19"/>
        <v>170.1008917228489</v>
      </c>
      <c r="EN38" s="59">
        <f t="shared" si="20"/>
        <v>413.7514244474234</v>
      </c>
      <c r="EO38" s="59">
        <f ca="1">AVERAGE(OFFSET($EN$3,0,0,'Données projet'!$E$15+1,1))-AVERAGE(OFFSET($H$3,0,0,'Données projet'!$E$15+1,1))</f>
        <v>331.7059599630698</v>
      </c>
      <c r="EP38" s="59">
        <f t="shared" si="46"/>
        <v>173.19148969173838</v>
      </c>
      <c r="EQ38" s="15">
        <f>IF(ISNA(VLOOKUP(A38,'Données projet'!$A$191:$I$211,3,0)),0,VLOOKUP(A38,'Données projet'!$A$191:$I$211,3,0))</f>
        <v>3</v>
      </c>
      <c r="ER38" s="15">
        <f>IF(ISNA(VLOOKUP(A38,'Données projet'!$A$191:$I$211,4,0)),0,VLOOKUP(A38,'Données projet'!$A$191:$I$211,4,0))</f>
        <v>13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79</v>
      </c>
      <c r="FC38" s="12">
        <f>VLOOKUP(A38,'Données projet'!$A$217:$I$237,9,0)</f>
        <v>5</v>
      </c>
      <c r="FD38" s="12">
        <f t="array" ref="FD38">INDEX(FC:FC,MIN(IF(ISNUMBER(FC38:FC234),ROW(FC38:FC234),"")))</f>
        <v>5</v>
      </c>
      <c r="FE38" s="12">
        <f>IF('Données projet'!$A$218&gt;35,FE37+FD38-FM37,IF(A38&lt;'Données projet'!$A$218,$FB$205^A38,IF(A38='Données projet'!$A$218,'Données projet'!$B$218,FE37+FD38-FM37)))</f>
        <v>78.999999999999986</v>
      </c>
      <c r="FF38" s="17">
        <f>FE38*VLOOKUP('Données projet'!$B$16,Paramètres!$A$1:$I$89,3,0)*VLOOKUP('Données projet'!$B$16,Paramètres!$A$1:$I$89,5,0)</f>
        <v>85.035599999999974</v>
      </c>
      <c r="FG38" s="13">
        <f t="shared" si="47"/>
        <v>23.364006286119412</v>
      </c>
      <c r="FH38" s="20">
        <f t="shared" si="22"/>
        <v>188.79598094832463</v>
      </c>
      <c r="FI38" s="59">
        <f t="shared" si="23"/>
        <v>432.44651367289913</v>
      </c>
      <c r="FJ38" s="59">
        <f ca="1">AVERAGE(OFFSET($FI$3,0,0,'Données projet'!$E$16+1,1))-AVERAGE(OFFSET($H$3,0,0,'Données projet'!$E$16+1,1))</f>
        <v>360.86062459677004</v>
      </c>
      <c r="FK38" s="59">
        <f t="shared" si="48"/>
        <v>186.0840067781198</v>
      </c>
      <c r="FL38" s="15">
        <f>IF(ISNA(VLOOKUP(A38,'Données projet'!$A$217:$I$237,3,0)),0,VLOOKUP(A38,'Données projet'!$A$217:$I$237,3,0))</f>
        <v>3</v>
      </c>
      <c r="FM38" s="15">
        <f>IF(ISNA(VLOOKUP(A38,'Données projet'!$A$217:$I$237,4,0)),0,VLOOKUP(A38,'Données projet'!$A$217:$I$237,4,0))</f>
        <v>13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116</v>
      </c>
      <c r="FX38" s="12">
        <f>VLOOKUP(A38,'Données projet'!$A$243:$I$263,9,0)</f>
        <v>3.8</v>
      </c>
      <c r="FY38" s="12">
        <f t="array" ref="FY38">INDEX(FX:FX,MIN(IF(ISNUMBER(FX38:FX234),ROW(FX38:FX234),"")))</f>
        <v>3.8</v>
      </c>
      <c r="FZ38" s="12">
        <f>IF('Données projet'!$A$244&gt;35,FZ37+FY38-GH37,IF(A38&lt;'Données projet'!$A$244,$FW$205^A38,IF(A38='Données projet'!$A$244,'Données projet'!$B$244,FZ37+FY38-GH37)))</f>
        <v>116.00000000000001</v>
      </c>
      <c r="GA38" s="17">
        <f>FZ38*VLOOKUP('Données projet'!$B$17,Paramètres!$A$1:$I$89,3,0)*VLOOKUP('Données projet'!$B$17,Paramètres!$A$1:$I$89,5,0)</f>
        <v>117.62400000000001</v>
      </c>
      <c r="GB38" s="13">
        <f t="shared" si="49"/>
        <v>31.120192961985413</v>
      </c>
      <c r="GC38" s="20">
        <f t="shared" si="25"/>
        <v>259.06280274212457</v>
      </c>
      <c r="GD38" s="59">
        <f t="shared" si="26"/>
        <v>502.71333546669905</v>
      </c>
      <c r="GE38" s="59">
        <f ca="1">AVERAGE(OFFSET($GD$3,0,0,'Données projet'!$E$17+1,1))-AVERAGE(OFFSET($H$3,0,0,'Données projet'!$E$17+1,1))</f>
        <v>448.73339628506784</v>
      </c>
      <c r="GF38" s="59">
        <f t="shared" si="50"/>
        <v>273.35778700650803</v>
      </c>
      <c r="GG38" s="15">
        <f>IF(ISNA(VLOOKUP(A38,'Données projet'!$A$243:$I$263,3,0)),0,VLOOKUP(A38,'Données projet'!$A$243:$I$263,3,0))</f>
        <v>4</v>
      </c>
      <c r="GH38" s="15">
        <f>IF(ISNA(VLOOKUP(A38,'Données projet'!$A$243:$I$263,4,0)),0,VLOOKUP(A38,'Données projet'!$A$243:$I$263,4,0))</f>
        <v>21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8.4</v>
      </c>
      <c r="N39" s="13">
        <f>IF('Données projet'!$A$36&gt;35,N38+M39-V38,IF(A39&lt;'Données projet'!$A$36,$K$205^A39,IF(A39='Données projet'!$A$36,'Données projet'!$B$36,N38+M39-V38)))</f>
        <v>103.40000000000002</v>
      </c>
      <c r="O39" s="13">
        <f>N39*VLOOKUP('Données projet'!$B$9,Paramètres!$A$1:$I$89,3,0)*VLOOKUP('Données projet'!$B$9,Paramètres!$A$1:$I$89,5,0)</f>
        <v>93.556320000000014</v>
      </c>
      <c r="P39" s="13">
        <f t="shared" si="33"/>
        <v>25.420979659258094</v>
      </c>
      <c r="Q39" s="20">
        <f t="shared" si="53"/>
        <v>207.2187969065412</v>
      </c>
      <c r="R39" s="59">
        <f t="shared" si="0"/>
        <v>451.73121514757565</v>
      </c>
      <c r="S39" s="59">
        <f ca="1">AVERAGE(OFFSET($R$3,0,0,'Données projet'!$E$9+1,1))-AVERAGE(OFFSET($H$3,0,0,'Données projet'!$E$9+1,1))</f>
        <v>408.51124670343137</v>
      </c>
      <c r="T39" s="59">
        <f t="shared" si="34"/>
        <v>250.47702091764884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9.6</v>
      </c>
      <c r="AI39" s="13">
        <f>IF('Données projet'!$A$62&gt;35,AI38+AH39-AQ38,IF(A39&lt;'Données projet'!$A$62,$AF$205^A39,IF(A39='Données projet'!$A$62,'Données projet'!$B$62,AI38+AH39-AQ38)))</f>
        <v>153.59999999999991</v>
      </c>
      <c r="AJ39" s="13">
        <f>AI39*VLOOKUP('Données projet'!$B$10,Paramètres!$A$1:$I$89,3,0)*VLOOKUP('Données projet'!$B$10,Paramètres!$A$1:$I$89,5,0)</f>
        <v>122.20415999999993</v>
      </c>
      <c r="AK39" s="13">
        <f t="shared" si="35"/>
        <v>32.188537573102444</v>
      </c>
      <c r="AL39" s="20">
        <f t="shared" si="4"/>
        <v>268.90061493981995</v>
      </c>
      <c r="AM39" s="59">
        <f t="shared" si="5"/>
        <v>513.41303318085443</v>
      </c>
      <c r="AN39" s="59">
        <f ca="1">AVERAGE(OFFSET($AM$3,0,0,'Données projet'!$E$10+1,1))-AVERAGE(OFFSET($H$3,0,0,'Données projet'!$E$10+1,1))</f>
        <v>327.22763817565902</v>
      </c>
      <c r="AO39" s="59">
        <f t="shared" si="36"/>
        <v>311.68541696405975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2.5592041093581308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2.5592041093581308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</v>
      </c>
      <c r="BD39" s="12">
        <f>IF('Données projet'!$A$88&gt;35,BD38+BC39-BL38,IF(A39&lt;'Données projet'!$A$88,$BA$205^A39,IF(A39='Données projet'!$A$88,'Données projet'!$B$88,BD38+BC39-BL38)))</f>
        <v>138.00000000000003</v>
      </c>
      <c r="BE39" s="13">
        <f>BD39*VLOOKUP('Données projet'!$B$11,Paramètres!$A$1:$I$89,3,0)*VLOOKUP('Données projet'!$B$11,Paramètres!$A$1:$I$89,5,0)</f>
        <v>88.264800000000008</v>
      </c>
      <c r="BF39" s="13">
        <f t="shared" si="37"/>
        <v>24.146263549285706</v>
      </c>
      <c r="BG39" s="20">
        <f t="shared" si="7"/>
        <v>195.78260234833928</v>
      </c>
      <c r="BH39" s="59">
        <f t="shared" si="8"/>
        <v>440.29502058937373</v>
      </c>
      <c r="BI39" s="59">
        <f ca="1">AVERAGE(OFFSET($BH$3,0,0,'Données projet'!$E$11+1,1))-AVERAGE(OFFSET($H$3,0,0,'Données projet'!$E$11+1,1))</f>
        <v>169.46470423366029</v>
      </c>
      <c r="BJ39" s="59">
        <f t="shared" si="38"/>
        <v>230.78141128389288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0.89422008181353763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0.89422008181353763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7.8</v>
      </c>
      <c r="BY39" s="12">
        <f>IF('Données projet'!$A$114&gt;35,BY38+BX39-CG38,IF(A39&lt;'Données projet'!$A$114,$BV$205^A39,IF(A39='Données projet'!$A$114,'Données projet'!$B$114,BY38+BX39-CG38)))</f>
        <v>136.79999999999998</v>
      </c>
      <c r="BZ39" s="13">
        <f>BY39*VLOOKUP('Données projet'!$B$12,Paramètres!$A$1:$I$89,3,0)*VLOOKUP('Données projet'!$B$12,Paramètres!$A$1:$I$89,5,0)</f>
        <v>119.50848000000001</v>
      </c>
      <c r="CA39" s="13">
        <f t="shared" si="39"/>
        <v>31.560332955588962</v>
      </c>
      <c r="CB39" s="20">
        <f t="shared" si="10"/>
        <v>263.11151589765069</v>
      </c>
      <c r="CC39" s="59">
        <f t="shared" si="11"/>
        <v>507.62393413868512</v>
      </c>
      <c r="CD39" s="59">
        <f ca="1">AVERAGE(OFFSET($CC$3,0,0,'Données projet'!$E$12+1,1))-AVERAGE(OFFSET($H$3,0,0,'Données projet'!$E$12+1,1))</f>
        <v>342.79161436526499</v>
      </c>
      <c r="CE39" s="59">
        <f t="shared" si="40"/>
        <v>315.50730924873733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1.9541980324510484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1.9541980324510484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5.4</v>
      </c>
      <c r="CT39" s="12">
        <f>IF('Données projet'!$A$140&gt;35,CT38+CS39-DB38,IF(A39&lt;'Données projet'!$A$140,$CQ$205^A39,IF(A39='Données projet'!$A$140,'Données projet'!$B$140,CT38+CS39-DB38)))</f>
        <v>71.399999999999991</v>
      </c>
      <c r="CU39" s="17">
        <f>CT39*VLOOKUP('Données projet'!$B$13,Paramètres!$A$1:$I$89,3,0)*VLOOKUP('Données projet'!$B$13,Paramètres!$A$1:$I$89,5,0)</f>
        <v>47.895119999999991</v>
      </c>
      <c r="CV39" s="13">
        <f t="shared" si="41"/>
        <v>14.068812032564205</v>
      </c>
      <c r="CW39" s="20">
        <f t="shared" si="13"/>
        <v>107.92051495671598</v>
      </c>
      <c r="CX39" s="59">
        <f t="shared" si="14"/>
        <v>352.4329331977504</v>
      </c>
      <c r="CY39" s="59">
        <f ca="1">AVERAGE(OFFSET($CX$3,0,0,'Données projet'!$E$13+1,1))-AVERAGE(OFFSET($H$3,0,0,'Données projet'!$E$13+1,1))</f>
        <v>201.84651193684252</v>
      </c>
      <c r="CZ39" s="59">
        <f t="shared" si="42"/>
        <v>138.00705940844708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11.4</v>
      </c>
      <c r="DO39" s="12">
        <f>IF('Données projet'!$A$166&gt;35,DO38+DN39-DW38,IF(A39&lt;'Données projet'!$A$166,$DL$205^A39,IF(A39='Données projet'!$A$166,'Données projet'!$B$166,DO38+DN39-DW38)))</f>
        <v>182.40000000000003</v>
      </c>
      <c r="DP39" s="17">
        <f>DO39*VLOOKUP('Données projet'!$B$14,Paramètres!$A$1:$I$89,3,0)*VLOOKUP('Données projet'!$B$14,Paramètres!$A$1:$I$89,5,0)</f>
        <v>133.73568000000003</v>
      </c>
      <c r="DQ39" s="13">
        <f t="shared" si="43"/>
        <v>34.858136849359241</v>
      </c>
      <c r="DR39" s="20">
        <f t="shared" si="16"/>
        <v>293.63423101263402</v>
      </c>
      <c r="DS39" s="59">
        <f t="shared" si="17"/>
        <v>538.14664925366844</v>
      </c>
      <c r="DT39" s="59">
        <f ca="1">AVERAGE(OFFSET($DS$3,0,0,'Données projet'!$E$14+1,1))-AVERAGE(OFFSET($H$3,0,0,'Données projet'!$E$14+1,1))</f>
        <v>242.21240859696931</v>
      </c>
      <c r="DU39" s="59">
        <f t="shared" si="44"/>
        <v>340.92165104349192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4.7837139336041279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4.7837139336041279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5.4</v>
      </c>
      <c r="EJ39" s="12">
        <f>IF('Données projet'!$A$192&gt;35,EJ38+EI39-ER38,IF(A39&lt;'Données projet'!$A$192,$EG$205^A39,IF(A39='Données projet'!$A$192,'Données projet'!$B$192,EJ38+EI39-ER38)))</f>
        <v>71.399999999999991</v>
      </c>
      <c r="EK39" s="17">
        <f>EJ39*VLOOKUP('Données projet'!$B$15,Paramètres!$A$1:$I$89,3,0)*VLOOKUP('Données projet'!$B$15,Paramètres!$A$1:$I$89,5,0)</f>
        <v>69.05807999999999</v>
      </c>
      <c r="EL39" s="13">
        <f t="shared" si="45"/>
        <v>19.439361528467131</v>
      </c>
      <c r="EM39" s="20">
        <f t="shared" si="19"/>
        <v>154.13304399541357</v>
      </c>
      <c r="EN39" s="59">
        <f t="shared" si="20"/>
        <v>398.645462236448</v>
      </c>
      <c r="EO39" s="59">
        <f ca="1">AVERAGE(OFFSET($EN$3,0,0,'Données projet'!$E$15+1,1))-AVERAGE(OFFSET($H$3,0,0,'Données projet'!$E$15+1,1))</f>
        <v>331.7059599630698</v>
      </c>
      <c r="EP39" s="59">
        <f t="shared" si="46"/>
        <v>173.19148969173838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5.4</v>
      </c>
      <c r="FE39" s="12">
        <f>IF('Données projet'!$A$218&gt;35,FE38+FD39-FM38,IF(A39&lt;'Données projet'!$A$218,$FB$205^A39,IF(A39='Données projet'!$A$218,'Données projet'!$B$218,FE38+FD39-FM38)))</f>
        <v>71.399999999999991</v>
      </c>
      <c r="FF39" s="17">
        <f>FE39*VLOOKUP('Données projet'!$B$16,Paramètres!$A$1:$I$89,3,0)*VLOOKUP('Données projet'!$B$16,Paramètres!$A$1:$I$89,5,0)</f>
        <v>76.854959999999991</v>
      </c>
      <c r="FG39" s="13">
        <f t="shared" si="47"/>
        <v>21.366419773799993</v>
      </c>
      <c r="FH39" s="20">
        <f t="shared" si="22"/>
        <v>171.06890310603498</v>
      </c>
      <c r="FI39" s="59">
        <f t="shared" si="23"/>
        <v>415.58132134706943</v>
      </c>
      <c r="FJ39" s="59">
        <f ca="1">AVERAGE(OFFSET($FI$3,0,0,'Données projet'!$E$16+1,1))-AVERAGE(OFFSET($H$3,0,0,'Données projet'!$E$16+1,1))</f>
        <v>360.86062459677004</v>
      </c>
      <c r="FK39" s="59">
        <f t="shared" si="48"/>
        <v>186.0840067781198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8.4</v>
      </c>
      <c r="FZ39" s="12">
        <f>IF('Données projet'!$A$244&gt;35,FZ38+FY39-GH38,IF(A39&lt;'Données projet'!$A$244,$FW$205^A39,IF(A39='Données projet'!$A$244,'Données projet'!$B$244,FZ38+FY39-GH38)))</f>
        <v>103.40000000000002</v>
      </c>
      <c r="GA39" s="17">
        <f>FZ39*VLOOKUP('Données projet'!$B$17,Paramètres!$A$1:$I$89,3,0)*VLOOKUP('Données projet'!$B$17,Paramètres!$A$1:$I$89,5,0)</f>
        <v>104.84760000000004</v>
      </c>
      <c r="GB39" s="13">
        <f t="shared" si="49"/>
        <v>28.113670466115643</v>
      </c>
      <c r="GC39" s="20">
        <f t="shared" si="25"/>
        <v>231.57421272848478</v>
      </c>
      <c r="GD39" s="59">
        <f t="shared" si="26"/>
        <v>476.08663096951921</v>
      </c>
      <c r="GE39" s="59">
        <f ca="1">AVERAGE(OFFSET($GD$3,0,0,'Données projet'!$E$17+1,1))-AVERAGE(OFFSET($H$3,0,0,'Données projet'!$E$17+1,1))</f>
        <v>448.73339628506784</v>
      </c>
      <c r="GF39" s="59">
        <f t="shared" si="50"/>
        <v>273.35778700650803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8.4</v>
      </c>
      <c r="N40" s="13">
        <f>IF('Données projet'!$A$36&gt;35,N39+M40-V39,IF(A40&lt;'Données projet'!$A$36,$K$205^A40,IF(A40='Données projet'!$A$36,'Données projet'!$B$36,N39+M40-V39)))</f>
        <v>111.80000000000003</v>
      </c>
      <c r="O40" s="13">
        <f>N40*VLOOKUP('Données projet'!$B$9,Paramètres!$A$1:$I$89,3,0)*VLOOKUP('Données projet'!$B$9,Paramètres!$A$1:$I$89,5,0)</f>
        <v>101.15664000000001</v>
      </c>
      <c r="P40" s="13">
        <f t="shared" si="33"/>
        <v>27.237366379381644</v>
      </c>
      <c r="Q40" s="20">
        <f t="shared" si="53"/>
        <v>223.61956111075639</v>
      </c>
      <c r="R40" s="59">
        <f t="shared" si="0"/>
        <v>468.97891308142749</v>
      </c>
      <c r="S40" s="59">
        <f ca="1">AVERAGE(OFFSET($R$3,0,0,'Données projet'!$E$9+1,1))-AVERAGE(OFFSET($H$3,0,0,'Données projet'!$E$9+1,1))</f>
        <v>408.51124670343137</v>
      </c>
      <c r="T40" s="59">
        <f t="shared" si="34"/>
        <v>250.47702091764884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9.6</v>
      </c>
      <c r="AI40" s="13">
        <f>IF('Données projet'!$A$62&gt;35,AI39+AH40-AQ39,IF(A40&lt;'Données projet'!$A$62,$AF$205^A40,IF(A40='Données projet'!$A$62,'Données projet'!$B$62,AI39+AH40-AQ39)))</f>
        <v>163.1999999999999</v>
      </c>
      <c r="AJ40" s="13">
        <f>AI40*VLOOKUP('Données projet'!$B$10,Paramètres!$A$1:$I$89,3,0)*VLOOKUP('Données projet'!$B$10,Paramètres!$A$1:$I$89,5,0)</f>
        <v>129.84191999999993</v>
      </c>
      <c r="AK40" s="13">
        <f t="shared" si="35"/>
        <v>33.959829099416822</v>
      </c>
      <c r="AL40" s="20">
        <f t="shared" si="4"/>
        <v>285.28804634815083</v>
      </c>
      <c r="AM40" s="59">
        <f t="shared" si="5"/>
        <v>530.64739831882196</v>
      </c>
      <c r="AN40" s="59">
        <f ca="1">AVERAGE(OFFSET($AM$3,0,0,'Données projet'!$E$10+1,1))-AVERAGE(OFFSET($H$3,0,0,'Données projet'!$E$10+1,1))</f>
        <v>327.22763817565902</v>
      </c>
      <c r="AO40" s="59">
        <f t="shared" si="36"/>
        <v>311.68541696405975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2.5090196777339924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2.5090196777339924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</v>
      </c>
      <c r="BD40" s="12">
        <f>IF('Données projet'!$A$88&gt;35,BD39+BC40-BL39,IF(A40&lt;'Données projet'!$A$88,$BA$205^A40,IF(A40='Données projet'!$A$88,'Données projet'!$B$88,BD39+BC40-BL39)))</f>
        <v>145.00000000000003</v>
      </c>
      <c r="BE40" s="13">
        <f>BD40*VLOOKUP('Données projet'!$B$11,Paramètres!$A$1:$I$89,3,0)*VLOOKUP('Données projet'!$B$11,Paramètres!$A$1:$I$89,5,0)</f>
        <v>92.742000000000019</v>
      </c>
      <c r="BF40" s="13">
        <f t="shared" si="37"/>
        <v>25.225369852433506</v>
      </c>
      <c r="BG40" s="20">
        <f t="shared" si="7"/>
        <v>205.45983582632172</v>
      </c>
      <c r="BH40" s="59">
        <f t="shared" si="8"/>
        <v>450.81918779699282</v>
      </c>
      <c r="BI40" s="59">
        <f ca="1">AVERAGE(OFFSET($BH$3,0,0,'Données projet'!$E$11+1,1))-AVERAGE(OFFSET($H$3,0,0,'Données projet'!$E$11+1,1))</f>
        <v>169.46470423366029</v>
      </c>
      <c r="BJ40" s="59">
        <f t="shared" si="38"/>
        <v>230.78141128389288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0.87668497142956825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0.87668497142956825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7.8</v>
      </c>
      <c r="BY40" s="12">
        <f>IF('Données projet'!$A$114&gt;35,BY39+BX40-CG39,IF(A40&lt;'Données projet'!$A$114,$BV$205^A40,IF(A40='Données projet'!$A$114,'Données projet'!$B$114,BY39+BX40-CG39)))</f>
        <v>144.6</v>
      </c>
      <c r="BZ40" s="13">
        <f>BY40*VLOOKUP('Données projet'!$B$12,Paramètres!$A$1:$I$89,3,0)*VLOOKUP('Données projet'!$B$12,Paramètres!$A$1:$I$89,5,0)</f>
        <v>126.32256000000001</v>
      </c>
      <c r="CA40" s="13">
        <f t="shared" si="39"/>
        <v>33.145196976032764</v>
      </c>
      <c r="CB40" s="20">
        <f t="shared" si="10"/>
        <v>277.73967673325706</v>
      </c>
      <c r="CC40" s="59">
        <f t="shared" si="11"/>
        <v>523.09902870392818</v>
      </c>
      <c r="CD40" s="59">
        <f ca="1">AVERAGE(OFFSET($CC$3,0,0,'Données projet'!$E$12+1,1))-AVERAGE(OFFSET($H$3,0,0,'Données projet'!$E$12+1,1))</f>
        <v>342.79161436526499</v>
      </c>
      <c r="CE40" s="59">
        <f t="shared" si="40"/>
        <v>315.50730924873733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1.9158774009777886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1.9158774009777886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5.4</v>
      </c>
      <c r="CT40" s="12">
        <f>IF('Données projet'!$A$140&gt;35,CT39+CS40-DB39,IF(A40&lt;'Données projet'!$A$140,$CQ$205^A40,IF(A40='Données projet'!$A$140,'Données projet'!$B$140,CT39+CS40-DB39)))</f>
        <v>76.8</v>
      </c>
      <c r="CU40" s="17">
        <f>CT40*VLOOKUP('Données projet'!$B$13,Paramètres!$A$1:$I$89,3,0)*VLOOKUP('Données projet'!$B$13,Paramètres!$A$1:$I$89,5,0)</f>
        <v>51.517440000000001</v>
      </c>
      <c r="CV40" s="13">
        <f t="shared" si="41"/>
        <v>15.004960667471787</v>
      </c>
      <c r="CW40" s="20">
        <f t="shared" si="13"/>
        <v>115.85984782918003</v>
      </c>
      <c r="CX40" s="59">
        <f t="shared" si="14"/>
        <v>361.21919979985114</v>
      </c>
      <c r="CY40" s="59">
        <f ca="1">AVERAGE(OFFSET($CX$3,0,0,'Données projet'!$E$13+1,1))-AVERAGE(OFFSET($H$3,0,0,'Données projet'!$E$13+1,1))</f>
        <v>201.84651193684252</v>
      </c>
      <c r="CZ40" s="59">
        <f t="shared" si="42"/>
        <v>138.00705940844708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11.4</v>
      </c>
      <c r="DO40" s="12">
        <f>IF('Données projet'!$A$166&gt;35,DO39+DN40-DW39,IF(A40&lt;'Données projet'!$A$166,$DL$205^A40,IF(A40='Données projet'!$A$166,'Données projet'!$B$166,DO39+DN40-DW39)))</f>
        <v>193.80000000000004</v>
      </c>
      <c r="DP40" s="17">
        <f>DO40*VLOOKUP('Données projet'!$B$14,Paramètres!$A$1:$I$89,3,0)*VLOOKUP('Données projet'!$B$14,Paramètres!$A$1:$I$89,5,0)</f>
        <v>142.09416000000002</v>
      </c>
      <c r="DQ40" s="13">
        <f t="shared" si="43"/>
        <v>36.77633279983236</v>
      </c>
      <c r="DR40" s="20">
        <f t="shared" si="16"/>
        <v>311.53277495970804</v>
      </c>
      <c r="DS40" s="59">
        <f t="shared" si="17"/>
        <v>556.89212693037916</v>
      </c>
      <c r="DT40" s="59">
        <f ca="1">AVERAGE(OFFSET($DS$3,0,0,'Données projet'!$E$14+1,1))-AVERAGE(OFFSET($H$3,0,0,'Données projet'!$E$14+1,1))</f>
        <v>242.21240859696931</v>
      </c>
      <c r="DU40" s="59">
        <f t="shared" si="44"/>
        <v>340.92165104349192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4.6899082211435434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4.6899082211435434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5.4</v>
      </c>
      <c r="EJ40" s="12">
        <f>IF('Données projet'!$A$192&gt;35,EJ39+EI40-ER39,IF(A40&lt;'Données projet'!$A$192,$EG$205^A40,IF(A40='Données projet'!$A$192,'Données projet'!$B$192,EJ39+EI40-ER39)))</f>
        <v>76.8</v>
      </c>
      <c r="EK40" s="17">
        <f>EJ40*VLOOKUP('Données projet'!$B$15,Paramètres!$A$1:$I$89,3,0)*VLOOKUP('Données projet'!$B$15,Paramètres!$A$1:$I$89,5,0)</f>
        <v>74.280960000000007</v>
      </c>
      <c r="EL40" s="13">
        <f t="shared" si="45"/>
        <v>20.732870299230971</v>
      </c>
      <c r="EM40" s="20">
        <f t="shared" si="19"/>
        <v>165.48242110449394</v>
      </c>
      <c r="EN40" s="59">
        <f t="shared" si="20"/>
        <v>410.84177307516507</v>
      </c>
      <c r="EO40" s="59">
        <f ca="1">AVERAGE(OFFSET($EN$3,0,0,'Données projet'!$E$15+1,1))-AVERAGE(OFFSET($H$3,0,0,'Données projet'!$E$15+1,1))</f>
        <v>331.7059599630698</v>
      </c>
      <c r="EP40" s="59">
        <f t="shared" si="46"/>
        <v>173.19148969173838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5.4</v>
      </c>
      <c r="FE40" s="12">
        <f>IF('Données projet'!$A$218&gt;35,FE39+FD40-FM39,IF(A40&lt;'Données projet'!$A$218,$FB$205^A40,IF(A40='Données projet'!$A$218,'Données projet'!$B$218,FE39+FD40-FM39)))</f>
        <v>76.8</v>
      </c>
      <c r="FF40" s="17">
        <f>FE40*VLOOKUP('Données projet'!$B$16,Paramètres!$A$1:$I$89,3,0)*VLOOKUP('Données projet'!$B$16,Paramètres!$A$1:$I$89,5,0)</f>
        <v>82.667519999999996</v>
      </c>
      <c r="FG40" s="13">
        <f t="shared" si="47"/>
        <v>22.788156353818806</v>
      </c>
      <c r="FH40" s="20">
        <f t="shared" si="22"/>
        <v>183.6686363162344</v>
      </c>
      <c r="FI40" s="59">
        <f t="shared" si="23"/>
        <v>429.0279882869055</v>
      </c>
      <c r="FJ40" s="59">
        <f ca="1">AVERAGE(OFFSET($FI$3,0,0,'Données projet'!$E$16+1,1))-AVERAGE(OFFSET($H$3,0,0,'Données projet'!$E$16+1,1))</f>
        <v>360.86062459677004</v>
      </c>
      <c r="FK40" s="59">
        <f t="shared" si="48"/>
        <v>186.0840067781198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8.4</v>
      </c>
      <c r="FZ40" s="12">
        <f>IF('Données projet'!$A$244&gt;35,FZ39+FY40-GH39,IF(A40&lt;'Données projet'!$A$244,$FW$205^A40,IF(A40='Données projet'!$A$244,'Données projet'!$B$244,FZ39+FY40-GH39)))</f>
        <v>111.80000000000003</v>
      </c>
      <c r="GA40" s="17">
        <f>FZ40*VLOOKUP('Données projet'!$B$17,Paramètres!$A$1:$I$89,3,0)*VLOOKUP('Données projet'!$B$17,Paramètres!$A$1:$I$89,5,0)</f>
        <v>113.36520000000003</v>
      </c>
      <c r="GB40" s="13">
        <f t="shared" si="49"/>
        <v>30.122456058687614</v>
      </c>
      <c r="GC40" s="20">
        <f t="shared" si="25"/>
        <v>249.9076676355476</v>
      </c>
      <c r="GD40" s="59">
        <f t="shared" si="26"/>
        <v>495.2670196062187</v>
      </c>
      <c r="GE40" s="59">
        <f ca="1">AVERAGE(OFFSET($GD$3,0,0,'Données projet'!$E$17+1,1))-AVERAGE(OFFSET($H$3,0,0,'Données projet'!$E$17+1,1))</f>
        <v>448.73339628506784</v>
      </c>
      <c r="GF40" s="59">
        <f t="shared" si="50"/>
        <v>273.35778700650803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8.4</v>
      </c>
      <c r="N41" s="13">
        <f>IF('Données projet'!$A$36&gt;35,N40+M41-V40,IF(A41&lt;'Données projet'!$A$36,$K$205^A41,IF(A41='Données projet'!$A$36,'Données projet'!$B$36,N40+M41-V40)))</f>
        <v>120.20000000000003</v>
      </c>
      <c r="O41" s="13">
        <f>N41*VLOOKUP('Données projet'!$B$9,Paramètres!$A$1:$I$89,3,0)*VLOOKUP('Données projet'!$B$9,Paramètres!$A$1:$I$89,5,0)</f>
        <v>108.75696000000002</v>
      </c>
      <c r="P41" s="13">
        <f t="shared" si="33"/>
        <v>29.037921223305609</v>
      </c>
      <c r="Q41" s="20">
        <f t="shared" si="53"/>
        <v>239.99275146392395</v>
      </c>
      <c r="R41" s="59">
        <f t="shared" si="0"/>
        <v>486.18434475748268</v>
      </c>
      <c r="S41" s="59">
        <f ca="1">AVERAGE(OFFSET($R$3,0,0,'Données projet'!$E$9+1,1))-AVERAGE(OFFSET($H$3,0,0,'Données projet'!$E$9+1,1))</f>
        <v>408.51124670343137</v>
      </c>
      <c r="T41" s="59">
        <f t="shared" si="34"/>
        <v>250.47702091764884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9.6</v>
      </c>
      <c r="AI41" s="13">
        <f>IF('Données projet'!$A$62&gt;35,AI40+AH41-AQ40,IF(A41&lt;'Données projet'!$A$62,$AF$205^A41,IF(A41='Données projet'!$A$62,'Données projet'!$B$62,AI40+AH41-AQ40)))</f>
        <v>172.7999999999999</v>
      </c>
      <c r="AJ41" s="13">
        <f>AI41*VLOOKUP('Données projet'!$B$10,Paramètres!$A$1:$I$89,3,0)*VLOOKUP('Données projet'!$B$10,Paramètres!$A$1:$I$89,5,0)</f>
        <v>137.47967999999992</v>
      </c>
      <c r="AK41" s="13">
        <f t="shared" si="35"/>
        <v>35.719026553355249</v>
      </c>
      <c r="AL41" s="20">
        <f t="shared" si="4"/>
        <v>301.65441391376027</v>
      </c>
      <c r="AM41" s="59">
        <f t="shared" si="5"/>
        <v>547.84600720731896</v>
      </c>
      <c r="AN41" s="59">
        <f ca="1">AVERAGE(OFFSET($AM$3,0,0,'Données projet'!$E$10+1,1))-AVERAGE(OFFSET($H$3,0,0,'Données projet'!$E$10+1,1))</f>
        <v>327.22763817565902</v>
      </c>
      <c r="AO41" s="59">
        <f t="shared" si="36"/>
        <v>311.68541696405975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2.4598193322045225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2.4598193322045225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</v>
      </c>
      <c r="BD41" s="12">
        <f>IF('Données projet'!$A$88&gt;35,BD40+BC41-BL40,IF(A41&lt;'Données projet'!$A$88,$BA$205^A41,IF(A41='Données projet'!$A$88,'Données projet'!$B$88,BD40+BC41-BL40)))</f>
        <v>152.00000000000003</v>
      </c>
      <c r="BE41" s="13">
        <f>BD41*VLOOKUP('Données projet'!$B$11,Paramètres!$A$1:$I$89,3,0)*VLOOKUP('Données projet'!$B$11,Paramètres!$A$1:$I$89,5,0)</f>
        <v>97.219200000000015</v>
      </c>
      <c r="BF41" s="13">
        <f t="shared" si="37"/>
        <v>26.298426846893907</v>
      </c>
      <c r="BG41" s="20">
        <f t="shared" si="7"/>
        <v>215.1265334250069</v>
      </c>
      <c r="BH41" s="59">
        <f t="shared" si="8"/>
        <v>461.31812671856562</v>
      </c>
      <c r="BI41" s="59">
        <f ca="1">AVERAGE(OFFSET($BH$3,0,0,'Données projet'!$E$11+1,1))-AVERAGE(OFFSET($H$3,0,0,'Données projet'!$E$11+1,1))</f>
        <v>169.46470423366029</v>
      </c>
      <c r="BJ41" s="59">
        <f t="shared" si="38"/>
        <v>230.78141128389288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0.85949371386486728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0.85949371386486728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7.8</v>
      </c>
      <c r="BY41" s="12">
        <f>IF('Données projet'!$A$114&gt;35,BY40+BX41-CG40,IF(A41&lt;'Données projet'!$A$114,$BV$205^A41,IF(A41='Données projet'!$A$114,'Données projet'!$B$114,BY40+BX41-CG40)))</f>
        <v>152.4</v>
      </c>
      <c r="BZ41" s="13">
        <f>BY41*VLOOKUP('Données projet'!$B$12,Paramètres!$A$1:$I$89,3,0)*VLOOKUP('Données projet'!$B$12,Paramètres!$A$1:$I$89,5,0)</f>
        <v>133.13664000000003</v>
      </c>
      <c r="CA41" s="13">
        <f t="shared" si="39"/>
        <v>34.720135986247143</v>
      </c>
      <c r="CB41" s="20">
        <f t="shared" si="10"/>
        <v>292.35055150938047</v>
      </c>
      <c r="CC41" s="59">
        <f t="shared" si="11"/>
        <v>538.54214480293922</v>
      </c>
      <c r="CD41" s="59">
        <f ca="1">AVERAGE(OFFSET($CC$3,0,0,'Données projet'!$E$12+1,1))-AVERAGE(OFFSET($H$3,0,0,'Données projet'!$E$12+1,1))</f>
        <v>342.79161436526499</v>
      </c>
      <c r="CE41" s="59">
        <f t="shared" si="40"/>
        <v>315.50730924873733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1.878308213714442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1.878308213714442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5.4</v>
      </c>
      <c r="CT41" s="12">
        <f>IF('Données projet'!$A$140&gt;35,CT40+CS41-DB40,IF(A41&lt;'Données projet'!$A$140,$CQ$205^A41,IF(A41='Données projet'!$A$140,'Données projet'!$B$140,CT40+CS41-DB40)))</f>
        <v>82.2</v>
      </c>
      <c r="CU41" s="17">
        <f>CT41*VLOOKUP('Données projet'!$B$13,Paramètres!$A$1:$I$89,3,0)*VLOOKUP('Données projet'!$B$13,Paramètres!$A$1:$I$89,5,0)</f>
        <v>55.13976000000001</v>
      </c>
      <c r="CV41" s="13">
        <f t="shared" si="41"/>
        <v>15.933472139197503</v>
      </c>
      <c r="CW41" s="20">
        <f t="shared" si="13"/>
        <v>123.78587930910233</v>
      </c>
      <c r="CX41" s="59">
        <f t="shared" si="14"/>
        <v>369.97747260266107</v>
      </c>
      <c r="CY41" s="59">
        <f ca="1">AVERAGE(OFFSET($CX$3,0,0,'Données projet'!$E$13+1,1))-AVERAGE(OFFSET($H$3,0,0,'Données projet'!$E$13+1,1))</f>
        <v>201.84651193684252</v>
      </c>
      <c r="CZ41" s="59">
        <f t="shared" si="42"/>
        <v>138.00705940844708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11.4</v>
      </c>
      <c r="DO41" s="12">
        <f>IF('Données projet'!$A$166&gt;35,DO40+DN41-DW40,IF(A41&lt;'Données projet'!$A$166,$DL$205^A41,IF(A41='Données projet'!$A$166,'Données projet'!$B$166,DO40+DN41-DW40)))</f>
        <v>205.20000000000005</v>
      </c>
      <c r="DP41" s="17">
        <f>DO41*VLOOKUP('Données projet'!$B$14,Paramètres!$A$1:$I$89,3,0)*VLOOKUP('Données projet'!$B$14,Paramètres!$A$1:$I$89,5,0)</f>
        <v>150.45264000000003</v>
      </c>
      <c r="DQ41" s="13">
        <f t="shared" si="43"/>
        <v>38.68143163991364</v>
      </c>
      <c r="DR41" s="20">
        <f t="shared" si="16"/>
        <v>329.40850810618292</v>
      </c>
      <c r="DS41" s="59">
        <f t="shared" si="17"/>
        <v>575.60010139974167</v>
      </c>
      <c r="DT41" s="59">
        <f ca="1">AVERAGE(OFFSET($DS$3,0,0,'Données projet'!$E$14+1,1))-AVERAGE(OFFSET($H$3,0,0,'Données projet'!$E$14+1,1))</f>
        <v>242.21240859696931</v>
      </c>
      <c r="DU41" s="59">
        <f t="shared" si="44"/>
        <v>340.92165104349192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4.5979419814884768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4.5979419814884768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5.4</v>
      </c>
      <c r="EJ41" s="12">
        <f>IF('Données projet'!$A$192&gt;35,EJ40+EI41-ER40,IF(A41&lt;'Données projet'!$A$192,$EG$205^A41,IF(A41='Données projet'!$A$192,'Données projet'!$B$192,EJ40+EI41-ER40)))</f>
        <v>82.2</v>
      </c>
      <c r="EK41" s="17">
        <f>EJ41*VLOOKUP('Données projet'!$B$15,Paramètres!$A$1:$I$89,3,0)*VLOOKUP('Données projet'!$B$15,Paramètres!$A$1:$I$89,5,0)</f>
        <v>79.503839999999997</v>
      </c>
      <c r="EL41" s="13">
        <f t="shared" si="45"/>
        <v>22.015826538921051</v>
      </c>
      <c r="EM41" s="20">
        <f t="shared" si="19"/>
        <v>176.81341922195415</v>
      </c>
      <c r="EN41" s="59">
        <f t="shared" si="20"/>
        <v>423.00501251551287</v>
      </c>
      <c r="EO41" s="59">
        <f ca="1">AVERAGE(OFFSET($EN$3,0,0,'Données projet'!$E$15+1,1))-AVERAGE(OFFSET($H$3,0,0,'Données projet'!$E$15+1,1))</f>
        <v>331.7059599630698</v>
      </c>
      <c r="EP41" s="59">
        <f t="shared" si="46"/>
        <v>173.19148969173838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5.4</v>
      </c>
      <c r="FE41" s="12">
        <f>IF('Données projet'!$A$218&gt;35,FE40+FD41-FM40,IF(A41&lt;'Données projet'!$A$218,$FB$205^A41,IF(A41='Données projet'!$A$218,'Données projet'!$B$218,FE40+FD41-FM40)))</f>
        <v>82.2</v>
      </c>
      <c r="FF41" s="17">
        <f>FE41*VLOOKUP('Données projet'!$B$16,Paramètres!$A$1:$I$89,3,0)*VLOOKUP('Données projet'!$B$16,Paramètres!$A$1:$I$89,5,0)</f>
        <v>88.480080000000001</v>
      </c>
      <c r="FG41" s="13">
        <f t="shared" si="47"/>
        <v>24.1982943117189</v>
      </c>
      <c r="FH41" s="20">
        <f t="shared" si="22"/>
        <v>196.24816859291039</v>
      </c>
      <c r="FI41" s="59">
        <f t="shared" si="23"/>
        <v>442.43976188646911</v>
      </c>
      <c r="FJ41" s="59">
        <f ca="1">AVERAGE(OFFSET($FI$3,0,0,'Données projet'!$E$16+1,1))-AVERAGE(OFFSET($H$3,0,0,'Données projet'!$E$16+1,1))</f>
        <v>360.86062459677004</v>
      </c>
      <c r="FK41" s="59">
        <f t="shared" si="48"/>
        <v>186.0840067781198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8.4</v>
      </c>
      <c r="FZ41" s="12">
        <f>IF('Données projet'!$A$244&gt;35,FZ40+FY41-GH40,IF(A41&lt;'Données projet'!$A$244,$FW$205^A41,IF(A41='Données projet'!$A$244,'Données projet'!$B$244,FZ40+FY41-GH40)))</f>
        <v>120.20000000000003</v>
      </c>
      <c r="GA41" s="17">
        <f>FZ41*VLOOKUP('Données projet'!$B$17,Paramètres!$A$1:$I$89,3,0)*VLOOKUP('Données projet'!$B$17,Paramètres!$A$1:$I$89,5,0)</f>
        <v>121.88280000000005</v>
      </c>
      <c r="GB41" s="13">
        <f t="shared" si="49"/>
        <v>32.113732800054677</v>
      </c>
      <c r="GC41" s="20">
        <f t="shared" si="25"/>
        <v>268.21062796009528</v>
      </c>
      <c r="GD41" s="59">
        <f t="shared" si="26"/>
        <v>514.40222125365403</v>
      </c>
      <c r="GE41" s="59">
        <f ca="1">AVERAGE(OFFSET($GD$3,0,0,'Données projet'!$E$17+1,1))-AVERAGE(OFFSET($H$3,0,0,'Données projet'!$E$17+1,1))</f>
        <v>448.73339628506784</v>
      </c>
      <c r="GF41" s="59">
        <f t="shared" si="50"/>
        <v>273.35778700650803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8.4</v>
      </c>
      <c r="N42" s="13">
        <f>IF('Données projet'!$A$36&gt;35,N41+M42-V41,IF(A42&lt;'Données projet'!$A$36,$K$205^A42,IF(A42='Données projet'!$A$36,'Données projet'!$B$36,N41+M42-V41)))</f>
        <v>128.60000000000002</v>
      </c>
      <c r="O42" s="13">
        <f>N42*VLOOKUP('Données projet'!$B$9,Paramètres!$A$1:$I$89,3,0)*VLOOKUP('Données projet'!$B$9,Paramètres!$A$1:$I$89,5,0)</f>
        <v>116.35728000000002</v>
      </c>
      <c r="P42" s="13">
        <f t="shared" si="33"/>
        <v>30.823876427820704</v>
      </c>
      <c r="Q42" s="20">
        <f t="shared" si="53"/>
        <v>256.34051411178774</v>
      </c>
      <c r="R42" s="59">
        <f t="shared" si="0"/>
        <v>503.34991120189488</v>
      </c>
      <c r="S42" s="59">
        <f ca="1">AVERAGE(OFFSET($R$3,0,0,'Données projet'!$E$9+1,1))-AVERAGE(OFFSET($H$3,0,0,'Données projet'!$E$9+1,1))</f>
        <v>408.51124670343137</v>
      </c>
      <c r="T42" s="59">
        <f t="shared" si="34"/>
        <v>250.47702091764884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9.6</v>
      </c>
      <c r="AI42" s="13">
        <f>IF('Données projet'!$A$62&gt;35,AI41+AH42-AQ41,IF(A42&lt;'Données projet'!$A$62,$AF$205^A42,IF(A42='Données projet'!$A$62,'Données projet'!$B$62,AI41+AH42-AQ41)))</f>
        <v>182.39999999999989</v>
      </c>
      <c r="AJ42" s="13">
        <f>AI42*VLOOKUP('Données projet'!$B$10,Paramètres!$A$1:$I$89,3,0)*VLOOKUP('Données projet'!$B$10,Paramètres!$A$1:$I$89,5,0)</f>
        <v>145.11743999999993</v>
      </c>
      <c r="AK42" s="13">
        <f t="shared" si="35"/>
        <v>37.466878406916173</v>
      </c>
      <c r="AL42" s="20">
        <f t="shared" si="4"/>
        <v>318.00102122537891</v>
      </c>
      <c r="AM42" s="59">
        <f t="shared" si="5"/>
        <v>565.01041831548605</v>
      </c>
      <c r="AN42" s="59">
        <f ca="1">AVERAGE(OFFSET($AM$3,0,0,'Données projet'!$E$10+1,1))-AVERAGE(OFFSET($H$3,0,0,'Données projet'!$E$10+1,1))</f>
        <v>327.22763817565902</v>
      </c>
      <c r="AO42" s="59">
        <f t="shared" si="36"/>
        <v>311.68541696405975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2.4115837754416383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2.4115837754416383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</v>
      </c>
      <c r="BD42" s="12">
        <f>IF('Données projet'!$A$88&gt;35,BD41+BC42-BL41,IF(A42&lt;'Données projet'!$A$88,$BA$205^A42,IF(A42='Données projet'!$A$88,'Données projet'!$B$88,BD41+BC42-BL41)))</f>
        <v>159.00000000000003</v>
      </c>
      <c r="BE42" s="13">
        <f>BD42*VLOOKUP('Données projet'!$B$11,Paramètres!$A$1:$I$89,3,0)*VLOOKUP('Données projet'!$B$11,Paramètres!$A$1:$I$89,5,0)</f>
        <v>101.69640000000003</v>
      </c>
      <c r="BF42" s="13">
        <f t="shared" si="37"/>
        <v>27.365744938893471</v>
      </c>
      <c r="BG42" s="20">
        <f t="shared" si="7"/>
        <v>224.78323576857281</v>
      </c>
      <c r="BH42" s="59">
        <f t="shared" si="8"/>
        <v>471.79263285867989</v>
      </c>
      <c r="BI42" s="59">
        <f ca="1">AVERAGE(OFFSET($BH$3,0,0,'Données projet'!$E$11+1,1))-AVERAGE(OFFSET($H$3,0,0,'Données projet'!$E$11+1,1))</f>
        <v>169.46470423366029</v>
      </c>
      <c r="BJ42" s="59">
        <f t="shared" si="38"/>
        <v>230.78141128389288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0.8426395663753784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0.8426395663753784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7.8</v>
      </c>
      <c r="BY42" s="12">
        <f>IF('Données projet'!$A$114&gt;35,BY41+BX42-CG41,IF(A42&lt;'Données projet'!$A$114,$BV$205^A42,IF(A42='Données projet'!$A$114,'Données projet'!$B$114,BY41+BX42-CG41)))</f>
        <v>160.20000000000002</v>
      </c>
      <c r="BZ42" s="13">
        <f>BY42*VLOOKUP('Données projet'!$B$12,Paramètres!$A$1:$I$89,3,0)*VLOOKUP('Données projet'!$B$12,Paramètres!$A$1:$I$89,5,0)</f>
        <v>139.95072000000002</v>
      </c>
      <c r="CA42" s="13">
        <f t="shared" si="39"/>
        <v>36.285715907711918</v>
      </c>
      <c r="CB42" s="20">
        <f t="shared" si="10"/>
        <v>306.94512587259828</v>
      </c>
      <c r="CC42" s="59">
        <f t="shared" si="11"/>
        <v>553.95452296270537</v>
      </c>
      <c r="CD42" s="59">
        <f ca="1">AVERAGE(OFFSET($CC$3,0,0,'Données projet'!$E$12+1,1))-AVERAGE(OFFSET($H$3,0,0,'Données projet'!$E$12+1,1))</f>
        <v>342.79161436526499</v>
      </c>
      <c r="CE42" s="59">
        <f t="shared" si="40"/>
        <v>315.50730924873733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1.8414757352983881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1.8414757352983881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5.4</v>
      </c>
      <c r="CT42" s="12">
        <f>IF('Données projet'!$A$140&gt;35,CT41+CS42-DB41,IF(A42&lt;'Données projet'!$A$140,$CQ$205^A42,IF(A42='Données projet'!$A$140,'Données projet'!$B$140,CT41+CS42-DB41)))</f>
        <v>87.600000000000009</v>
      </c>
      <c r="CU42" s="17">
        <f>CT42*VLOOKUP('Données projet'!$B$13,Paramètres!$A$1:$I$89,3,0)*VLOOKUP('Données projet'!$B$13,Paramètres!$A$1:$I$89,5,0)</f>
        <v>58.762080000000012</v>
      </c>
      <c r="CV42" s="13">
        <f t="shared" si="41"/>
        <v>16.854905252415438</v>
      </c>
      <c r="CW42" s="20">
        <f t="shared" si="13"/>
        <v>131.6995826479569</v>
      </c>
      <c r="CX42" s="59">
        <f t="shared" si="14"/>
        <v>378.70897973806404</v>
      </c>
      <c r="CY42" s="59">
        <f ca="1">AVERAGE(OFFSET($CX$3,0,0,'Données projet'!$E$13+1,1))-AVERAGE(OFFSET($H$3,0,0,'Données projet'!$E$13+1,1))</f>
        <v>201.84651193684252</v>
      </c>
      <c r="CZ42" s="59">
        <f t="shared" si="42"/>
        <v>138.00705940844708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11.4</v>
      </c>
      <c r="DO42" s="12">
        <f>IF('Données projet'!$A$166&gt;35,DO41+DN42-DW41,IF(A42&lt;'Données projet'!$A$166,$DL$205^A42,IF(A42='Données projet'!$A$166,'Données projet'!$B$166,DO41+DN42-DW41)))</f>
        <v>216.60000000000005</v>
      </c>
      <c r="DP42" s="17">
        <f>DO42*VLOOKUP('Données projet'!$B$14,Paramètres!$A$1:$I$89,3,0)*VLOOKUP('Données projet'!$B$14,Paramètres!$A$1:$I$89,5,0)</f>
        <v>158.81112000000005</v>
      </c>
      <c r="DQ42" s="13">
        <f t="shared" si="43"/>
        <v>40.574243917124505</v>
      </c>
      <c r="DR42" s="20">
        <f t="shared" si="16"/>
        <v>347.26284215565857</v>
      </c>
      <c r="DS42" s="59">
        <f t="shared" si="17"/>
        <v>594.27223924576572</v>
      </c>
      <c r="DT42" s="59">
        <f ca="1">AVERAGE(OFFSET($DS$3,0,0,'Données projet'!$E$14+1,1))-AVERAGE(OFFSET($H$3,0,0,'Données projet'!$E$14+1,1))</f>
        <v>242.21240859696931</v>
      </c>
      <c r="DU42" s="59">
        <f t="shared" si="44"/>
        <v>340.92165104349192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4.5077791436991781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4.5077791436991781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5.4</v>
      </c>
      <c r="EJ42" s="12">
        <f>IF('Données projet'!$A$192&gt;35,EJ41+EI42-ER41,IF(A42&lt;'Données projet'!$A$192,$EG$205^A42,IF(A42='Données projet'!$A$192,'Données projet'!$B$192,EJ41+EI42-ER41)))</f>
        <v>87.600000000000009</v>
      </c>
      <c r="EK42" s="17">
        <f>EJ42*VLOOKUP('Données projet'!$B$15,Paramètres!$A$1:$I$89,3,0)*VLOOKUP('Données projet'!$B$15,Paramètres!$A$1:$I$89,5,0)</f>
        <v>84.726720000000014</v>
      </c>
      <c r="EL42" s="13">
        <f t="shared" si="45"/>
        <v>23.289002367177517</v>
      </c>
      <c r="EM42" s="20">
        <f t="shared" si="19"/>
        <v>188.1273831228342</v>
      </c>
      <c r="EN42" s="59">
        <f t="shared" si="20"/>
        <v>435.13678021294129</v>
      </c>
      <c r="EO42" s="59">
        <f ca="1">AVERAGE(OFFSET($EN$3,0,0,'Données projet'!$E$15+1,1))-AVERAGE(OFFSET($H$3,0,0,'Données projet'!$E$15+1,1))</f>
        <v>331.7059599630698</v>
      </c>
      <c r="EP42" s="59">
        <f t="shared" si="46"/>
        <v>173.19148969173838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5.4</v>
      </c>
      <c r="FE42" s="12">
        <f>IF('Données projet'!$A$218&gt;35,FE41+FD42-FM41,IF(A42&lt;'Données projet'!$A$218,$FB$205^A42,IF(A42='Données projet'!$A$218,'Données projet'!$B$218,FE41+FD42-FM41)))</f>
        <v>87.600000000000009</v>
      </c>
      <c r="FF42" s="17">
        <f>FE42*VLOOKUP('Données projet'!$B$16,Paramètres!$A$1:$I$89,3,0)*VLOOKUP('Données projet'!$B$16,Paramètres!$A$1:$I$89,5,0)</f>
        <v>94.292640000000006</v>
      </c>
      <c r="FG42" s="13">
        <f t="shared" si="47"/>
        <v>25.597682308724192</v>
      </c>
      <c r="FH42" s="20">
        <f t="shared" si="22"/>
        <v>208.80897802102797</v>
      </c>
      <c r="FI42" s="59">
        <f t="shared" si="23"/>
        <v>455.81837511113508</v>
      </c>
      <c r="FJ42" s="59">
        <f ca="1">AVERAGE(OFFSET($FI$3,0,0,'Données projet'!$E$16+1,1))-AVERAGE(OFFSET($H$3,0,0,'Données projet'!$E$16+1,1))</f>
        <v>360.86062459677004</v>
      </c>
      <c r="FK42" s="59">
        <f t="shared" si="48"/>
        <v>186.0840067781198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8.4</v>
      </c>
      <c r="FZ42" s="12">
        <f>IF('Données projet'!$A$244&gt;35,FZ41+FY42-GH41,IF(A42&lt;'Données projet'!$A$244,$FW$205^A42,IF(A42='Données projet'!$A$244,'Données projet'!$B$244,FZ41+FY42-GH41)))</f>
        <v>128.60000000000002</v>
      </c>
      <c r="GA42" s="17">
        <f>FZ42*VLOOKUP('Données projet'!$B$17,Paramètres!$A$1:$I$89,3,0)*VLOOKUP('Données projet'!$B$17,Paramètres!$A$1:$I$89,5,0)</f>
        <v>130.40040000000002</v>
      </c>
      <c r="GB42" s="13">
        <f t="shared" si="49"/>
        <v>34.088863450406919</v>
      </c>
      <c r="GC42" s="20">
        <f t="shared" si="25"/>
        <v>286.48546717612544</v>
      </c>
      <c r="GD42" s="59">
        <f t="shared" si="26"/>
        <v>533.49486426623253</v>
      </c>
      <c r="GE42" s="59">
        <f ca="1">AVERAGE(OFFSET($GD$3,0,0,'Données projet'!$E$17+1,1))-AVERAGE(OFFSET($H$3,0,0,'Données projet'!$E$17+1,1))</f>
        <v>448.73339628506784</v>
      </c>
      <c r="GF42" s="59">
        <f t="shared" si="50"/>
        <v>273.35778700650803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137</v>
      </c>
      <c r="L43" s="12">
        <f>VLOOKUP(A43,'Données projet'!$A$35:$I$55,9,0)</f>
        <v>8.4</v>
      </c>
      <c r="M43" s="12">
        <f t="array" ref="M43">INDEX(L:L,MIN(IF(ISNUMBER(L43:L239),ROW(L43:L239),"")))</f>
        <v>8.4</v>
      </c>
      <c r="N43" s="13">
        <f>IF('Données projet'!$A$36&gt;35,N42+M43-V42,IF(A43&lt;'Données projet'!$A$36,$K$205^A43,IF(A43='Données projet'!$A$36,'Données projet'!$B$36,N42+M43-V42)))</f>
        <v>137.00000000000003</v>
      </c>
      <c r="O43" s="13">
        <f>N43*VLOOKUP('Données projet'!$B$9,Paramètres!$A$1:$I$89,3,0)*VLOOKUP('Données projet'!$B$9,Paramètres!$A$1:$I$89,5,0)</f>
        <v>123.95760000000001</v>
      </c>
      <c r="P43" s="13">
        <f t="shared" si="33"/>
        <v>32.59629414926458</v>
      </c>
      <c r="Q43" s="20">
        <f t="shared" si="53"/>
        <v>272.6646989766358</v>
      </c>
      <c r="R43" s="59">
        <f t="shared" si="0"/>
        <v>520.47771279575659</v>
      </c>
      <c r="S43" s="59">
        <f ca="1">AVERAGE(OFFSET($R$3,0,0,'Données projet'!$E$9+1,1))-AVERAGE(OFFSET($H$3,0,0,'Données projet'!$E$9+1,1))</f>
        <v>408.51124670343137</v>
      </c>
      <c r="T43" s="59">
        <f t="shared" si="34"/>
        <v>250.47702091764884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21</v>
      </c>
      <c r="W43" s="16">
        <f>IF(ISNA(VLOOKUP(A43,'Données projet'!$A$35:$I$55,5,0)),0%,VLOOKUP(A43,'Données projet'!$A$35:$I$55,5,0)*VLOOKUP('Données projet'!$B$9,Paramètres!$A$1:$I$89,7,0))</f>
        <v>8.6000000000000007E-2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1.8064146565189523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1.8064146565189523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192</v>
      </c>
      <c r="AG43" s="12">
        <f>VLOOKUP(A43,'Données projet'!$A$61:$I$81,9,0)</f>
        <v>9.6</v>
      </c>
      <c r="AH43" s="12">
        <f t="array" ref="AH43">INDEX(AG:AG,MIN(IF(ISNUMBER(AG43:AG239),ROW(AG43:AG239),"")))</f>
        <v>9.6</v>
      </c>
      <c r="AI43" s="13">
        <f>IF('Données projet'!$A$62&gt;35,AI42+AH43-AQ42,IF(A43&lt;'Données projet'!$A$62,$AF$205^A43,IF(A43='Données projet'!$A$62,'Données projet'!$B$62,AI42+AH43-AQ42)))</f>
        <v>191.99999999999989</v>
      </c>
      <c r="AJ43" s="13">
        <f>AI43*VLOOKUP('Données projet'!$B$10,Paramètres!$A$1:$I$89,3,0)*VLOOKUP('Données projet'!$B$10,Paramètres!$A$1:$I$89,5,0)</f>
        <v>152.75519999999992</v>
      </c>
      <c r="AK43" s="13">
        <f t="shared" si="35"/>
        <v>39.204049895729561</v>
      </c>
      <c r="AL43" s="20">
        <f t="shared" si="4"/>
        <v>334.32902690172881</v>
      </c>
      <c r="AM43" s="59">
        <f t="shared" si="5"/>
        <v>582.14204072084965</v>
      </c>
      <c r="AN43" s="59">
        <f ca="1">AVERAGE(OFFSET($AM$3,0,0,'Données projet'!$E$10+1,1))-AVERAGE(OFFSET($H$3,0,0,'Données projet'!$E$10+1,1))</f>
        <v>327.22763817565902</v>
      </c>
      <c r="AO43" s="59">
        <f t="shared" si="36"/>
        <v>311.68541696405975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0.10600000000000001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4.9746863989087293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4.9746863989087293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166</v>
      </c>
      <c r="BB43" s="12">
        <f>VLOOKUP(A43,'Données projet'!$A$87:$I$107,9,0)</f>
        <v>7</v>
      </c>
      <c r="BC43" s="12">
        <f t="array" ref="BC43">INDEX(BB:BB,MIN(IF(ISNUMBER(BB43:BB239),ROW(BB43:BB239),"")))</f>
        <v>7</v>
      </c>
      <c r="BD43" s="12">
        <f>IF('Données projet'!$A$88&gt;35,BD42+BC43-BL42,IF(A43&lt;'Données projet'!$A$88,$BA$205^A43,IF(A43='Données projet'!$A$88,'Données projet'!$B$88,BD42+BC43-BL42)))</f>
        <v>166.00000000000003</v>
      </c>
      <c r="BE43" s="13">
        <f>BD43*VLOOKUP('Données projet'!$B$11,Paramètres!$A$1:$I$89,3,0)*VLOOKUP('Données projet'!$B$11,Paramètres!$A$1:$I$89,5,0)</f>
        <v>106.17360000000001</v>
      </c>
      <c r="BF43" s="13">
        <f t="shared" si="37"/>
        <v>28.427605657895548</v>
      </c>
      <c r="BG43" s="20">
        <f t="shared" si="7"/>
        <v>234.43043318750142</v>
      </c>
      <c r="BH43" s="59">
        <f t="shared" si="8"/>
        <v>482.2434470066222</v>
      </c>
      <c r="BI43" s="59">
        <f ca="1">AVERAGE(OFFSET($BH$3,0,0,'Données projet'!$E$11+1,1))-AVERAGE(OFFSET($H$3,0,0,'Données projet'!$E$11+1,1))</f>
        <v>169.46470423366029</v>
      </c>
      <c r="BJ43" s="59">
        <f t="shared" si="38"/>
        <v>230.78141128389288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16</v>
      </c>
      <c r="BM43" s="16">
        <f>IF(ISNA(VLOOKUP(A43,'Données projet'!$A$87:$I$107,5,0)),0%,VLOOKUP(A43,'Données projet'!$A$87:$I$107,5,0)*VLOOKUP('Données projet'!$B$11,Paramètres!$A$1:$I$89,7,0))</f>
        <v>0.129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2.2854853946406468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2.2854853946406468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168</v>
      </c>
      <c r="BW43" s="12">
        <f>VLOOKUP(A43,'Données projet'!$A$113:$I$133,9,0)</f>
        <v>7.8</v>
      </c>
      <c r="BX43" s="12">
        <f t="array" ref="BX43">INDEX(BW:BW,MIN(IF(ISNUMBER(BW43:BW239),ROW(BW43:BW239),"")))</f>
        <v>7.8</v>
      </c>
      <c r="BY43" s="12">
        <f>IF('Données projet'!$A$114&gt;35,BY42+BX43-CG42,IF(A43&lt;'Données projet'!$A$114,$BV$205^A43,IF(A43='Données projet'!$A$114,'Données projet'!$B$114,BY42+BX43-CG42)))</f>
        <v>168.00000000000003</v>
      </c>
      <c r="BZ43" s="13">
        <f>BY43*VLOOKUP('Données projet'!$B$12,Paramètres!$A$1:$I$89,3,0)*VLOOKUP('Données projet'!$B$12,Paramètres!$A$1:$I$89,5,0)</f>
        <v>146.76480000000004</v>
      </c>
      <c r="CA43" s="13">
        <f t="shared" si="39"/>
        <v>37.842444439956665</v>
      </c>
      <c r="CB43" s="20">
        <f t="shared" si="10"/>
        <v>321.52428406625791</v>
      </c>
      <c r="CC43" s="59">
        <f t="shared" si="11"/>
        <v>569.33729788537869</v>
      </c>
      <c r="CD43" s="59">
        <f ca="1">AVERAGE(OFFSET($CC$3,0,0,'Données projet'!$E$12+1,1))-AVERAGE(OFFSET($H$3,0,0,'Données projet'!$E$12+1,1))</f>
        <v>342.79161436526499</v>
      </c>
      <c r="CE43" s="59">
        <f t="shared" si="40"/>
        <v>315.50730924873733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23</v>
      </c>
      <c r="CH43" s="16">
        <f>IF(ISNA(VLOOKUP(A43,'Données projet'!$A$113:$I$133,5,0)),0%,VLOOKUP(A43,'Données projet'!$A$113:$I$133,5,0)*VLOOKUP('Données projet'!$B$12,Paramètres!$A$1:$I$89,7,0))</f>
        <v>0.129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4.6707129055209569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4.6707129055209569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93</v>
      </c>
      <c r="CR43" s="12">
        <f>VLOOKUP(A43,'Données projet'!$A$139:$I$159,9,0)</f>
        <v>5.4</v>
      </c>
      <c r="CS43" s="12">
        <f t="array" ref="CS43">INDEX(CR:CR,MIN(IF(ISNUMBER(CR43:CR239),ROW(CR43:CR239),"")))</f>
        <v>5.4</v>
      </c>
      <c r="CT43" s="12">
        <f>IF('Données projet'!$A$140&gt;35,CT42+CS43-DB42,IF(A43&lt;'Données projet'!$A$140,$CQ$205^A43,IF(A43='Données projet'!$A$140,'Données projet'!$B$140,CT42+CS43-DB42)))</f>
        <v>93.000000000000014</v>
      </c>
      <c r="CU43" s="17">
        <f>CT43*VLOOKUP('Données projet'!$B$13,Paramètres!$A$1:$I$89,3,0)*VLOOKUP('Données projet'!$B$13,Paramètres!$A$1:$I$89,5,0)</f>
        <v>62.384400000000007</v>
      </c>
      <c r="CV43" s="13">
        <f t="shared" si="41"/>
        <v>17.769746024765663</v>
      </c>
      <c r="CW43" s="20">
        <f t="shared" si="13"/>
        <v>139.60180432646686</v>
      </c>
      <c r="CX43" s="59">
        <f t="shared" si="14"/>
        <v>387.41481814558767</v>
      </c>
      <c r="CY43" s="59">
        <f ca="1">AVERAGE(OFFSET($CX$3,0,0,'Données projet'!$E$13+1,1))-AVERAGE(OFFSET($H$3,0,0,'Données projet'!$E$13+1,1))</f>
        <v>201.84651193684252</v>
      </c>
      <c r="CZ43" s="59">
        <f t="shared" si="42"/>
        <v>138.00705940844708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14</v>
      </c>
      <c r="DC43" s="16">
        <f>IF(ISNA(VLOOKUP(A43,'Données projet'!$A$139:$I$159,5,0)),0%,VLOOKUP(A43,'Données projet'!$A$139:$I$159,5,0)*VLOOKUP('Données projet'!$B$13,Paramètres!$A$1:$I$89,7,0))</f>
        <v>0.10600000000000001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1.1004595033966034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1.1004595033966034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228</v>
      </c>
      <c r="DM43" s="12">
        <f>VLOOKUP(A43,'Données projet'!$A$165:$I$185,9,0)</f>
        <v>11.4</v>
      </c>
      <c r="DN43" s="12">
        <f t="array" ref="DN43">INDEX(DM:DM,MIN(IF(ISNUMBER(DM43:DM239),ROW(DM43:DM239),"")))</f>
        <v>11.4</v>
      </c>
      <c r="DO43" s="12">
        <f>IF('Données projet'!$A$166&gt;35,DO42+DN43-DW42,IF(A43&lt;'Données projet'!$A$166,$DL$205^A43,IF(A43='Données projet'!$A$166,'Données projet'!$B$166,DO42+DN43-DW42)))</f>
        <v>228.00000000000006</v>
      </c>
      <c r="DP43" s="17">
        <f>DO43*VLOOKUP('Données projet'!$B$14,Paramètres!$A$1:$I$89,3,0)*VLOOKUP('Données projet'!$B$14,Paramètres!$A$1:$I$89,5,0)</f>
        <v>167.16960000000003</v>
      </c>
      <c r="DQ43" s="13">
        <f t="shared" si="43"/>
        <v>42.455490039298851</v>
      </c>
      <c r="DR43" s="20">
        <f t="shared" si="16"/>
        <v>365.09703181844549</v>
      </c>
      <c r="DS43" s="59">
        <f t="shared" si="17"/>
        <v>612.91004563756633</v>
      </c>
      <c r="DT43" s="59">
        <f ca="1">AVERAGE(OFFSET($DS$3,0,0,'Données projet'!$E$14+1,1))-AVERAGE(OFFSET($H$3,0,0,'Données projet'!$E$14+1,1))</f>
        <v>242.21240859696931</v>
      </c>
      <c r="DU43" s="59">
        <f t="shared" si="44"/>
        <v>340.92165104349192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35</v>
      </c>
      <c r="DX43" s="16">
        <f>IF(ISNA(VLOOKUP(A43,'Données projet'!$A$165:$I$185,5,0)),0%,VLOOKUP(A43,'Données projet'!$A$165:$I$185,5,0)*VLOOKUP('Données projet'!$B$14,Paramètres!$A$1:$I$89,7,0))</f>
        <v>0.215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10.518629233273558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10.518629233273558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93</v>
      </c>
      <c r="EH43" s="12">
        <f>VLOOKUP(A43,'Données projet'!$A$191:$I$211,9,0)</f>
        <v>5.4</v>
      </c>
      <c r="EI43" s="12">
        <f t="array" ref="EI43">INDEX(EH:EH,MIN(IF(ISNUMBER(EH43:EH239),ROW(EH43:EH239),"")))</f>
        <v>5.4</v>
      </c>
      <c r="EJ43" s="12">
        <f>IF('Données projet'!$A$192&gt;35,EJ42+EI43-ER42,IF(A43&lt;'Données projet'!$A$192,$EG$205^A43,IF(A43='Données projet'!$A$192,'Données projet'!$B$192,EJ42+EI43-ER42)))</f>
        <v>93.000000000000014</v>
      </c>
      <c r="EK43" s="17">
        <f>EJ43*VLOOKUP('Données projet'!$B$15,Paramètres!$A$1:$I$89,3,0)*VLOOKUP('Données projet'!$B$15,Paramètres!$A$1:$I$89,5,0)</f>
        <v>89.949600000000018</v>
      </c>
      <c r="EL43" s="13">
        <f t="shared" si="45"/>
        <v>24.553069331291834</v>
      </c>
      <c r="EM43" s="20">
        <f t="shared" si="19"/>
        <v>199.42548241866663</v>
      </c>
      <c r="EN43" s="59">
        <f t="shared" si="20"/>
        <v>447.23849623778744</v>
      </c>
      <c r="EO43" s="59">
        <f ca="1">AVERAGE(OFFSET($EN$3,0,0,'Données projet'!$E$15+1,1))-AVERAGE(OFFSET($H$3,0,0,'Données projet'!$E$15+1,1))</f>
        <v>331.7059599630698</v>
      </c>
      <c r="EP43" s="59">
        <f t="shared" si="46"/>
        <v>173.19148969173838</v>
      </c>
      <c r="EQ43" s="15">
        <f>IF(ISNA(VLOOKUP(A43,'Données projet'!$A$191:$I$211,3,0)),0,VLOOKUP(A43,'Données projet'!$A$191:$I$211,3,0))</f>
        <v>4</v>
      </c>
      <c r="ER43" s="15">
        <f>IF(ISNA(VLOOKUP(A43,'Données projet'!$A$191:$I$211,4,0)),0,VLOOKUP(A43,'Données projet'!$A$191:$I$211,4,0))</f>
        <v>14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93</v>
      </c>
      <c r="FC43" s="12">
        <f>VLOOKUP(A43,'Données projet'!$A$217:$I$237,9,0)</f>
        <v>5.4</v>
      </c>
      <c r="FD43" s="12">
        <f t="array" ref="FD43">INDEX(FC:FC,MIN(IF(ISNUMBER(FC43:FC239),ROW(FC43:FC239),"")))</f>
        <v>5.4</v>
      </c>
      <c r="FE43" s="12">
        <f>IF('Données projet'!$A$218&gt;35,FE42+FD43-FM42,IF(A43&lt;'Données projet'!$A$218,$FB$205^A43,IF(A43='Données projet'!$A$218,'Données projet'!$B$218,FE42+FD43-FM42)))</f>
        <v>93.000000000000014</v>
      </c>
      <c r="FF43" s="17">
        <f>FE43*VLOOKUP('Données projet'!$B$16,Paramètres!$A$1:$I$89,3,0)*VLOOKUP('Données projet'!$B$16,Paramètres!$A$1:$I$89,5,0)</f>
        <v>100.10520000000001</v>
      </c>
      <c r="FG43" s="13">
        <f t="shared" si="47"/>
        <v>26.987058463795307</v>
      </c>
      <c r="FH43" s="20">
        <f t="shared" si="22"/>
        <v>221.35235015777684</v>
      </c>
      <c r="FI43" s="59">
        <f t="shared" si="23"/>
        <v>469.16536397689765</v>
      </c>
      <c r="FJ43" s="59">
        <f ca="1">AVERAGE(OFFSET($FI$3,0,0,'Données projet'!$E$16+1,1))-AVERAGE(OFFSET($H$3,0,0,'Données projet'!$E$16+1,1))</f>
        <v>360.86062459677004</v>
      </c>
      <c r="FK43" s="59">
        <f t="shared" si="48"/>
        <v>186.0840067781198</v>
      </c>
      <c r="FL43" s="15">
        <f>IF(ISNA(VLOOKUP(A43,'Données projet'!$A$217:$I$237,3,0)),0,VLOOKUP(A43,'Données projet'!$A$217:$I$237,3,0))</f>
        <v>4</v>
      </c>
      <c r="FM43" s="15">
        <f>IF(ISNA(VLOOKUP(A43,'Données projet'!$A$217:$I$237,4,0)),0,VLOOKUP(A43,'Données projet'!$A$217:$I$237,4,0))</f>
        <v>14</v>
      </c>
      <c r="FN43" s="16">
        <f>IF(ISNA(VLOOKUP(A43,'Données projet'!$A$217:$I$237,5,0)),0%,VLOOKUP(A43,'Données projet'!$A$217:$I$237,5,0)*VLOOKUP('Données projet'!$B$16,Paramètres!$A$1:$I$89,7,0))</f>
        <v>8.6000000000000007E-2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1.4326736931012383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1.4326736931012383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137</v>
      </c>
      <c r="FX43" s="12">
        <f>VLOOKUP(A43,'Données projet'!$A$243:$I$263,9,0)</f>
        <v>8.4</v>
      </c>
      <c r="FY43" s="12">
        <f t="array" ref="FY43">INDEX(FX:FX,MIN(IF(ISNUMBER(FX43:FX239),ROW(FX43:FX239),"")))</f>
        <v>8.4</v>
      </c>
      <c r="FZ43" s="12">
        <f>IF('Données projet'!$A$244&gt;35,FZ42+FY43-GH42,IF(A43&lt;'Données projet'!$A$244,$FW$205^A43,IF(A43='Données projet'!$A$244,'Données projet'!$B$244,FZ42+FY43-GH42)))</f>
        <v>137.00000000000003</v>
      </c>
      <c r="GA43" s="17">
        <f>FZ43*VLOOKUP('Données projet'!$B$17,Paramètres!$A$1:$I$89,3,0)*VLOOKUP('Données projet'!$B$17,Paramètres!$A$1:$I$89,5,0)</f>
        <v>138.91800000000003</v>
      </c>
      <c r="GB43" s="13">
        <f t="shared" si="49"/>
        <v>36.049022673886341</v>
      </c>
      <c r="GC43" s="20">
        <f t="shared" si="25"/>
        <v>304.73423115701877</v>
      </c>
      <c r="GD43" s="59">
        <f t="shared" si="26"/>
        <v>552.54724497613961</v>
      </c>
      <c r="GE43" s="59">
        <f ca="1">AVERAGE(OFFSET($GD$3,0,0,'Données projet'!$E$17+1,1))-AVERAGE(OFFSET($H$3,0,0,'Données projet'!$E$17+1,1))</f>
        <v>448.73339628506784</v>
      </c>
      <c r="GF43" s="59">
        <f t="shared" si="50"/>
        <v>273.35778700650803</v>
      </c>
      <c r="GG43" s="15">
        <f>IF(ISNA(VLOOKUP(A43,'Données projet'!$A$243:$I$263,3,0)),0,VLOOKUP(A43,'Données projet'!$A$243:$I$263,3,0))</f>
        <v>5</v>
      </c>
      <c r="GH43" s="15">
        <f>IF(ISNA(VLOOKUP(A43,'Données projet'!$A$243:$I$263,4,0)),0,VLOOKUP(A43,'Données projet'!$A$243:$I$263,4,0))</f>
        <v>21</v>
      </c>
      <c r="GI43" s="16">
        <f>IF(ISNA(VLOOKUP(A43,'Données projet'!$A$243:$I$263,5,0)),0%,VLOOKUP(A43,'Données projet'!$A$243:$I$263,5,0)*VLOOKUP('Données projet'!$B$17,Paramètres!$A$1:$I$89,7,0))</f>
        <v>8.6000000000000007E-2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2.0244302185126197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2.0244302185126197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8.4</v>
      </c>
      <c r="N44" s="13">
        <f>IF('Données projet'!$A$36&gt;35,N43+M44-V43,IF(A44&lt;'Données projet'!$A$36,$K$205^A44,IF(A44='Données projet'!$A$36,'Données projet'!$B$36,N43+M44-V43)))</f>
        <v>124.40000000000003</v>
      </c>
      <c r="O44" s="13">
        <f>N44*VLOOKUP('Données projet'!$B$9,Paramètres!$A$1:$I$89,3,0)*VLOOKUP('Données projet'!$B$9,Paramètres!$A$1:$I$89,5,0)</f>
        <v>112.55712000000003</v>
      </c>
      <c r="P44" s="13">
        <f t="shared" si="33"/>
        <v>29.932653834140599</v>
      </c>
      <c r="Q44" s="20">
        <f t="shared" si="53"/>
        <v>248.16968942779496</v>
      </c>
      <c r="R44" s="59">
        <f t="shared" si="0"/>
        <v>496.77237902229894</v>
      </c>
      <c r="S44" s="59">
        <f ca="1">AVERAGE(OFFSET($R$3,0,0,'Données projet'!$E$9+1,1))-AVERAGE(OFFSET($H$3,0,0,'Données projet'!$E$9+1,1))</f>
        <v>408.51124670343137</v>
      </c>
      <c r="T44" s="59">
        <f t="shared" si="34"/>
        <v>250.47702091764884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1.7709919669087619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1.7709919669087619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8.1999999999999993</v>
      </c>
      <c r="AI44" s="13">
        <f>IF('Données projet'!$A$62&gt;35,AI43+AH44-AQ43,IF(A44&lt;'Données projet'!$A$62,$AF$205^A44,IF(A44='Données projet'!$A$62,'Données projet'!$B$62,AI43+AH44-AQ43)))</f>
        <v>172.19999999999987</v>
      </c>
      <c r="AJ44" s="13">
        <f>AI44*VLOOKUP('Données projet'!$B$10,Paramètres!$A$1:$I$89,3,0)*VLOOKUP('Données projet'!$B$10,Paramètres!$A$1:$I$89,5,0)</f>
        <v>137.00231999999991</v>
      </c>
      <c r="AK44" s="13">
        <f t="shared" si="35"/>
        <v>35.609416420931318</v>
      </c>
      <c r="AL44" s="20">
        <f t="shared" si="4"/>
        <v>300.63210759978858</v>
      </c>
      <c r="AM44" s="59">
        <f t="shared" si="5"/>
        <v>549.23479719429258</v>
      </c>
      <c r="AN44" s="59">
        <f ca="1">AVERAGE(OFFSET($AM$3,0,0,'Données projet'!$E$10+1,1))-AVERAGE(OFFSET($H$3,0,0,'Données projet'!$E$10+1,1))</f>
        <v>327.22763817565902</v>
      </c>
      <c r="AO44" s="59">
        <f t="shared" si="36"/>
        <v>311.68541696405975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4.8771358328852239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4.8771358328852239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7.2</v>
      </c>
      <c r="BD44" s="12">
        <f>IF('Données projet'!$A$88&gt;35,BD43+BC44-BL43,IF(A44&lt;'Données projet'!$A$88,$BA$205^A44,IF(A44='Données projet'!$A$88,'Données projet'!$B$88,BD43+BC44-BL43)))</f>
        <v>157.20000000000002</v>
      </c>
      <c r="BE44" s="13">
        <f>BD44*VLOOKUP('Données projet'!$B$11,Paramètres!$A$1:$I$89,3,0)*VLOOKUP('Données projet'!$B$11,Paramètres!$A$1:$I$89,5,0)</f>
        <v>100.54512</v>
      </c>
      <c r="BF44" s="13">
        <f t="shared" si="37"/>
        <v>27.0918237529843</v>
      </c>
      <c r="BG44" s="20">
        <f t="shared" si="7"/>
        <v>222.30101036978098</v>
      </c>
      <c r="BH44" s="59">
        <f t="shared" si="8"/>
        <v>470.90369996428495</v>
      </c>
      <c r="BI44" s="59">
        <f ca="1">AVERAGE(OFFSET($BH$3,0,0,'Données projet'!$E$11+1,1))-AVERAGE(OFFSET($H$3,0,0,'Données projet'!$E$11+1,1))</f>
        <v>169.46470423366029</v>
      </c>
      <c r="BJ44" s="59">
        <f t="shared" si="38"/>
        <v>230.78141128389288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2.2406684200601874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2.2406684200601874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7</v>
      </c>
      <c r="BY44" s="12">
        <f>IF('Données projet'!$A$114&gt;35,BY43+BX44-CG43,IF(A44&lt;'Données projet'!$A$114,$BV$205^A44,IF(A44='Données projet'!$A$114,'Données projet'!$B$114,BY43+BX44-CG43)))</f>
        <v>152.00000000000003</v>
      </c>
      <c r="BZ44" s="13">
        <f>BY44*VLOOKUP('Données projet'!$B$12,Paramètres!$A$1:$I$89,3,0)*VLOOKUP('Données projet'!$B$12,Paramètres!$A$1:$I$89,5,0)</f>
        <v>132.78720000000004</v>
      </c>
      <c r="CA44" s="13">
        <f t="shared" si="39"/>
        <v>34.639602119854608</v>
      </c>
      <c r="CB44" s="20">
        <f t="shared" si="10"/>
        <v>291.60168035874682</v>
      </c>
      <c r="CC44" s="59">
        <f t="shared" si="11"/>
        <v>540.20436995325076</v>
      </c>
      <c r="CD44" s="59">
        <f ca="1">AVERAGE(OFFSET($CC$3,0,0,'Données projet'!$E$12+1,1))-AVERAGE(OFFSET($H$3,0,0,'Données projet'!$E$12+1,1))</f>
        <v>342.79161436526499</v>
      </c>
      <c r="CE44" s="59">
        <f t="shared" si="40"/>
        <v>315.50730924873733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4.5791230742972626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4.5791230742972626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5.6</v>
      </c>
      <c r="CT44" s="12">
        <f>IF('Données projet'!$A$140&gt;35,CT43+CS44-DB43,IF(A44&lt;'Données projet'!$A$140,$CQ$205^A44,IF(A44='Données projet'!$A$140,'Données projet'!$B$140,CT43+CS44-DB43)))</f>
        <v>84.600000000000009</v>
      </c>
      <c r="CU44" s="17">
        <f>CT44*VLOOKUP('Données projet'!$B$13,Paramètres!$A$1:$I$89,3,0)*VLOOKUP('Données projet'!$B$13,Paramètres!$A$1:$I$89,5,0)</f>
        <v>56.749680000000005</v>
      </c>
      <c r="CV44" s="13">
        <f t="shared" si="41"/>
        <v>16.343841431568325</v>
      </c>
      <c r="CW44" s="20">
        <f t="shared" si="13"/>
        <v>127.30454982664817</v>
      </c>
      <c r="CX44" s="59">
        <f t="shared" si="14"/>
        <v>375.90723942115216</v>
      </c>
      <c r="CY44" s="59">
        <f ca="1">AVERAGE(OFFSET($CX$3,0,0,'Données projet'!$E$13+1,1))-AVERAGE(OFFSET($H$3,0,0,'Données projet'!$E$13+1,1))</f>
        <v>201.84651193684252</v>
      </c>
      <c r="CZ44" s="59">
        <f t="shared" si="42"/>
        <v>138.00705940844708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1.0788801637490162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1.0788801637490162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9.8000000000000007</v>
      </c>
      <c r="DO44" s="12">
        <f>IF('Données projet'!$A$166&gt;35,DO43+DN44-DW43,IF(A44&lt;'Données projet'!$A$166,$DL$205^A44,IF(A44='Données projet'!$A$166,'Données projet'!$B$166,DO43+DN44-DW43)))</f>
        <v>202.80000000000007</v>
      </c>
      <c r="DP44" s="17">
        <f>DO44*VLOOKUP('Données projet'!$B$14,Paramètres!$A$1:$I$89,3,0)*VLOOKUP('Données projet'!$B$14,Paramètres!$A$1:$I$89,5,0)</f>
        <v>148.69296000000006</v>
      </c>
      <c r="DQ44" s="13">
        <f t="shared" si="43"/>
        <v>38.281404966971365</v>
      </c>
      <c r="DR44" s="20">
        <f t="shared" si="16"/>
        <v>325.64701898414188</v>
      </c>
      <c r="DS44" s="59">
        <f t="shared" si="17"/>
        <v>574.24970857864582</v>
      </c>
      <c r="DT44" s="59">
        <f ca="1">AVERAGE(OFFSET($DS$3,0,0,'Données projet'!$E$14+1,1))-AVERAGE(OFFSET($H$3,0,0,'Données projet'!$E$14+1,1))</f>
        <v>242.21240859696931</v>
      </c>
      <c r="DU44" s="59">
        <f t="shared" si="44"/>
        <v>340.92165104349192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10.312365329739395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10.312365329739395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5.6</v>
      </c>
      <c r="EJ44" s="12">
        <f>IF('Données projet'!$A$192&gt;35,EJ43+EI44-ER43,IF(A44&lt;'Données projet'!$A$192,$EG$205^A44,IF(A44='Données projet'!$A$192,'Données projet'!$B$192,EJ43+EI44-ER43)))</f>
        <v>84.600000000000009</v>
      </c>
      <c r="EK44" s="17">
        <f>EJ44*VLOOKUP('Données projet'!$B$15,Paramètres!$A$1:$I$89,3,0)*VLOOKUP('Données projet'!$B$15,Paramètres!$A$1:$I$89,5,0)</f>
        <v>81.825120000000013</v>
      </c>
      <c r="EL44" s="13">
        <f t="shared" si="45"/>
        <v>22.58284790619167</v>
      </c>
      <c r="EM44" s="20">
        <f t="shared" si="19"/>
        <v>181.84387743661719</v>
      </c>
      <c r="EN44" s="59">
        <f t="shared" si="20"/>
        <v>430.44656703112116</v>
      </c>
      <c r="EO44" s="59">
        <f ca="1">AVERAGE(OFFSET($EN$3,0,0,'Données projet'!$E$15+1,1))-AVERAGE(OFFSET($H$3,0,0,'Données projet'!$E$15+1,1))</f>
        <v>331.7059599630698</v>
      </c>
      <c r="EP44" s="59">
        <f t="shared" si="46"/>
        <v>173.19148969173838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5.6</v>
      </c>
      <c r="FE44" s="12">
        <f>IF('Données projet'!$A$218&gt;35,FE43+FD44-FM43,IF(A44&lt;'Données projet'!$A$218,$FB$205^A44,IF(A44='Données projet'!$A$218,'Données projet'!$B$218,FE43+FD44-FM43)))</f>
        <v>84.600000000000009</v>
      </c>
      <c r="FF44" s="17">
        <f>FE44*VLOOKUP('Données projet'!$B$16,Paramètres!$A$1:$I$89,3,0)*VLOOKUP('Données projet'!$B$16,Paramètres!$A$1:$I$89,5,0)</f>
        <v>91.06344</v>
      </c>
      <c r="FG44" s="13">
        <f t="shared" si="47"/>
        <v>24.821525508693981</v>
      </c>
      <c r="FH44" s="20">
        <f t="shared" si="22"/>
        <v>201.83298159430865</v>
      </c>
      <c r="FI44" s="59">
        <f t="shared" si="23"/>
        <v>450.43567118881265</v>
      </c>
      <c r="FJ44" s="59">
        <f ca="1">AVERAGE(OFFSET($FI$3,0,0,'Données projet'!$E$16+1,1))-AVERAGE(OFFSET($H$3,0,0,'Données projet'!$E$16+1,1))</f>
        <v>360.86062459677004</v>
      </c>
      <c r="FK44" s="59">
        <f t="shared" si="48"/>
        <v>186.0840067781198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1.4045798358241908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1.4045798358241908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8.4</v>
      </c>
      <c r="FZ44" s="12">
        <f>IF('Données projet'!$A$244&gt;35,FZ43+FY44-GH43,IF(A44&lt;'Données projet'!$A$244,$FW$205^A44,IF(A44='Données projet'!$A$244,'Données projet'!$B$244,FZ43+FY44-GH43)))</f>
        <v>124.40000000000003</v>
      </c>
      <c r="GA44" s="17">
        <f>FZ44*VLOOKUP('Données projet'!$B$17,Paramètres!$A$1:$I$89,3,0)*VLOOKUP('Données projet'!$B$17,Paramètres!$A$1:$I$89,5,0)</f>
        <v>126.14160000000005</v>
      </c>
      <c r="GB44" s="13">
        <f t="shared" si="49"/>
        <v>33.10323903126482</v>
      </c>
      <c r="GC44" s="20">
        <f t="shared" si="25"/>
        <v>277.35142797945298</v>
      </c>
      <c r="GD44" s="59">
        <f t="shared" si="26"/>
        <v>525.95411757395698</v>
      </c>
      <c r="GE44" s="59">
        <f ca="1">AVERAGE(OFFSET($GD$3,0,0,'Données projet'!$E$17+1,1))-AVERAGE(OFFSET($H$3,0,0,'Données projet'!$E$17+1,1))</f>
        <v>448.73339628506784</v>
      </c>
      <c r="GF44" s="59">
        <f t="shared" si="50"/>
        <v>273.35778700650803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1.984732376708096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1.984732376708096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8.4</v>
      </c>
      <c r="N45" s="13">
        <f>IF('Données projet'!$A$36&gt;35,N44+M45-V44,IF(A45&lt;'Données projet'!$A$36,$K$205^A45,IF(A45='Données projet'!$A$36,'Données projet'!$B$36,N44+M45-V44)))</f>
        <v>132.80000000000004</v>
      </c>
      <c r="O45" s="13">
        <f>N45*VLOOKUP('Données projet'!$B$9,Paramètres!$A$1:$I$89,3,0)*VLOOKUP('Données projet'!$B$9,Paramètres!$A$1:$I$89,5,0)</f>
        <v>120.15744000000002</v>
      </c>
      <c r="P45" s="13">
        <f t="shared" si="33"/>
        <v>31.711716786129845</v>
      </c>
      <c r="Q45" s="20">
        <f t="shared" si="53"/>
        <v>264.50544806917623</v>
      </c>
      <c r="R45" s="59">
        <f t="shared" si="0"/>
        <v>513.88411432981093</v>
      </c>
      <c r="S45" s="59">
        <f ca="1">AVERAGE(OFFSET($R$3,0,0,'Données projet'!$E$9+1,1))-AVERAGE(OFFSET($H$3,0,0,'Données projet'!$E$9+1,1))</f>
        <v>408.51124670343137</v>
      </c>
      <c r="T45" s="59">
        <f t="shared" si="34"/>
        <v>250.47702091764884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1.7362638946361202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1.7362638946361202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8.1999999999999993</v>
      </c>
      <c r="AI45" s="13">
        <f>IF('Données projet'!$A$62&gt;35,AI44+AH45-AQ44,IF(A45&lt;'Données projet'!$A$62,$AF$205^A45,IF(A45='Données projet'!$A$62,'Données projet'!$B$62,AI44+AH45-AQ44)))</f>
        <v>180.39999999999986</v>
      </c>
      <c r="AJ45" s="13">
        <f>AI45*VLOOKUP('Données projet'!$B$10,Paramètres!$A$1:$I$89,3,0)*VLOOKUP('Données projet'!$B$10,Paramètres!$A$1:$I$89,5,0)</f>
        <v>143.52623999999989</v>
      </c>
      <c r="AK45" s="13">
        <f t="shared" si="35"/>
        <v>37.10364433723624</v>
      </c>
      <c r="AL45" s="20">
        <f t="shared" si="4"/>
        <v>314.59704855401958</v>
      </c>
      <c r="AM45" s="59">
        <f t="shared" si="5"/>
        <v>563.97571481465434</v>
      </c>
      <c r="AN45" s="59">
        <f ca="1">AVERAGE(OFFSET($AM$3,0,0,'Données projet'!$E$10+1,1))-AVERAGE(OFFSET($H$3,0,0,'Données projet'!$E$10+1,1))</f>
        <v>327.22763817565902</v>
      </c>
      <c r="AO45" s="59">
        <f t="shared" si="36"/>
        <v>311.68541696405975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4.7814981739614693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4.7814981739614693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7.2</v>
      </c>
      <c r="BD45" s="12">
        <f>IF('Données projet'!$A$88&gt;35,BD44+BC45-BL44,IF(A45&lt;'Données projet'!$A$88,$BA$205^A45,IF(A45='Données projet'!$A$88,'Données projet'!$B$88,BD44+BC45-BL44)))</f>
        <v>164.4</v>
      </c>
      <c r="BE45" s="13">
        <f>BD45*VLOOKUP('Données projet'!$B$11,Paramètres!$A$1:$I$89,3,0)*VLOOKUP('Données projet'!$B$11,Paramètres!$A$1:$I$89,5,0)</f>
        <v>105.15024</v>
      </c>
      <c r="BF45" s="13">
        <f t="shared" si="37"/>
        <v>28.185362054963676</v>
      </c>
      <c r="BG45" s="20">
        <f t="shared" si="7"/>
        <v>232.22617357906168</v>
      </c>
      <c r="BH45" s="59">
        <f t="shared" si="8"/>
        <v>481.60483983969641</v>
      </c>
      <c r="BI45" s="59">
        <f ca="1">AVERAGE(OFFSET($BH$3,0,0,'Données projet'!$E$11+1,1))-AVERAGE(OFFSET($H$3,0,0,'Données projet'!$E$11+1,1))</f>
        <v>169.46470423366029</v>
      </c>
      <c r="BJ45" s="59">
        <f t="shared" si="38"/>
        <v>230.78141128389288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2.1967302790155956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2.1967302790155956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7</v>
      </c>
      <c r="BY45" s="12">
        <f>IF('Données projet'!$A$114&gt;35,BY44+BX45-CG44,IF(A45&lt;'Données projet'!$A$114,$BV$205^A45,IF(A45='Données projet'!$A$114,'Données projet'!$B$114,BY44+BX45-CG44)))</f>
        <v>159.00000000000003</v>
      </c>
      <c r="BZ45" s="13">
        <f>BY45*VLOOKUP('Données projet'!$B$12,Paramètres!$A$1:$I$89,3,0)*VLOOKUP('Données projet'!$B$12,Paramètres!$A$1:$I$89,5,0)</f>
        <v>138.90240000000003</v>
      </c>
      <c r="CA45" s="13">
        <f t="shared" si="39"/>
        <v>36.045445680666461</v>
      </c>
      <c r="CB45" s="20">
        <f t="shared" si="10"/>
        <v>304.70083122716079</v>
      </c>
      <c r="CC45" s="59">
        <f t="shared" si="11"/>
        <v>554.07949748779549</v>
      </c>
      <c r="CD45" s="59">
        <f ca="1">AVERAGE(OFFSET($CC$3,0,0,'Données projet'!$E$12+1,1))-AVERAGE(OFFSET($H$3,0,0,'Données projet'!$E$12+1,1))</f>
        <v>342.79161436526499</v>
      </c>
      <c r="CE45" s="59">
        <f t="shared" si="40"/>
        <v>315.50730924873733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4.4893292637995836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4.4893292637995836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5.6</v>
      </c>
      <c r="CT45" s="12">
        <f>IF('Données projet'!$A$140&gt;35,CT44+CS45-DB44,IF(A45&lt;'Données projet'!$A$140,$CQ$205^A45,IF(A45='Données projet'!$A$140,'Données projet'!$B$140,CT44+CS45-DB44)))</f>
        <v>90.2</v>
      </c>
      <c r="CU45" s="17">
        <f>CT45*VLOOKUP('Données projet'!$B$13,Paramètres!$A$1:$I$89,3,0)*VLOOKUP('Données projet'!$B$13,Paramètres!$A$1:$I$89,5,0)</f>
        <v>60.506160000000001</v>
      </c>
      <c r="CV45" s="13">
        <f t="shared" si="41"/>
        <v>17.296179506002705</v>
      </c>
      <c r="CW45" s="20">
        <f t="shared" si="13"/>
        <v>135.50574130628803</v>
      </c>
      <c r="CX45" s="59">
        <f t="shared" si="14"/>
        <v>384.88440756692273</v>
      </c>
      <c r="CY45" s="59">
        <f ca="1">AVERAGE(OFFSET($CX$3,0,0,'Données projet'!$E$13+1,1))-AVERAGE(OFFSET($H$3,0,0,'Données projet'!$E$13+1,1))</f>
        <v>201.84651193684252</v>
      </c>
      <c r="CZ45" s="59">
        <f t="shared" si="42"/>
        <v>138.00705940844708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1.0577239817898207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1.0577239817898207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9.8000000000000007</v>
      </c>
      <c r="DO45" s="12">
        <f>IF('Données projet'!$A$166&gt;35,DO44+DN45-DW44,IF(A45&lt;'Données projet'!$A$166,$DL$205^A45,IF(A45='Données projet'!$A$166,'Données projet'!$B$166,DO44+DN45-DW44)))</f>
        <v>212.60000000000008</v>
      </c>
      <c r="DP45" s="17">
        <f>DO45*VLOOKUP('Données projet'!$B$14,Paramètres!$A$1:$I$89,3,0)*VLOOKUP('Données projet'!$B$14,Paramètres!$A$1:$I$89,5,0)</f>
        <v>155.87832000000006</v>
      </c>
      <c r="DQ45" s="13">
        <f t="shared" si="43"/>
        <v>39.911451633481022</v>
      </c>
      <c r="DR45" s="20">
        <f t="shared" si="16"/>
        <v>341.00051892831289</v>
      </c>
      <c r="DS45" s="59">
        <f t="shared" si="17"/>
        <v>590.37918518894764</v>
      </c>
      <c r="DT45" s="59">
        <f ca="1">AVERAGE(OFFSET($DS$3,0,0,'Données projet'!$E$14+1,1))-AVERAGE(OFFSET($H$3,0,0,'Données projet'!$E$14+1,1))</f>
        <v>242.21240859696931</v>
      </c>
      <c r="DU45" s="59">
        <f t="shared" si="44"/>
        <v>340.92165104349192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10.110146135544978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10.110146135544978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5.6</v>
      </c>
      <c r="EJ45" s="12">
        <f>IF('Données projet'!$A$192&gt;35,EJ44+EI45-ER44,IF(A45&lt;'Données projet'!$A$192,$EG$205^A45,IF(A45='Données projet'!$A$192,'Données projet'!$B$192,EJ44+EI45-ER44)))</f>
        <v>90.2</v>
      </c>
      <c r="EK45" s="17">
        <f>EJ45*VLOOKUP('Données projet'!$B$15,Paramètres!$A$1:$I$89,3,0)*VLOOKUP('Données projet'!$B$15,Paramètres!$A$1:$I$89,5,0)</f>
        <v>87.241439999999997</v>
      </c>
      <c r="EL45" s="13">
        <f t="shared" si="45"/>
        <v>23.898726182438701</v>
      </c>
      <c r="EM45" s="20">
        <f t="shared" si="19"/>
        <v>193.56912276774736</v>
      </c>
      <c r="EN45" s="59">
        <f t="shared" si="20"/>
        <v>442.94778902838209</v>
      </c>
      <c r="EO45" s="59">
        <f ca="1">AVERAGE(OFFSET($EN$3,0,0,'Données projet'!$E$15+1,1))-AVERAGE(OFFSET($H$3,0,0,'Données projet'!$E$15+1,1))</f>
        <v>331.7059599630698</v>
      </c>
      <c r="EP45" s="59">
        <f t="shared" si="46"/>
        <v>173.19148969173838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5.6</v>
      </c>
      <c r="FE45" s="12">
        <f>IF('Données projet'!$A$218&gt;35,FE44+FD45-FM44,IF(A45&lt;'Données projet'!$A$218,$FB$205^A45,IF(A45='Données projet'!$A$218,'Données projet'!$B$218,FE44+FD45-FM44)))</f>
        <v>90.2</v>
      </c>
      <c r="FF45" s="17">
        <f>FE45*VLOOKUP('Données projet'!$B$16,Paramètres!$A$1:$I$89,3,0)*VLOOKUP('Données projet'!$B$16,Paramètres!$A$1:$I$89,5,0)</f>
        <v>97.091279999999998</v>
      </c>
      <c r="FG45" s="13">
        <f t="shared" si="47"/>
        <v>26.267849122787243</v>
      </c>
      <c r="FH45" s="20">
        <f t="shared" si="22"/>
        <v>214.85048322218776</v>
      </c>
      <c r="FI45" s="59">
        <f t="shared" si="23"/>
        <v>464.22914948282249</v>
      </c>
      <c r="FJ45" s="59">
        <f ca="1">AVERAGE(OFFSET($FI$3,0,0,'Données projet'!$E$16+1,1))-AVERAGE(OFFSET($H$3,0,0,'Données projet'!$E$16+1,1))</f>
        <v>360.86062459677004</v>
      </c>
      <c r="FK45" s="59">
        <f t="shared" si="48"/>
        <v>186.0840067781198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1.3770368819527852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1.3770368819527852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8.4</v>
      </c>
      <c r="FZ45" s="12">
        <f>IF('Données projet'!$A$244&gt;35,FZ44+FY45-GH44,IF(A45&lt;'Données projet'!$A$244,$FW$205^A45,IF(A45='Données projet'!$A$244,'Données projet'!$B$244,FZ44+FY45-GH44)))</f>
        <v>132.80000000000004</v>
      </c>
      <c r="GA45" s="17">
        <f>FZ45*VLOOKUP('Données projet'!$B$17,Paramètres!$A$1:$I$89,3,0)*VLOOKUP('Données projet'!$B$17,Paramètres!$A$1:$I$89,5,0)</f>
        <v>134.65920000000006</v>
      </c>
      <c r="GB45" s="13">
        <f t="shared" si="49"/>
        <v>35.07074737441733</v>
      </c>
      <c r="GC45" s="20">
        <f t="shared" si="25"/>
        <v>295.61299167711024</v>
      </c>
      <c r="GD45" s="59">
        <f t="shared" si="26"/>
        <v>544.991657937745</v>
      </c>
      <c r="GE45" s="59">
        <f ca="1">AVERAGE(OFFSET($GD$3,0,0,'Données projet'!$E$17+1,1))-AVERAGE(OFFSET($H$3,0,0,'Données projet'!$E$17+1,1))</f>
        <v>448.73339628506784</v>
      </c>
      <c r="GF45" s="59">
        <f t="shared" si="50"/>
        <v>273.35778700650803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1.9458129853680664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1.9458129853680664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8.4</v>
      </c>
      <c r="N46" s="13">
        <f>IF('Données projet'!$A$36&gt;35,N45+M46-V45,IF(A46&lt;'Données projet'!$A$36,$K$205^A46,IF(A46='Données projet'!$A$36,'Données projet'!$B$36,N45+M46-V45)))</f>
        <v>141.20000000000005</v>
      </c>
      <c r="O46" s="13">
        <f>N46*VLOOKUP('Données projet'!$B$9,Paramètres!$A$1:$I$89,3,0)*VLOOKUP('Données projet'!$B$9,Paramètres!$A$1:$I$89,5,0)</f>
        <v>127.75776000000003</v>
      </c>
      <c r="P46" s="13">
        <f t="shared" si="33"/>
        <v>33.477720030956604</v>
      </c>
      <c r="Q46" s="20">
        <f t="shared" si="53"/>
        <v>280.81846105391611</v>
      </c>
      <c r="R46" s="59">
        <f t="shared" si="0"/>
        <v>530.9596425203481</v>
      </c>
      <c r="S46" s="59">
        <f ca="1">AVERAGE(OFFSET($R$3,0,0,'Données projet'!$E$9+1,1))-AVERAGE(OFFSET($H$3,0,0,'Données projet'!$E$9+1,1))</f>
        <v>408.51124670343137</v>
      </c>
      <c r="T46" s="59">
        <f t="shared" si="34"/>
        <v>250.47702091764884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1.7022168186787123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1.7022168186787123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8.1999999999999993</v>
      </c>
      <c r="AI46" s="13">
        <f>IF('Données projet'!$A$62&gt;35,AI45+AH46-AQ45,IF(A46&lt;'Données projet'!$A$62,$AF$205^A46,IF(A46='Données projet'!$A$62,'Données projet'!$B$62,AI45+AH46-AQ45)))</f>
        <v>188.59999999999985</v>
      </c>
      <c r="AJ46" s="13">
        <f>AI46*VLOOKUP('Données projet'!$B$10,Paramètres!$A$1:$I$89,3,0)*VLOOKUP('Données projet'!$B$10,Paramètres!$A$1:$I$89,5,0)</f>
        <v>150.05015999999989</v>
      </c>
      <c r="AK46" s="13">
        <f t="shared" si="35"/>
        <v>38.589984439024569</v>
      </c>
      <c r="AL46" s="20">
        <f t="shared" si="4"/>
        <v>328.5482515646342</v>
      </c>
      <c r="AM46" s="59">
        <f t="shared" si="5"/>
        <v>578.6894330310663</v>
      </c>
      <c r="AN46" s="59">
        <f ca="1">AVERAGE(OFFSET($AM$3,0,0,'Données projet'!$E$10+1,1))-AVERAGE(OFFSET($H$3,0,0,'Données projet'!$E$10+1,1))</f>
        <v>327.22763817565902</v>
      </c>
      <c r="AO46" s="59">
        <f t="shared" si="36"/>
        <v>311.68541696405975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4.6877359111959978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4.6877359111959978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7.2</v>
      </c>
      <c r="BD46" s="12">
        <f>IF('Données projet'!$A$88&gt;35,BD45+BC46-BL45,IF(A46&lt;'Données projet'!$A$88,$BA$205^A46,IF(A46='Données projet'!$A$88,'Données projet'!$B$88,BD45+BC46-BL45)))</f>
        <v>171.6</v>
      </c>
      <c r="BE46" s="13">
        <f>BD46*VLOOKUP('Données projet'!$B$11,Paramètres!$A$1:$I$89,3,0)*VLOOKUP('Données projet'!$B$11,Paramètres!$A$1:$I$89,5,0)</f>
        <v>109.75536</v>
      </c>
      <c r="BF46" s="13">
        <f t="shared" si="37"/>
        <v>29.273338013636018</v>
      </c>
      <c r="BG46" s="20">
        <f t="shared" si="7"/>
        <v>242.14164904041604</v>
      </c>
      <c r="BH46" s="59">
        <f t="shared" si="8"/>
        <v>492.28283050684809</v>
      </c>
      <c r="BI46" s="59">
        <f ca="1">AVERAGE(OFFSET($BH$3,0,0,'Données projet'!$E$11+1,1))-AVERAGE(OFFSET($H$3,0,0,'Données projet'!$E$11+1,1))</f>
        <v>169.46470423366029</v>
      </c>
      <c r="BJ46" s="59">
        <f t="shared" si="38"/>
        <v>230.78141128389288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2.1536537381172685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2.1536537381172685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7</v>
      </c>
      <c r="BY46" s="12">
        <f>IF('Données projet'!$A$114&gt;35,BY45+BX46-CG45,IF(A46&lt;'Données projet'!$A$114,$BV$205^A46,IF(A46='Données projet'!$A$114,'Données projet'!$B$114,BY45+BX46-CG45)))</f>
        <v>166.00000000000003</v>
      </c>
      <c r="BZ46" s="13">
        <f>BY46*VLOOKUP('Données projet'!$B$12,Paramètres!$A$1:$I$89,3,0)*VLOOKUP('Données projet'!$B$12,Paramètres!$A$1:$I$89,5,0)</f>
        <v>145.01760000000004</v>
      </c>
      <c r="CA46" s="13">
        <f t="shared" si="39"/>
        <v>37.444100932065233</v>
      </c>
      <c r="CB46" s="20">
        <f t="shared" si="10"/>
        <v>317.78746245668032</v>
      </c>
      <c r="CC46" s="59">
        <f t="shared" si="11"/>
        <v>567.9286439231123</v>
      </c>
      <c r="CD46" s="59">
        <f ca="1">AVERAGE(OFFSET($CC$3,0,0,'Données projet'!$E$12+1,1))-AVERAGE(OFFSET($H$3,0,0,'Données projet'!$E$12+1,1))</f>
        <v>342.79161436526499</v>
      </c>
      <c r="CE46" s="59">
        <f t="shared" si="40"/>
        <v>315.50730924873733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4.4012962551569483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4.4012962551569483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5.6</v>
      </c>
      <c r="CT46" s="12">
        <f>IF('Données projet'!$A$140&gt;35,CT45+CS46-DB45,IF(A46&lt;'Données projet'!$A$140,$CQ$205^A46,IF(A46='Données projet'!$A$140,'Données projet'!$B$140,CT45+CS46-DB45)))</f>
        <v>95.8</v>
      </c>
      <c r="CU46" s="17">
        <f>CT46*VLOOKUP('Données projet'!$B$13,Paramètres!$A$1:$I$89,3,0)*VLOOKUP('Données projet'!$B$13,Paramètres!$A$1:$I$89,5,0)</f>
        <v>64.26263999999999</v>
      </c>
      <c r="CV46" s="13">
        <f t="shared" si="41"/>
        <v>18.24165556222081</v>
      </c>
      <c r="CW46" s="20">
        <f t="shared" si="13"/>
        <v>143.69498143753455</v>
      </c>
      <c r="CX46" s="59">
        <f t="shared" si="14"/>
        <v>393.83616290396662</v>
      </c>
      <c r="CY46" s="59">
        <f ca="1">AVERAGE(OFFSET($CX$3,0,0,'Données projet'!$E$13+1,1))-AVERAGE(OFFSET($H$3,0,0,'Données projet'!$E$13+1,1))</f>
        <v>201.84651193684252</v>
      </c>
      <c r="CZ46" s="59">
        <f t="shared" si="42"/>
        <v>138.00705940844708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1.0369826596548481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1.0369826596548481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9.8000000000000007</v>
      </c>
      <c r="DO46" s="12">
        <f>IF('Données projet'!$A$166&gt;35,DO45+DN46-DW45,IF(A46&lt;'Données projet'!$A$166,$DL$205^A46,IF(A46='Données projet'!$A$166,'Données projet'!$B$166,DO45+DN46-DW45)))</f>
        <v>222.40000000000009</v>
      </c>
      <c r="DP46" s="17">
        <f>DO46*VLOOKUP('Données projet'!$B$14,Paramètres!$A$1:$I$89,3,0)*VLOOKUP('Données projet'!$B$14,Paramètres!$A$1:$I$89,5,0)</f>
        <v>163.06368000000006</v>
      </c>
      <c r="DQ46" s="13">
        <f t="shared" si="43"/>
        <v>41.532772330984663</v>
      </c>
      <c r="DR46" s="20">
        <f t="shared" si="16"/>
        <v>356.33882114313172</v>
      </c>
      <c r="DS46" s="59">
        <f t="shared" si="17"/>
        <v>606.48000260956383</v>
      </c>
      <c r="DT46" s="59">
        <f ca="1">AVERAGE(OFFSET($DS$3,0,0,'Données projet'!$E$14+1,1))-AVERAGE(OFFSET($H$3,0,0,'Données projet'!$E$14+1,1))</f>
        <v>242.21240859696931</v>
      </c>
      <c r="DU46" s="59">
        <f t="shared" si="44"/>
        <v>340.92165104349192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9.9118923364071847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9.9118923364071847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5.6</v>
      </c>
      <c r="EJ46" s="12">
        <f>IF('Données projet'!$A$192&gt;35,EJ45+EI46-ER45,IF(A46&lt;'Données projet'!$A$192,$EG$205^A46,IF(A46='Données projet'!$A$192,'Données projet'!$B$192,EJ45+EI46-ER45)))</f>
        <v>95.8</v>
      </c>
      <c r="EK46" s="17">
        <f>EJ46*VLOOKUP('Données projet'!$B$15,Paramètres!$A$1:$I$89,3,0)*VLOOKUP('Données projet'!$B$15,Paramètres!$A$1:$I$89,5,0)</f>
        <v>92.65776000000001</v>
      </c>
      <c r="EL46" s="13">
        <f t="shared" si="45"/>
        <v>25.205122972074609</v>
      </c>
      <c r="EM46" s="20">
        <f t="shared" si="19"/>
        <v>205.2778545096966</v>
      </c>
      <c r="EN46" s="59">
        <f t="shared" si="20"/>
        <v>455.41903597612861</v>
      </c>
      <c r="EO46" s="59">
        <f ca="1">AVERAGE(OFFSET($EN$3,0,0,'Données projet'!$E$15+1,1))-AVERAGE(OFFSET($H$3,0,0,'Données projet'!$E$15+1,1))</f>
        <v>331.7059599630698</v>
      </c>
      <c r="EP46" s="59">
        <f t="shared" si="46"/>
        <v>173.19148969173838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5.6</v>
      </c>
      <c r="FE46" s="12">
        <f>IF('Données projet'!$A$218&gt;35,FE45+FD46-FM45,IF(A46&lt;'Données projet'!$A$218,$FB$205^A46,IF(A46='Données projet'!$A$218,'Données projet'!$B$218,FE45+FD46-FM45)))</f>
        <v>95.8</v>
      </c>
      <c r="FF46" s="17">
        <f>FE46*VLOOKUP('Données projet'!$B$16,Paramètres!$A$1:$I$89,3,0)*VLOOKUP('Données projet'!$B$16,Paramètres!$A$1:$I$89,5,0)</f>
        <v>103.11911999999998</v>
      </c>
      <c r="FG46" s="13">
        <f t="shared" si="47"/>
        <v>27.703751333753903</v>
      </c>
      <c r="FH46" s="20">
        <f t="shared" si="22"/>
        <v>227.84983423962134</v>
      </c>
      <c r="FI46" s="59">
        <f t="shared" si="23"/>
        <v>477.99101570605342</v>
      </c>
      <c r="FJ46" s="59">
        <f ca="1">AVERAGE(OFFSET($FI$3,0,0,'Données projet'!$E$16+1,1))-AVERAGE(OFFSET($H$3,0,0,'Données projet'!$E$16+1,1))</f>
        <v>360.86062459677004</v>
      </c>
      <c r="FK46" s="59">
        <f t="shared" si="48"/>
        <v>186.0840067781198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1.350034028607255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1.350034028607255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8.4</v>
      </c>
      <c r="FZ46" s="12">
        <f>IF('Données projet'!$A$244&gt;35,FZ45+FY46-GH45,IF(A46&lt;'Données projet'!$A$244,$FW$205^A46,IF(A46='Données projet'!$A$244,'Données projet'!$B$244,FZ45+FY46-GH45)))</f>
        <v>141.20000000000005</v>
      </c>
      <c r="GA46" s="17">
        <f>FZ46*VLOOKUP('Données projet'!$B$17,Paramètres!$A$1:$I$89,3,0)*VLOOKUP('Données projet'!$B$17,Paramètres!$A$1:$I$89,5,0)</f>
        <v>143.17680000000004</v>
      </c>
      <c r="GB46" s="13">
        <f t="shared" si="49"/>
        <v>37.023812674521515</v>
      </c>
      <c r="GC46" s="20">
        <f t="shared" si="25"/>
        <v>313.84940040812506</v>
      </c>
      <c r="GD46" s="59">
        <f t="shared" si="26"/>
        <v>563.99058187455717</v>
      </c>
      <c r="GE46" s="59">
        <f ca="1">AVERAGE(OFFSET($GD$3,0,0,'Données projet'!$E$17+1,1))-AVERAGE(OFFSET($H$3,0,0,'Données projet'!$E$17+1,1))</f>
        <v>448.73339628506784</v>
      </c>
      <c r="GF46" s="59">
        <f t="shared" si="50"/>
        <v>273.35778700650803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1.90765677955373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1.90765677955373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8.4</v>
      </c>
      <c r="N47" s="13">
        <f>IF('Données projet'!$A$36&gt;35,N46+M47-V46,IF(A47&lt;'Données projet'!$A$36,$K$205^A47,IF(A47='Données projet'!$A$36,'Données projet'!$B$36,N46+M47-V46)))</f>
        <v>149.60000000000005</v>
      </c>
      <c r="O47" s="13">
        <f>N47*VLOOKUP('Données projet'!$B$9,Paramètres!$A$1:$I$89,3,0)*VLOOKUP('Données projet'!$B$9,Paramètres!$A$1:$I$89,5,0)</f>
        <v>135.35808000000006</v>
      </c>
      <c r="P47" s="13">
        <f t="shared" si="33"/>
        <v>35.231528980112834</v>
      </c>
      <c r="Q47" s="20">
        <f t="shared" si="53"/>
        <v>297.11023564036327</v>
      </c>
      <c r="R47" s="59">
        <f t="shared" si="0"/>
        <v>548.0007043785007</v>
      </c>
      <c r="S47" s="59">
        <f ca="1">AVERAGE(OFFSET($R$3,0,0,'Données projet'!$E$9+1,1))-AVERAGE(OFFSET($H$3,0,0,'Données projet'!$E$9+1,1))</f>
        <v>408.51124670343137</v>
      </c>
      <c r="T47" s="59">
        <f t="shared" si="34"/>
        <v>250.47702091764884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1.6688373851141636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1.6688373851141636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8.1999999999999993</v>
      </c>
      <c r="AI47" s="13">
        <f>IF('Données projet'!$A$62&gt;35,AI46+AH47-AQ46,IF(A47&lt;'Données projet'!$A$62,$AF$205^A47,IF(A47='Données projet'!$A$62,'Données projet'!$B$62,AI46+AH47-AQ46)))</f>
        <v>196.79999999999984</v>
      </c>
      <c r="AJ47" s="13">
        <f>AI47*VLOOKUP('Données projet'!$B$10,Paramètres!$A$1:$I$89,3,0)*VLOOKUP('Données projet'!$B$10,Paramètres!$A$1:$I$89,5,0)</f>
        <v>156.5740799999999</v>
      </c>
      <c r="AK47" s="13">
        <f t="shared" si="35"/>
        <v>40.068818872547432</v>
      </c>
      <c r="AL47" s="20">
        <f t="shared" si="4"/>
        <v>342.4863822030199</v>
      </c>
      <c r="AM47" s="59">
        <f t="shared" si="5"/>
        <v>593.37685094115727</v>
      </c>
      <c r="AN47" s="59">
        <f ca="1">AVERAGE(OFFSET($AM$3,0,0,'Données projet'!$E$10+1,1))-AVERAGE(OFFSET($H$3,0,0,'Données projet'!$E$10+1,1))</f>
        <v>327.22763817565902</v>
      </c>
      <c r="AO47" s="59">
        <f t="shared" si="36"/>
        <v>311.68541696405975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4.595812269214024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4.595812269214024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7.2</v>
      </c>
      <c r="BD47" s="12">
        <f>IF('Données projet'!$A$88&gt;35,BD46+BC47-BL46,IF(A47&lt;'Données projet'!$A$88,$BA$205^A47,IF(A47='Données projet'!$A$88,'Données projet'!$B$88,BD46+BC47-BL46)))</f>
        <v>178.79999999999998</v>
      </c>
      <c r="BE47" s="13">
        <f>BD47*VLOOKUP('Données projet'!$B$11,Paramètres!$A$1:$I$89,3,0)*VLOOKUP('Données projet'!$B$11,Paramètres!$A$1:$I$89,5,0)</f>
        <v>114.36048</v>
      </c>
      <c r="BF47" s="13">
        <f t="shared" si="37"/>
        <v>30.35601170048999</v>
      </c>
      <c r="BG47" s="20">
        <f t="shared" si="7"/>
        <v>252.04788971168671</v>
      </c>
      <c r="BH47" s="59">
        <f t="shared" si="8"/>
        <v>502.93835844982414</v>
      </c>
      <c r="BI47" s="59">
        <f ca="1">AVERAGE(OFFSET($BH$3,0,0,'Données projet'!$E$11+1,1))-AVERAGE(OFFSET($H$3,0,0,'Données projet'!$E$11+1,1))</f>
        <v>169.46470423366029</v>
      </c>
      <c r="BJ47" s="59">
        <f t="shared" si="38"/>
        <v>230.78141128389288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2.1114219019118621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2.1114219019118621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7</v>
      </c>
      <c r="BY47" s="12">
        <f>IF('Données projet'!$A$114&gt;35,BY46+BX47-CG46,IF(A47&lt;'Données projet'!$A$114,$BV$205^A47,IF(A47='Données projet'!$A$114,'Données projet'!$B$114,BY46+BX47-CG46)))</f>
        <v>173.00000000000003</v>
      </c>
      <c r="BZ47" s="13">
        <f>BY47*VLOOKUP('Données projet'!$B$12,Paramètres!$A$1:$I$89,3,0)*VLOOKUP('Données projet'!$B$12,Paramètres!$A$1:$I$89,5,0)</f>
        <v>151.13280000000003</v>
      </c>
      <c r="CA47" s="13">
        <f t="shared" si="39"/>
        <v>38.835905653934425</v>
      </c>
      <c r="CB47" s="20">
        <f t="shared" si="10"/>
        <v>330.86216234726913</v>
      </c>
      <c r="CC47" s="59">
        <f t="shared" si="11"/>
        <v>581.75263108540662</v>
      </c>
      <c r="CD47" s="59">
        <f ca="1">AVERAGE(OFFSET($CC$3,0,0,'Données projet'!$E$12+1,1))-AVERAGE(OFFSET($H$3,0,0,'Données projet'!$E$12+1,1))</f>
        <v>342.79161436526499</v>
      </c>
      <c r="CE47" s="59">
        <f t="shared" si="40"/>
        <v>315.50730924873733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4.314989520118961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4.314989520118961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5.6</v>
      </c>
      <c r="CT47" s="12">
        <f>IF('Données projet'!$A$140&gt;35,CT46+CS47-DB46,IF(A47&lt;'Données projet'!$A$140,$CQ$205^A47,IF(A47='Données projet'!$A$140,'Données projet'!$B$140,CT46+CS47-DB46)))</f>
        <v>101.39999999999999</v>
      </c>
      <c r="CU47" s="17">
        <f>CT47*VLOOKUP('Données projet'!$B$13,Paramètres!$A$1:$I$89,3,0)*VLOOKUP('Données projet'!$B$13,Paramètres!$A$1:$I$89,5,0)</f>
        <v>68.019120000000001</v>
      </c>
      <c r="CV47" s="13">
        <f t="shared" si="41"/>
        <v>19.180716414103657</v>
      </c>
      <c r="CW47" s="20">
        <f t="shared" si="13"/>
        <v>151.87304842123052</v>
      </c>
      <c r="CX47" s="59">
        <f t="shared" si="14"/>
        <v>402.76351715936795</v>
      </c>
      <c r="CY47" s="59">
        <f ca="1">AVERAGE(OFFSET($CX$3,0,0,'Données projet'!$E$13+1,1))-AVERAGE(OFFSET($H$3,0,0,'Données projet'!$E$13+1,1))</f>
        <v>201.84651193684252</v>
      </c>
      <c r="CZ47" s="59">
        <f t="shared" si="42"/>
        <v>138.00705940844708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1.016648062195985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1.016648062195985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9.8000000000000007</v>
      </c>
      <c r="DO47" s="12">
        <f>IF('Données projet'!$A$166&gt;35,DO46+DN47-DW46,IF(A47&lt;'Données projet'!$A$166,$DL$205^A47,IF(A47='Données projet'!$A$166,'Données projet'!$B$166,DO46+DN47-DW46)))</f>
        <v>232.2000000000001</v>
      </c>
      <c r="DP47" s="17">
        <f>DO47*VLOOKUP('Données projet'!$B$14,Paramètres!$A$1:$I$89,3,0)*VLOOKUP('Données projet'!$B$14,Paramètres!$A$1:$I$89,5,0)</f>
        <v>170.24904000000006</v>
      </c>
      <c r="DQ47" s="13">
        <f t="shared" si="43"/>
        <v>43.145795507930117</v>
      </c>
      <c r="DR47" s="20">
        <f t="shared" si="16"/>
        <v>371.6626718429784</v>
      </c>
      <c r="DS47" s="59">
        <f t="shared" si="17"/>
        <v>622.55314058111583</v>
      </c>
      <c r="DT47" s="59">
        <f ca="1">AVERAGE(OFFSET($DS$3,0,0,'Données projet'!$E$14+1,1))-AVERAGE(OFFSET($H$3,0,0,'Données projet'!$E$14+1,1))</f>
        <v>242.21240859696931</v>
      </c>
      <c r="DU47" s="59">
        <f t="shared" si="44"/>
        <v>340.92165104349192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9.7175261733476059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9.7175261733476059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5.6</v>
      </c>
      <c r="EJ47" s="12">
        <f>IF('Données projet'!$A$192&gt;35,EJ46+EI47-ER46,IF(A47&lt;'Données projet'!$A$192,$EG$205^A47,IF(A47='Données projet'!$A$192,'Données projet'!$B$192,EJ46+EI47-ER46)))</f>
        <v>101.39999999999999</v>
      </c>
      <c r="EK47" s="17">
        <f>EJ47*VLOOKUP('Données projet'!$B$15,Paramètres!$A$1:$I$89,3,0)*VLOOKUP('Données projet'!$B$15,Paramètres!$A$1:$I$89,5,0)</f>
        <v>98.074079999999995</v>
      </c>
      <c r="EL47" s="13">
        <f t="shared" si="45"/>
        <v>26.502655653208453</v>
      </c>
      <c r="EM47" s="20">
        <f t="shared" si="19"/>
        <v>216.97114792933803</v>
      </c>
      <c r="EN47" s="59">
        <f t="shared" si="20"/>
        <v>467.86161666747546</v>
      </c>
      <c r="EO47" s="59">
        <f ca="1">AVERAGE(OFFSET($EN$3,0,0,'Données projet'!$E$15+1,1))-AVERAGE(OFFSET($H$3,0,0,'Données projet'!$E$15+1,1))</f>
        <v>331.7059599630698</v>
      </c>
      <c r="EP47" s="59">
        <f t="shared" si="46"/>
        <v>173.19148969173838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5.6</v>
      </c>
      <c r="FE47" s="12">
        <f>IF('Données projet'!$A$218&gt;35,FE46+FD47-FM46,IF(A47&lt;'Données projet'!$A$218,$FB$205^A47,IF(A47='Données projet'!$A$218,'Données projet'!$B$218,FE46+FD47-FM46)))</f>
        <v>101.39999999999999</v>
      </c>
      <c r="FF47" s="17">
        <f>FE47*VLOOKUP('Données projet'!$B$16,Paramètres!$A$1:$I$89,3,0)*VLOOKUP('Données projet'!$B$16,Paramètres!$A$1:$I$89,5,0)</f>
        <v>109.14695999999999</v>
      </c>
      <c r="FG47" s="13">
        <f t="shared" si="47"/>
        <v>29.129910721485377</v>
      </c>
      <c r="FH47" s="20">
        <f t="shared" si="22"/>
        <v>240.83221650658706</v>
      </c>
      <c r="FI47" s="59">
        <f t="shared" si="23"/>
        <v>491.72268524472452</v>
      </c>
      <c r="FJ47" s="59">
        <f ca="1">AVERAGE(OFFSET($FI$3,0,0,'Données projet'!$E$16+1,1))-AVERAGE(OFFSET($H$3,0,0,'Données projet'!$E$16+1,1))</f>
        <v>360.86062459677004</v>
      </c>
      <c r="FK47" s="59">
        <f t="shared" si="48"/>
        <v>186.0840067781198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1.3235606847457162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1.3235606847457162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8.4</v>
      </c>
      <c r="FZ47" s="12">
        <f>IF('Données projet'!$A$244&gt;35,FZ46+FY47-GH46,IF(A47&lt;'Données projet'!$A$244,$FW$205^A47,IF(A47='Données projet'!$A$244,'Données projet'!$B$244,FZ46+FY47-GH46)))</f>
        <v>149.60000000000005</v>
      </c>
      <c r="GA47" s="17">
        <f>FZ47*VLOOKUP('Données projet'!$B$17,Paramètres!$A$1:$I$89,3,0)*VLOOKUP('Données projet'!$B$17,Paramètres!$A$1:$I$89,5,0)</f>
        <v>151.69440000000006</v>
      </c>
      <c r="GB47" s="13">
        <f t="shared" si="49"/>
        <v>38.963392010880654</v>
      </c>
      <c r="GC47" s="20">
        <f t="shared" si="25"/>
        <v>332.06232108561721</v>
      </c>
      <c r="GD47" s="59">
        <f t="shared" si="26"/>
        <v>582.95278982375464</v>
      </c>
      <c r="GE47" s="59">
        <f ca="1">AVERAGE(OFFSET($GD$3,0,0,'Données projet'!$E$17+1,1))-AVERAGE(OFFSET($H$3,0,0,'Données projet'!$E$17+1,1))</f>
        <v>448.73339628506784</v>
      </c>
      <c r="GF47" s="59">
        <f t="shared" si="50"/>
        <v>273.35778700650803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1.8702487936624252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1.8702487936624252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158</v>
      </c>
      <c r="L48" s="12">
        <f>VLOOKUP(A48,'Données projet'!$A$35:$I$55,9,0)</f>
        <v>8.4</v>
      </c>
      <c r="M48" s="12">
        <f t="array" ref="M48">INDEX(L:L,MIN(IF(ISNUMBER(L48:L244),ROW(L48:L244),"")))</f>
        <v>8.4</v>
      </c>
      <c r="N48" s="13">
        <f>IF('Données projet'!$A$36&gt;35,N47+M48-V47,IF(A48&lt;'Données projet'!$A$36,$K$205^A48,IF(A48='Données projet'!$A$36,'Données projet'!$B$36,N47+M48-V47)))</f>
        <v>158.00000000000006</v>
      </c>
      <c r="O48" s="13">
        <f>N48*VLOOKUP('Données projet'!$B$9,Paramètres!$A$1:$I$89,3,0)*VLOOKUP('Données projet'!$B$9,Paramètres!$A$1:$I$89,5,0)</f>
        <v>142.95840000000004</v>
      </c>
      <c r="P48" s="13">
        <f t="shared" si="33"/>
        <v>36.973906370811264</v>
      </c>
      <c r="Q48" s="20">
        <f t="shared" si="53"/>
        <v>313.38210026249641</v>
      </c>
      <c r="R48" s="59">
        <f t="shared" si="0"/>
        <v>565.00885781333056</v>
      </c>
      <c r="S48" s="59">
        <f ca="1">AVERAGE(OFFSET($R$3,0,0,'Données projet'!$E$9+1,1))-AVERAGE(OFFSET($H$3,0,0,'Données projet'!$E$9+1,1))</f>
        <v>408.51124670343137</v>
      </c>
      <c r="T48" s="59">
        <f t="shared" si="34"/>
        <v>250.47702091764884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21</v>
      </c>
      <c r="W48" s="16">
        <f>IF(ISNA(VLOOKUP(A48,'Données projet'!$A$35:$I$55,5,0)),0%,VLOOKUP(A48,'Données projet'!$A$35:$I$55,5,0)*VLOOKUP('Données projet'!$B$9,Paramètres!$A$1:$I$89,7,0))</f>
        <v>8.6000000000000007E-2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3.4425271584013237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3.4425271584013237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205</v>
      </c>
      <c r="AG48" s="12">
        <f>VLOOKUP(A48,'Données projet'!$A$61:$I$81,9,0)</f>
        <v>8.1999999999999993</v>
      </c>
      <c r="AH48" s="12">
        <f t="array" ref="AH48">INDEX(AG:AG,MIN(IF(ISNUMBER(AG48:AG244),ROW(AG48:AG244),"")))</f>
        <v>8.1999999999999993</v>
      </c>
      <c r="AI48" s="13">
        <f>IF('Données projet'!$A$62&gt;35,AI47+AH48-AQ47,IF(A48&lt;'Données projet'!$A$62,$AF$205^A48,IF(A48='Données projet'!$A$62,'Données projet'!$B$62,AI47+AH48-AQ47)))</f>
        <v>204.99999999999983</v>
      </c>
      <c r="AJ48" s="13">
        <f>AI48*VLOOKUP('Données projet'!$B$10,Paramètres!$A$1:$I$89,3,0)*VLOOKUP('Données projet'!$B$10,Paramètres!$A$1:$I$89,5,0)</f>
        <v>163.09799999999987</v>
      </c>
      <c r="AK48" s="13">
        <f t="shared" si="35"/>
        <v>41.540496136845107</v>
      </c>
      <c r="AL48" s="20">
        <f t="shared" si="4"/>
        <v>356.41204743833833</v>
      </c>
      <c r="AM48" s="59">
        <f t="shared" si="5"/>
        <v>608.03880498917249</v>
      </c>
      <c r="AN48" s="59">
        <f ca="1">AVERAGE(OFFSET($AM$3,0,0,'Données projet'!$E$10+1,1))-AVERAGE(OFFSET($H$3,0,0,'Données projet'!$E$10+1,1))</f>
        <v>327.22763817565902</v>
      </c>
      <c r="AO48" s="59">
        <f t="shared" si="36"/>
        <v>311.68541696405975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22</v>
      </c>
      <c r="AR48" s="16">
        <f>IF(ISNA(VLOOKUP(A48,'Données projet'!$A$61:$I$81,5,0)),0%,VLOOKUP(A48,'Données projet'!$A$61:$I$81,5,0)*VLOOKUP('Données projet'!$B$10,Paramètres!$A$1:$I$89,7,0))</f>
        <v>0.159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7.582224988162972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7.582224988162972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186</v>
      </c>
      <c r="BB48" s="12">
        <f>VLOOKUP(A48,'Données projet'!$A$87:$I$107,9,0)</f>
        <v>7.2</v>
      </c>
      <c r="BC48" s="12">
        <f t="array" ref="BC48">INDEX(BB:BB,MIN(IF(ISNUMBER(BB48:BB244),ROW(BB48:BB244),"")))</f>
        <v>7.2</v>
      </c>
      <c r="BD48" s="12">
        <f>IF('Données projet'!$A$88&gt;35,BD47+BC48-BL47,IF(A48&lt;'Données projet'!$A$88,$BA$205^A48,IF(A48='Données projet'!$A$88,'Données projet'!$B$88,BD47+BC48-BL47)))</f>
        <v>185.99999999999997</v>
      </c>
      <c r="BE48" s="13">
        <f>BD48*VLOOKUP('Données projet'!$B$11,Paramètres!$A$1:$I$89,3,0)*VLOOKUP('Données projet'!$B$11,Paramètres!$A$1:$I$89,5,0)</f>
        <v>118.96559999999999</v>
      </c>
      <c r="BF48" s="13">
        <f t="shared" si="37"/>
        <v>31.433621056182272</v>
      </c>
      <c r="BG48" s="20">
        <f t="shared" si="7"/>
        <v>261.94531000618412</v>
      </c>
      <c r="BH48" s="59">
        <f t="shared" si="8"/>
        <v>513.57206755701827</v>
      </c>
      <c r="BI48" s="59">
        <f ca="1">AVERAGE(OFFSET($BH$3,0,0,'Données projet'!$E$11+1,1))-AVERAGE(OFFSET($H$3,0,0,'Données projet'!$E$11+1,1))</f>
        <v>169.46470423366029</v>
      </c>
      <c r="BJ48" s="59">
        <f t="shared" si="38"/>
        <v>230.78141128389288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17</v>
      </c>
      <c r="BM48" s="16">
        <f>IF(ISNA(VLOOKUP(A48,'Données projet'!$A$87:$I$107,5,0)),0%,VLOOKUP(A48,'Données projet'!$A$87:$I$107,5,0)*VLOOKUP('Données projet'!$B$11,Paramètres!$A$1:$I$89,7,0))</f>
        <v>0.17200000000000001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4.1374582975424463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4.1374582975424463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180</v>
      </c>
      <c r="BW48" s="12">
        <f>VLOOKUP(A48,'Données projet'!$A$113:$I$133,9,0)</f>
        <v>7</v>
      </c>
      <c r="BX48" s="12">
        <f t="array" ref="BX48">INDEX(BW:BW,MIN(IF(ISNUMBER(BW48:BW244),ROW(BW48:BW244),"")))</f>
        <v>7</v>
      </c>
      <c r="BY48" s="12">
        <f>IF('Données projet'!$A$114&gt;35,BY47+BX48-CG47,IF(A48&lt;'Données projet'!$A$114,$BV$205^A48,IF(A48='Données projet'!$A$114,'Données projet'!$B$114,BY47+BX48-CG47)))</f>
        <v>180.00000000000003</v>
      </c>
      <c r="BZ48" s="13">
        <f>BY48*VLOOKUP('Données projet'!$B$12,Paramètres!$A$1:$I$89,3,0)*VLOOKUP('Données projet'!$B$12,Paramètres!$A$1:$I$89,5,0)</f>
        <v>157.24800000000005</v>
      </c>
      <c r="CA48" s="13">
        <f t="shared" si="39"/>
        <v>40.221168744348645</v>
      </c>
      <c r="CB48" s="20">
        <f t="shared" si="10"/>
        <v>343.92546889640727</v>
      </c>
      <c r="CC48" s="59">
        <f t="shared" si="11"/>
        <v>595.55222644724142</v>
      </c>
      <c r="CD48" s="59">
        <f ca="1">AVERAGE(OFFSET($CC$3,0,0,'Données projet'!$E$12+1,1))-AVERAGE(OFFSET($H$3,0,0,'Données projet'!$E$12+1,1))</f>
        <v>342.79161436526499</v>
      </c>
      <c r="CE48" s="59">
        <f t="shared" si="40"/>
        <v>315.50730924873733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0.129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6.9711422725763965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6.9711422725763965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107</v>
      </c>
      <c r="CR48" s="12">
        <f>VLOOKUP(A48,'Données projet'!$A$139:$I$159,9,0)</f>
        <v>5.6</v>
      </c>
      <c r="CS48" s="12">
        <f t="array" ref="CS48">INDEX(CR:CR,MIN(IF(ISNUMBER(CR48:CR244),ROW(CR48:CR244),"")))</f>
        <v>5.6</v>
      </c>
      <c r="CT48" s="12">
        <f>IF('Données projet'!$A$140&gt;35,CT47+CS48-DB47,IF(A48&lt;'Données projet'!$A$140,$CQ$205^A48,IF(A48='Données projet'!$A$140,'Données projet'!$B$140,CT47+CS48-DB47)))</f>
        <v>106.99999999999999</v>
      </c>
      <c r="CU48" s="17">
        <f>CT48*VLOOKUP('Données projet'!$B$13,Paramètres!$A$1:$I$89,3,0)*VLOOKUP('Données projet'!$B$13,Paramètres!$A$1:$I$89,5,0)</f>
        <v>71.775599999999983</v>
      </c>
      <c r="CV48" s="13">
        <f t="shared" si="41"/>
        <v>20.113756735968991</v>
      </c>
      <c r="CW48" s="20">
        <f t="shared" si="13"/>
        <v>160.04062964847927</v>
      </c>
      <c r="CX48" s="59">
        <f t="shared" si="14"/>
        <v>411.6673871993134</v>
      </c>
      <c r="CY48" s="59">
        <f ca="1">AVERAGE(OFFSET($CX$3,0,0,'Données projet'!$E$13+1,1))-AVERAGE(OFFSET($H$3,0,0,'Données projet'!$E$13+1,1))</f>
        <v>201.84651193684252</v>
      </c>
      <c r="CZ48" s="59">
        <f t="shared" si="42"/>
        <v>138.00705940844708</v>
      </c>
      <c r="DA48" s="15">
        <f>IF(ISNA(VLOOKUP(A48,'Données projet'!$A$139:$I$159,3,0)),0,VLOOKUP(A48,'Données projet'!$A$139:$I$159,3,0))</f>
        <v>5</v>
      </c>
      <c r="DB48" s="15">
        <f>IF(ISNA(VLOOKUP(A48,'Données projet'!$A$139:$I$159,4,0)),0,VLOOKUP(A48,'Données projet'!$A$139:$I$159,4,0))</f>
        <v>14</v>
      </c>
      <c r="DC48" s="16">
        <f>IF(ISNA(VLOOKUP(A48,'Données projet'!$A$139:$I$159,5,0)),0%,VLOOKUP(A48,'Données projet'!$A$139:$I$159,5,0)*VLOOKUP('Données projet'!$B$13,Paramètres!$A$1:$I$89,7,0))</f>
        <v>0.10600000000000001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2.0971717171870141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2.0971717171870141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242</v>
      </c>
      <c r="DM48" s="12">
        <f>VLOOKUP(A48,'Données projet'!$A$165:$I$185,9,0)</f>
        <v>9.8000000000000007</v>
      </c>
      <c r="DN48" s="12">
        <f t="array" ref="DN48">INDEX(DM:DM,MIN(IF(ISNUMBER(DM48:DM244),ROW(DM48:DM244),"")))</f>
        <v>9.8000000000000007</v>
      </c>
      <c r="DO48" s="12">
        <f>IF('Données projet'!$A$166&gt;35,DO47+DN48-DW47,IF(A48&lt;'Données projet'!$A$166,$DL$205^A48,IF(A48='Données projet'!$A$166,'Données projet'!$B$166,DO47+DN48-DW47)))</f>
        <v>242.00000000000011</v>
      </c>
      <c r="DP48" s="17">
        <f>DO48*VLOOKUP('Données projet'!$B$14,Paramètres!$A$1:$I$89,3,0)*VLOOKUP('Données projet'!$B$14,Paramètres!$A$1:$I$89,5,0)</f>
        <v>177.4344000000001</v>
      </c>
      <c r="DQ48" s="13">
        <f t="shared" si="43"/>
        <v>44.750911401641211</v>
      </c>
      <c r="DR48" s="20">
        <f t="shared" si="16"/>
        <v>386.97275069119195</v>
      </c>
      <c r="DS48" s="59">
        <f t="shared" si="17"/>
        <v>638.5995082420261</v>
      </c>
      <c r="DT48" s="59">
        <f ca="1">AVERAGE(OFFSET($DS$3,0,0,'Données projet'!$E$14+1,1))-AVERAGE(OFFSET($H$3,0,0,'Données projet'!$E$14+1,1))</f>
        <v>242.21240859696931</v>
      </c>
      <c r="DU48" s="59">
        <f t="shared" si="44"/>
        <v>340.92165104349192</v>
      </c>
      <c r="DV48" s="15">
        <f>IF(ISNA(VLOOKUP(A48,'Données projet'!$A$165:$I$185,3,0)),0,VLOOKUP(A48,'Données projet'!$A$165:$I$185,3,0))</f>
        <v>8</v>
      </c>
      <c r="DW48" s="15">
        <f>IF(ISNA(VLOOKUP(A48,'Données projet'!$A$165:$I$185,4,0)),0,VLOOKUP(A48,'Données projet'!$A$165:$I$185,4,0))</f>
        <v>24</v>
      </c>
      <c r="DX48" s="16">
        <f>IF(ISNA(VLOOKUP(A48,'Données projet'!$A$165:$I$185,5,0)),0%,VLOOKUP(A48,'Données projet'!$A$165:$I$185,5,0)*VLOOKUP('Données projet'!$B$14,Paramètres!$A$1:$I$89,7,0))</f>
        <v>0.25800000000000001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14.545778635231851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14.545778635231851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107</v>
      </c>
      <c r="EH48" s="12">
        <f>VLOOKUP(A48,'Données projet'!$A$191:$I$211,9,0)</f>
        <v>5.6</v>
      </c>
      <c r="EI48" s="12">
        <f t="array" ref="EI48">INDEX(EH:EH,MIN(IF(ISNUMBER(EH48:EH244),ROW(EH48:EH244),"")))</f>
        <v>5.6</v>
      </c>
      <c r="EJ48" s="12">
        <f>IF('Données projet'!$A$192&gt;35,EJ47+EI48-ER47,IF(A48&lt;'Données projet'!$A$192,$EG$205^A48,IF(A48='Données projet'!$A$192,'Données projet'!$B$192,EJ47+EI48-ER47)))</f>
        <v>106.99999999999999</v>
      </c>
      <c r="EK48" s="17">
        <f>EJ48*VLOOKUP('Données projet'!$B$15,Paramètres!$A$1:$I$89,3,0)*VLOOKUP('Données projet'!$B$15,Paramètres!$A$1:$I$89,5,0)</f>
        <v>103.49039999999998</v>
      </c>
      <c r="EL48" s="13">
        <f t="shared" si="45"/>
        <v>27.791869560921153</v>
      </c>
      <c r="EM48" s="20">
        <f t="shared" si="19"/>
        <v>228.64995281860425</v>
      </c>
      <c r="EN48" s="59">
        <f t="shared" si="20"/>
        <v>480.27671036943838</v>
      </c>
      <c r="EO48" s="59">
        <f ca="1">AVERAGE(OFFSET($EN$3,0,0,'Données projet'!$E$15+1,1))-AVERAGE(OFFSET($H$3,0,0,'Données projet'!$E$15+1,1))</f>
        <v>331.7059599630698</v>
      </c>
      <c r="EP48" s="59">
        <f t="shared" si="46"/>
        <v>173.19148969173838</v>
      </c>
      <c r="EQ48" s="15">
        <f>IF(ISNA(VLOOKUP(A48,'Données projet'!$A$191:$I$211,3,0)),0,VLOOKUP(A48,'Données projet'!$A$191:$I$211,3,0))</f>
        <v>5</v>
      </c>
      <c r="ER48" s="15">
        <f>IF(ISNA(VLOOKUP(A48,'Données projet'!$A$191:$I$211,4,0)),0,VLOOKUP(A48,'Données projet'!$A$191:$I$211,4,0))</f>
        <v>14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107</v>
      </c>
      <c r="FC48" s="12">
        <f>VLOOKUP(A48,'Données projet'!$A$217:$I$237,9,0)</f>
        <v>5.6</v>
      </c>
      <c r="FD48" s="12">
        <f t="array" ref="FD48">INDEX(FC:FC,MIN(IF(ISNUMBER(FC48:FC244),ROW(FC48:FC244),"")))</f>
        <v>5.6</v>
      </c>
      <c r="FE48" s="12">
        <f>IF('Données projet'!$A$218&gt;35,FE47+FD48-FM47,IF(A48&lt;'Données projet'!$A$218,$FB$205^A48,IF(A48='Données projet'!$A$218,'Données projet'!$B$218,FE47+FD48-FM47)))</f>
        <v>106.99999999999999</v>
      </c>
      <c r="FF48" s="17">
        <f>FE48*VLOOKUP('Données projet'!$B$16,Paramètres!$A$1:$I$89,3,0)*VLOOKUP('Données projet'!$B$16,Paramètres!$A$1:$I$89,5,0)</f>
        <v>115.17479999999998</v>
      </c>
      <c r="FG48" s="13">
        <f t="shared" si="47"/>
        <v>30.546926681092497</v>
      </c>
      <c r="FH48" s="20">
        <f t="shared" si="22"/>
        <v>253.79867396956936</v>
      </c>
      <c r="FI48" s="59">
        <f t="shared" si="23"/>
        <v>505.42543152040349</v>
      </c>
      <c r="FJ48" s="59">
        <f ca="1">AVERAGE(OFFSET($FI$3,0,0,'Données projet'!$E$16+1,1))-AVERAGE(OFFSET($H$3,0,0,'Données projet'!$E$16+1,1))</f>
        <v>360.86062459677004</v>
      </c>
      <c r="FK48" s="59">
        <f t="shared" si="48"/>
        <v>186.0840067781198</v>
      </c>
      <c r="FL48" s="15">
        <f>IF(ISNA(VLOOKUP(A48,'Données projet'!$A$217:$I$237,3,0)),0,VLOOKUP(A48,'Données projet'!$A$217:$I$237,3,0))</f>
        <v>5</v>
      </c>
      <c r="FM48" s="15">
        <f>IF(ISNA(VLOOKUP(A48,'Données projet'!$A$217:$I$237,4,0)),0,VLOOKUP(A48,'Données projet'!$A$217:$I$237,4,0))</f>
        <v>14</v>
      </c>
      <c r="FN48" s="16">
        <f>IF(ISNA(VLOOKUP(A48,'Données projet'!$A$217:$I$237,5,0)),0%,VLOOKUP(A48,'Données projet'!$A$217:$I$237,5,0)*VLOOKUP('Données projet'!$B$16,Paramètres!$A$1:$I$89,7,0))</f>
        <v>8.6000000000000007E-2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2.7302801601113948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2.7302801601113948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158</v>
      </c>
      <c r="FX48" s="12">
        <f>VLOOKUP(A48,'Données projet'!$A$243:$I$263,9,0)</f>
        <v>8.4</v>
      </c>
      <c r="FY48" s="12">
        <f t="array" ref="FY48">INDEX(FX:FX,MIN(IF(ISNUMBER(FX48:FX244),ROW(FX48:FX244),"")))</f>
        <v>8.4</v>
      </c>
      <c r="FZ48" s="12">
        <f>IF('Données projet'!$A$244&gt;35,FZ47+FY48-GH47,IF(A48&lt;'Données projet'!$A$244,$FW$205^A48,IF(A48='Données projet'!$A$244,'Données projet'!$B$244,FZ47+FY48-GH47)))</f>
        <v>158.00000000000006</v>
      </c>
      <c r="GA48" s="17">
        <f>FZ48*VLOOKUP('Données projet'!$B$17,Paramètres!$A$1:$I$89,3,0)*VLOOKUP('Données projet'!$B$17,Paramètres!$A$1:$I$89,5,0)</f>
        <v>160.21200000000007</v>
      </c>
      <c r="GB48" s="13">
        <f t="shared" si="49"/>
        <v>40.890328912852731</v>
      </c>
      <c r="GC48" s="20">
        <f t="shared" si="25"/>
        <v>350.25322285655193</v>
      </c>
      <c r="GD48" s="59">
        <f t="shared" si="26"/>
        <v>601.87998040738603</v>
      </c>
      <c r="GE48" s="59">
        <f ca="1">AVERAGE(OFFSET($GD$3,0,0,'Données projet'!$E$17+1,1))-AVERAGE(OFFSET($H$3,0,0,'Données projet'!$E$17+1,1))</f>
        <v>448.73339628506784</v>
      </c>
      <c r="GF48" s="59">
        <f t="shared" si="50"/>
        <v>273.35778700650803</v>
      </c>
      <c r="GG48" s="15">
        <f>IF(ISNA(VLOOKUP(A48,'Données projet'!$A$243:$I$263,3,0)),0,VLOOKUP(A48,'Données projet'!$A$243:$I$263,3,0))</f>
        <v>6</v>
      </c>
      <c r="GH48" s="15">
        <f>IF(ISNA(VLOOKUP(A48,'Données projet'!$A$243:$I$263,4,0)),0,VLOOKUP(A48,'Données projet'!$A$243:$I$263,4,0))</f>
        <v>21</v>
      </c>
      <c r="GI48" s="16">
        <f>IF(ISNA(VLOOKUP(A48,'Données projet'!$A$243:$I$263,5,0)),0%,VLOOKUP(A48,'Données projet'!$A$243:$I$263,5,0)*VLOOKUP('Données projet'!$B$17,Paramètres!$A$1:$I$89,7,0))</f>
        <v>8.6000000000000007E-2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3.8580045740704501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3.8580045740704501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145.20000000000005</v>
      </c>
      <c r="O49" s="13">
        <f>N49*VLOOKUP('Données projet'!$B$9,Paramètres!$A$1:$I$89,3,0)*VLOOKUP('Données projet'!$B$9,Paramètres!$A$1:$I$89,5,0)</f>
        <v>131.37696000000003</v>
      </c>
      <c r="P49" s="13">
        <f t="shared" si="33"/>
        <v>34.314338988223334</v>
      </c>
      <c r="Q49" s="20">
        <f t="shared" si="53"/>
        <v>288.57901240448905</v>
      </c>
      <c r="R49" s="59">
        <f t="shared" si="0"/>
        <v>540.92928580321473</v>
      </c>
      <c r="S49" s="59">
        <f ca="1">AVERAGE(OFFSET($R$3,0,0,'Données projet'!$E$9+1,1))-AVERAGE(OFFSET($H$3,0,0,'Données projet'!$E$9+1,1))</f>
        <v>408.51124670343137</v>
      </c>
      <c r="T49" s="59">
        <f t="shared" si="34"/>
        <v>250.47702091764884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3.3750213005593088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3.3750213005593088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7.2</v>
      </c>
      <c r="AI49" s="13">
        <f>IF('Données projet'!$A$62&gt;35,AI48+AH49-AQ48,IF(A49&lt;'Données projet'!$A$62,$AF$205^A49,IF(A49='Données projet'!$A$62,'Données projet'!$B$62,AI48+AH49-AQ48)))</f>
        <v>190.19999999999982</v>
      </c>
      <c r="AJ49" s="13">
        <f>AI49*VLOOKUP('Données projet'!$B$10,Paramètres!$A$1:$I$89,3,0)*VLOOKUP('Données projet'!$B$10,Paramètres!$A$1:$I$89,5,0)</f>
        <v>151.32311999999988</v>
      </c>
      <c r="AK49" s="13">
        <f t="shared" si="35"/>
        <v>38.879115530839606</v>
      </c>
      <c r="AL49" s="20">
        <f t="shared" si="4"/>
        <v>331.26889354954545</v>
      </c>
      <c r="AM49" s="59">
        <f t="shared" si="5"/>
        <v>583.61916694827107</v>
      </c>
      <c r="AN49" s="59">
        <f ca="1">AVERAGE(OFFSET($AM$3,0,0,'Données projet'!$E$10+1,1))-AVERAGE(OFFSET($H$3,0,0,'Données projet'!$E$10+1,1))</f>
        <v>327.22763817565902</v>
      </c>
      <c r="AO49" s="59">
        <f t="shared" si="36"/>
        <v>311.68541696405975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7.4335421808456879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7.4335421808456879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6.8</v>
      </c>
      <c r="BD49" s="12">
        <f>IF('Données projet'!$A$88&gt;35,BD48+BC49-BL48,IF(A49&lt;'Données projet'!$A$88,$BA$205^A49,IF(A49='Données projet'!$A$88,'Données projet'!$B$88,BD48+BC49-BL48)))</f>
        <v>175.79999999999998</v>
      </c>
      <c r="BE49" s="13">
        <f>BD49*VLOOKUP('Données projet'!$B$11,Paramètres!$A$1:$I$89,3,0)*VLOOKUP('Données projet'!$B$11,Paramètres!$A$1:$I$89,5,0)</f>
        <v>112.44167999999999</v>
      </c>
      <c r="BF49" s="13">
        <f t="shared" si="37"/>
        <v>29.905526306876869</v>
      </c>
      <c r="BG49" s="20">
        <f t="shared" si="7"/>
        <v>247.92138431781052</v>
      </c>
      <c r="BH49" s="59">
        <f t="shared" si="8"/>
        <v>500.2716577165362</v>
      </c>
      <c r="BI49" s="59">
        <f ca="1">AVERAGE(OFFSET($BH$3,0,0,'Données projet'!$E$11+1,1))-AVERAGE(OFFSET($H$3,0,0,'Données projet'!$E$11+1,1))</f>
        <v>169.46470423366029</v>
      </c>
      <c r="BJ49" s="59">
        <f t="shared" si="38"/>
        <v>230.78141128389288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4.0563252639280156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4.0563252639280156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6.6</v>
      </c>
      <c r="BY49" s="12">
        <f>IF('Données projet'!$A$114&gt;35,BY48+BX49-CG48,IF(A49&lt;'Données projet'!$A$114,$BV$205^A49,IF(A49='Données projet'!$A$114,'Données projet'!$B$114,BY48+BX49-CG48)))</f>
        <v>164.60000000000002</v>
      </c>
      <c r="BZ49" s="13">
        <f>BY49*VLOOKUP('Données projet'!$B$12,Paramètres!$A$1:$I$89,3,0)*VLOOKUP('Données projet'!$B$12,Paramètres!$A$1:$I$89,5,0)</f>
        <v>143.79456000000002</v>
      </c>
      <c r="CA49" s="13">
        <f t="shared" si="39"/>
        <v>37.164928293001893</v>
      </c>
      <c r="CB49" s="20">
        <f t="shared" si="10"/>
        <v>315.17110877697831</v>
      </c>
      <c r="CC49" s="59">
        <f t="shared" si="11"/>
        <v>567.52138217570393</v>
      </c>
      <c r="CD49" s="59">
        <f ca="1">AVERAGE(OFFSET($CC$3,0,0,'Données projet'!$E$12+1,1))-AVERAGE(OFFSET($H$3,0,0,'Données projet'!$E$12+1,1))</f>
        <v>342.79161436526499</v>
      </c>
      <c r="CE49" s="59">
        <f t="shared" si="40"/>
        <v>315.50730924873733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6.8344424245881115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6.8344424245881115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98.59999999999998</v>
      </c>
      <c r="CU49" s="17">
        <f>CT49*VLOOKUP('Données projet'!$B$13,Paramètres!$A$1:$I$89,3,0)*VLOOKUP('Données projet'!$B$13,Paramètres!$A$1:$I$89,5,0)</f>
        <v>66.140879999999981</v>
      </c>
      <c r="CV49" s="13">
        <f t="shared" si="41"/>
        <v>18.711962108796726</v>
      </c>
      <c r="CW49" s="20">
        <f t="shared" si="13"/>
        <v>147.78536667282091</v>
      </c>
      <c r="CX49" s="59">
        <f t="shared" si="14"/>
        <v>400.13564007154656</v>
      </c>
      <c r="CY49" s="59">
        <f ca="1">AVERAGE(OFFSET($CX$3,0,0,'Données projet'!$E$13+1,1))-AVERAGE(OFFSET($H$3,0,0,'Données projet'!$E$13+1,1))</f>
        <v>201.84651193684252</v>
      </c>
      <c r="CZ49" s="59">
        <f t="shared" si="42"/>
        <v>138.00705940844708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2.056047458961419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2.056047458961419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8.6</v>
      </c>
      <c r="DO49" s="12">
        <f>IF('Données projet'!$A$166&gt;35,DO48+DN49-DW48,IF(A49&lt;'Données projet'!$A$166,$DL$205^A49,IF(A49='Données projet'!$A$166,'Données projet'!$B$166,DO48+DN49-DW48)))</f>
        <v>226.60000000000011</v>
      </c>
      <c r="DP49" s="17">
        <f>DO49*VLOOKUP('Données projet'!$B$14,Paramètres!$A$1:$I$89,3,0)*VLOOKUP('Données projet'!$B$14,Paramètres!$A$1:$I$89,5,0)</f>
        <v>166.14312000000007</v>
      </c>
      <c r="DQ49" s="13">
        <f t="shared" si="43"/>
        <v>42.225060429180481</v>
      </c>
      <c r="DR49" s="20">
        <f t="shared" si="16"/>
        <v>362.90791424748937</v>
      </c>
      <c r="DS49" s="59">
        <f t="shared" si="17"/>
        <v>615.25818764621499</v>
      </c>
      <c r="DT49" s="59">
        <f ca="1">AVERAGE(OFFSET($DS$3,0,0,'Données projet'!$E$14+1,1))-AVERAGE(OFFSET($H$3,0,0,'Données projet'!$E$14+1,1))</f>
        <v>242.21240859696931</v>
      </c>
      <c r="DU49" s="59">
        <f t="shared" si="44"/>
        <v>340.92165104349192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14.26054478824388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14.26054478824388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5.6</v>
      </c>
      <c r="EJ49" s="12">
        <f>IF('Données projet'!$A$192&gt;35,EJ48+EI49-ER48,IF(A49&lt;'Données projet'!$A$192,$EG$205^A49,IF(A49='Données projet'!$A$192,'Données projet'!$B$192,EJ48+EI49-ER48)))</f>
        <v>98.59999999999998</v>
      </c>
      <c r="EK49" s="17">
        <f>EJ49*VLOOKUP('Données projet'!$B$15,Paramètres!$A$1:$I$89,3,0)*VLOOKUP('Données projet'!$B$15,Paramètres!$A$1:$I$89,5,0)</f>
        <v>95.365919999999974</v>
      </c>
      <c r="EL49" s="13">
        <f t="shared" si="45"/>
        <v>25.854961705219438</v>
      </c>
      <c r="EM49" s="20">
        <f t="shared" si="19"/>
        <v>211.12636896992379</v>
      </c>
      <c r="EN49" s="59">
        <f t="shared" si="20"/>
        <v>463.47664236864944</v>
      </c>
      <c r="EO49" s="59">
        <f ca="1">AVERAGE(OFFSET($EN$3,0,0,'Données projet'!$E$15+1,1))-AVERAGE(OFFSET($H$3,0,0,'Données projet'!$E$15+1,1))</f>
        <v>331.7059599630698</v>
      </c>
      <c r="EP49" s="59">
        <f t="shared" si="46"/>
        <v>173.19148969173838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5.6</v>
      </c>
      <c r="FE49" s="12">
        <f>IF('Données projet'!$A$218&gt;35,FE48+FD49-FM48,IF(A49&lt;'Données projet'!$A$218,$FB$205^A49,IF(A49='Données projet'!$A$218,'Données projet'!$B$218,FE48+FD49-FM48)))</f>
        <v>98.59999999999998</v>
      </c>
      <c r="FF49" s="17">
        <f>FE49*VLOOKUP('Données projet'!$B$16,Paramètres!$A$1:$I$89,3,0)*VLOOKUP('Données projet'!$B$16,Paramètres!$A$1:$I$89,5,0)</f>
        <v>106.13303999999997</v>
      </c>
      <c r="FG49" s="13">
        <f t="shared" si="47"/>
        <v>28.418009728368016</v>
      </c>
      <c r="FH49" s="20">
        <f t="shared" si="22"/>
        <v>234.34307827690756</v>
      </c>
      <c r="FI49" s="59">
        <f t="shared" si="23"/>
        <v>486.69335167563321</v>
      </c>
      <c r="FJ49" s="59">
        <f ca="1">AVERAGE(OFFSET($FI$3,0,0,'Données projet'!$E$16+1,1))-AVERAGE(OFFSET($H$3,0,0,'Données projet'!$E$16+1,1))</f>
        <v>360.86062459677004</v>
      </c>
      <c r="FK49" s="59">
        <f t="shared" si="48"/>
        <v>186.0840067781198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2.6767410314780729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2.6767410314780729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8.1999999999999993</v>
      </c>
      <c r="FZ49" s="12">
        <f>IF('Données projet'!$A$244&gt;35,FZ48+FY49-GH48,IF(A49&lt;'Données projet'!$A$244,$FW$205^A49,IF(A49='Données projet'!$A$244,'Données projet'!$B$244,FZ48+FY49-GH48)))</f>
        <v>145.20000000000005</v>
      </c>
      <c r="GA49" s="17">
        <f>FZ49*VLOOKUP('Données projet'!$B$17,Paramètres!$A$1:$I$89,3,0)*VLOOKUP('Données projet'!$B$17,Paramètres!$A$1:$I$89,5,0)</f>
        <v>147.23280000000005</v>
      </c>
      <c r="GB49" s="13">
        <f t="shared" si="49"/>
        <v>37.949049623906205</v>
      </c>
      <c r="GC49" s="20">
        <f t="shared" si="25"/>
        <v>322.52505476163668</v>
      </c>
      <c r="GD49" s="59">
        <f t="shared" si="26"/>
        <v>574.8753281603623</v>
      </c>
      <c r="GE49" s="59">
        <f ca="1">AVERAGE(OFFSET($GD$3,0,0,'Données projet'!$E$17+1,1))-AVERAGE(OFFSET($H$3,0,0,'Données projet'!$E$17+1,1))</f>
        <v>448.73339628506784</v>
      </c>
      <c r="GF49" s="59">
        <f t="shared" si="50"/>
        <v>273.35778700650803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3.7823514575233643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3.7823514575233643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153.40000000000003</v>
      </c>
      <c r="O50" s="13">
        <f>N50*VLOOKUP('Données projet'!$B$9,Paramètres!$A$1:$I$89,3,0)*VLOOKUP('Données projet'!$B$9,Paramètres!$A$1:$I$89,5,0)</f>
        <v>138.79632000000001</v>
      </c>
      <c r="P50" s="13">
        <f t="shared" si="33"/>
        <v>36.021120886354588</v>
      </c>
      <c r="Q50" s="20">
        <f t="shared" si="53"/>
        <v>304.47370954373423</v>
      </c>
      <c r="R50" s="59">
        <f t="shared" si="0"/>
        <v>557.53494740792962</v>
      </c>
      <c r="S50" s="59">
        <f ca="1">AVERAGE(OFFSET($R$3,0,0,'Données projet'!$E$9+1,1))-AVERAGE(OFFSET($H$3,0,0,'Données projet'!$E$9+1,1))</f>
        <v>408.51124670343137</v>
      </c>
      <c r="T50" s="59">
        <f t="shared" si="34"/>
        <v>250.47702091764884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3.3088391914150681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3.3088391914150681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</v>
      </c>
      <c r="AI50" s="13">
        <f>IF('Données projet'!$A$62&gt;35,AI49+AH50-AQ49,IF(A50&lt;'Données projet'!$A$62,$AF$205^A50,IF(A50='Données projet'!$A$62,'Données projet'!$B$62,AI49+AH50-AQ49)))</f>
        <v>197.39999999999981</v>
      </c>
      <c r="AJ50" s="13">
        <f>AI50*VLOOKUP('Données projet'!$B$10,Paramètres!$A$1:$I$89,3,0)*VLOOKUP('Données projet'!$B$10,Paramètres!$A$1:$I$89,5,0)</f>
        <v>157.05143999999987</v>
      </c>
      <c r="AK50" s="13">
        <f t="shared" si="35"/>
        <v>40.176741230099672</v>
      </c>
      <c r="AL50" s="20">
        <f t="shared" si="4"/>
        <v>343.50574897575672</v>
      </c>
      <c r="AM50" s="59">
        <f t="shared" si="5"/>
        <v>596.56698683995205</v>
      </c>
      <c r="AN50" s="59">
        <f ca="1">AVERAGE(OFFSET($AM$3,0,0,'Données projet'!$E$10+1,1))-AVERAGE(OFFSET($H$3,0,0,'Données projet'!$E$10+1,1))</f>
        <v>327.22763817565902</v>
      </c>
      <c r="AO50" s="59">
        <f t="shared" si="36"/>
        <v>311.68541696405975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7.2877749526923372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7.2877749526923372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6.8</v>
      </c>
      <c r="BD50" s="12">
        <f>IF('Données projet'!$A$88&gt;35,BD49+BC50-BL49,IF(A50&lt;'Données projet'!$A$88,$BA$205^A50,IF(A50='Données projet'!$A$88,'Données projet'!$B$88,BD49+BC50-BL49)))</f>
        <v>182.6</v>
      </c>
      <c r="BE50" s="13">
        <f>BD50*VLOOKUP('Données projet'!$B$11,Paramètres!$A$1:$I$89,3,0)*VLOOKUP('Données projet'!$B$11,Paramètres!$A$1:$I$89,5,0)</f>
        <v>116.79096</v>
      </c>
      <c r="BF50" s="13">
        <f t="shared" si="37"/>
        <v>30.92536676821716</v>
      </c>
      <c r="BG50" s="20">
        <f t="shared" si="7"/>
        <v>257.27260245464487</v>
      </c>
      <c r="BH50" s="59">
        <f t="shared" si="8"/>
        <v>510.33384031884026</v>
      </c>
      <c r="BI50" s="59">
        <f ca="1">AVERAGE(OFFSET($BH$3,0,0,'Données projet'!$E$11+1,1))-AVERAGE(OFFSET($H$3,0,0,'Données projet'!$E$11+1,1))</f>
        <v>169.46470423366029</v>
      </c>
      <c r="BJ50" s="59">
        <f t="shared" si="38"/>
        <v>230.78141128389288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3.9767831996165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3.9767831996165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6.6</v>
      </c>
      <c r="BY50" s="12">
        <f>IF('Données projet'!$A$114&gt;35,BY49+BX50-CG49,IF(A50&lt;'Données projet'!$A$114,$BV$205^A50,IF(A50='Données projet'!$A$114,'Données projet'!$B$114,BY49+BX50-CG49)))</f>
        <v>171.20000000000002</v>
      </c>
      <c r="BZ50" s="13">
        <f>BY50*VLOOKUP('Données projet'!$B$12,Paramètres!$A$1:$I$89,3,0)*VLOOKUP('Données projet'!$B$12,Paramètres!$A$1:$I$89,5,0)</f>
        <v>149.56032000000002</v>
      </c>
      <c r="CA50" s="13">
        <f t="shared" si="39"/>
        <v>38.478649698758041</v>
      </c>
      <c r="CB50" s="20">
        <f t="shared" si="10"/>
        <v>327.50120555867028</v>
      </c>
      <c r="CC50" s="59">
        <f t="shared" si="11"/>
        <v>580.56244342286573</v>
      </c>
      <c r="CD50" s="59">
        <f ca="1">AVERAGE(OFFSET($CC$3,0,0,'Données projet'!$E$12+1,1))-AVERAGE(OFFSET($H$3,0,0,'Données projet'!$E$12+1,1))</f>
        <v>342.79161436526499</v>
      </c>
      <c r="CE50" s="59">
        <f t="shared" si="40"/>
        <v>315.50730924873733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6.7004231772402028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6.7004231772402028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104.19999999999997</v>
      </c>
      <c r="CU50" s="17">
        <f>CT50*VLOOKUP('Données projet'!$B$13,Paramètres!$A$1:$I$89,3,0)*VLOOKUP('Données projet'!$B$13,Paramètres!$A$1:$I$89,5,0)</f>
        <v>69.897359999999992</v>
      </c>
      <c r="CV50" s="13">
        <f t="shared" si="41"/>
        <v>19.647966265515983</v>
      </c>
      <c r="CW50" s="20">
        <f t="shared" si="13"/>
        <v>155.95810991244028</v>
      </c>
      <c r="CX50" s="59">
        <f t="shared" si="14"/>
        <v>409.01934777663564</v>
      </c>
      <c r="CY50" s="59">
        <f ca="1">AVERAGE(OFFSET($CX$3,0,0,'Données projet'!$E$13+1,1))-AVERAGE(OFFSET($H$3,0,0,'Données projet'!$E$13+1,1))</f>
        <v>201.84651193684252</v>
      </c>
      <c r="CZ50" s="59">
        <f t="shared" si="42"/>
        <v>138.00705940844708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2.0157296223563068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2.0157296223563068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8.6</v>
      </c>
      <c r="DO50" s="12">
        <f>IF('Données projet'!$A$166&gt;35,DO49+DN50-DW49,IF(A50&lt;'Données projet'!$A$166,$DL$205^A50,IF(A50='Données projet'!$A$166,'Données projet'!$B$166,DO49+DN50-DW49)))</f>
        <v>235.2000000000001</v>
      </c>
      <c r="DP50" s="17">
        <f>DO50*VLOOKUP('Données projet'!$B$14,Paramètres!$A$1:$I$89,3,0)*VLOOKUP('Données projet'!$B$14,Paramètres!$A$1:$I$89,5,0)</f>
        <v>172.44864000000007</v>
      </c>
      <c r="DQ50" s="13">
        <f t="shared" si="43"/>
        <v>43.637980200453718</v>
      </c>
      <c r="DR50" s="20">
        <f t="shared" si="16"/>
        <v>376.35086351579031</v>
      </c>
      <c r="DS50" s="59">
        <f t="shared" si="17"/>
        <v>629.41210137998564</v>
      </c>
      <c r="DT50" s="59">
        <f ca="1">AVERAGE(OFFSET($DS$3,0,0,'Données projet'!$E$14+1,1))-AVERAGE(OFFSET($H$3,0,0,'Données projet'!$E$14+1,1))</f>
        <v>242.21240859696931</v>
      </c>
      <c r="DU50" s="59">
        <f t="shared" si="44"/>
        <v>340.92165104349192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13.980904203019875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13.980904203019875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5.6</v>
      </c>
      <c r="EJ50" s="12">
        <f>IF('Données projet'!$A$192&gt;35,EJ49+EI50-ER49,IF(A50&lt;'Données projet'!$A$192,$EG$205^A50,IF(A50='Données projet'!$A$192,'Données projet'!$B$192,EJ49+EI50-ER49)))</f>
        <v>104.19999999999997</v>
      </c>
      <c r="EK50" s="17">
        <f>EJ50*VLOOKUP('Données projet'!$B$15,Paramètres!$A$1:$I$89,3,0)*VLOOKUP('Données projet'!$B$15,Paramètres!$A$1:$I$89,5,0)</f>
        <v>100.78223999999997</v>
      </c>
      <c r="EL50" s="13">
        <f t="shared" si="45"/>
        <v>27.148270845500655</v>
      </c>
      <c r="EM50" s="20">
        <f t="shared" si="19"/>
        <v>222.81230638924691</v>
      </c>
      <c r="EN50" s="59">
        <f t="shared" si="20"/>
        <v>475.87354425344233</v>
      </c>
      <c r="EO50" s="59">
        <f ca="1">AVERAGE(OFFSET($EN$3,0,0,'Données projet'!$E$15+1,1))-AVERAGE(OFFSET($H$3,0,0,'Données projet'!$E$15+1,1))</f>
        <v>331.7059599630698</v>
      </c>
      <c r="EP50" s="59">
        <f t="shared" si="46"/>
        <v>173.19148969173838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5.6</v>
      </c>
      <c r="FE50" s="12">
        <f>IF('Données projet'!$A$218&gt;35,FE49+FD50-FM49,IF(A50&lt;'Données projet'!$A$218,$FB$205^A50,IF(A50='Données projet'!$A$218,'Données projet'!$B$218,FE49+FD50-FM49)))</f>
        <v>104.19999999999997</v>
      </c>
      <c r="FF50" s="17">
        <f>FE50*VLOOKUP('Données projet'!$B$16,Paramètres!$A$1:$I$89,3,0)*VLOOKUP('Données projet'!$B$16,Paramètres!$A$1:$I$89,5,0)</f>
        <v>112.16087999999998</v>
      </c>
      <c r="FG50" s="13">
        <f t="shared" si="47"/>
        <v>29.839526888181876</v>
      </c>
      <c r="FH50" s="20">
        <f t="shared" si="22"/>
        <v>247.31737533025003</v>
      </c>
      <c r="FI50" s="59">
        <f t="shared" si="23"/>
        <v>500.37861319444539</v>
      </c>
      <c r="FJ50" s="59">
        <f ca="1">AVERAGE(OFFSET($FI$3,0,0,'Données projet'!$E$16+1,1))-AVERAGE(OFFSET($H$3,0,0,'Données projet'!$E$16+1,1))</f>
        <v>360.86062459677004</v>
      </c>
      <c r="FK50" s="59">
        <f t="shared" si="48"/>
        <v>186.0840067781198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2.6242517725016064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2.6242517725016064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8.1999999999999993</v>
      </c>
      <c r="FZ50" s="12">
        <f>IF('Données projet'!$A$244&gt;35,FZ49+FY50-GH49,IF(A50&lt;'Données projet'!$A$244,$FW$205^A50,IF(A50='Données projet'!$A$244,'Données projet'!$B$244,FZ49+FY50-GH49)))</f>
        <v>153.40000000000003</v>
      </c>
      <c r="GA50" s="17">
        <f>FZ50*VLOOKUP('Données projet'!$B$17,Paramètres!$A$1:$I$89,3,0)*VLOOKUP('Données projet'!$B$17,Paramètres!$A$1:$I$89,5,0)</f>
        <v>155.54760000000005</v>
      </c>
      <c r="GB50" s="13">
        <f t="shared" si="49"/>
        <v>39.836620617816237</v>
      </c>
      <c r="GC50" s="20">
        <f t="shared" si="25"/>
        <v>340.29418424269664</v>
      </c>
      <c r="GD50" s="59">
        <f t="shared" si="26"/>
        <v>593.35542210689209</v>
      </c>
      <c r="GE50" s="59">
        <f ca="1">AVERAGE(OFFSET($GD$3,0,0,'Données projet'!$E$17+1,1))-AVERAGE(OFFSET($H$3,0,0,'Données projet'!$E$17+1,1))</f>
        <v>448.73339628506784</v>
      </c>
      <c r="GF50" s="59">
        <f t="shared" si="50"/>
        <v>273.35778700650803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3.7081818524479222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3.7081818524479222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161.60000000000002</v>
      </c>
      <c r="O51" s="13">
        <f>N51*VLOOKUP('Données projet'!$B$9,Paramètres!$A$1:$I$89,3,0)*VLOOKUP('Données projet'!$B$9,Paramètres!$A$1:$I$89,5,0)</f>
        <v>146.21568000000002</v>
      </c>
      <c r="P51" s="13">
        <f t="shared" si="33"/>
        <v>37.717310552893402</v>
      </c>
      <c r="Q51" s="20">
        <f t="shared" si="53"/>
        <v>320.34995854628937</v>
      </c>
      <c r="R51" s="59">
        <f t="shared" si="0"/>
        <v>574.10982723195707</v>
      </c>
      <c r="S51" s="59">
        <f ca="1">AVERAGE(OFFSET($R$3,0,0,'Données projet'!$E$9+1,1))-AVERAGE(OFFSET($H$3,0,0,'Données projet'!$E$9+1,1))</f>
        <v>408.51124670343137</v>
      </c>
      <c r="T51" s="59">
        <f t="shared" si="34"/>
        <v>250.47702091764884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3.2439548730640455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3.2439548730640455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</v>
      </c>
      <c r="AI51" s="13">
        <f>IF('Données projet'!$A$62&gt;35,AI50+AH51-AQ50,IF(A51&lt;'Données projet'!$A$62,$AF$205^A51,IF(A51='Données projet'!$A$62,'Données projet'!$B$62,AI50+AH51-AQ50)))</f>
        <v>204.5999999999998</v>
      </c>
      <c r="AJ51" s="13">
        <f>AI51*VLOOKUP('Données projet'!$B$10,Paramètres!$A$1:$I$89,3,0)*VLOOKUP('Données projet'!$B$10,Paramètres!$A$1:$I$89,5,0)</f>
        <v>162.77975999999987</v>
      </c>
      <c r="AK51" s="13">
        <f t="shared" si="35"/>
        <v>41.468868129640022</v>
      </c>
      <c r="AL51" s="20">
        <f t="shared" si="4"/>
        <v>355.73302732578941</v>
      </c>
      <c r="AM51" s="59">
        <f t="shared" si="5"/>
        <v>609.49289601145711</v>
      </c>
      <c r="AN51" s="59">
        <f ca="1">AVERAGE(OFFSET($AM$3,0,0,'Données projet'!$E$10+1,1))-AVERAGE(OFFSET($H$3,0,0,'Données projet'!$E$10+1,1))</f>
        <v>327.22763817565902</v>
      </c>
      <c r="AO51" s="59">
        <f t="shared" si="36"/>
        <v>311.68541696405975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7.1448661309738437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7.1448661309738437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6.8</v>
      </c>
      <c r="BD51" s="12">
        <f>IF('Données projet'!$A$88&gt;35,BD50+BC51-BL50,IF(A51&lt;'Données projet'!$A$88,$BA$205^A51,IF(A51='Données projet'!$A$88,'Données projet'!$B$88,BD50+BC51-BL50)))</f>
        <v>189.4</v>
      </c>
      <c r="BE51" s="13">
        <f>BD51*VLOOKUP('Données projet'!$B$11,Paramètres!$A$1:$I$89,3,0)*VLOOKUP('Données projet'!$B$11,Paramètres!$A$1:$I$89,5,0)</f>
        <v>121.14023999999999</v>
      </c>
      <c r="BF51" s="13">
        <f t="shared" si="37"/>
        <v>31.940794996271485</v>
      </c>
      <c r="BG51" s="20">
        <f t="shared" si="7"/>
        <v>266.61613595183945</v>
      </c>
      <c r="BH51" s="59">
        <f t="shared" si="8"/>
        <v>520.37600463750709</v>
      </c>
      <c r="BI51" s="59">
        <f ca="1">AVERAGE(OFFSET($BH$3,0,0,'Données projet'!$E$11+1,1))-AVERAGE(OFFSET($H$3,0,0,'Données projet'!$E$11+1,1))</f>
        <v>169.46470423366029</v>
      </c>
      <c r="BJ51" s="59">
        <f t="shared" si="38"/>
        <v>230.78141128389288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3.8988009066702642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3.8988009066702642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6.6</v>
      </c>
      <c r="BY51" s="12">
        <f>IF('Données projet'!$A$114&gt;35,BY50+BX51-CG50,IF(A51&lt;'Données projet'!$A$114,$BV$205^A51,IF(A51='Données projet'!$A$114,'Données projet'!$B$114,BY50+BX51-CG50)))</f>
        <v>177.8</v>
      </c>
      <c r="BZ51" s="13">
        <f>BY51*VLOOKUP('Données projet'!$B$12,Paramètres!$A$1:$I$89,3,0)*VLOOKUP('Données projet'!$B$12,Paramètres!$A$1:$I$89,5,0)</f>
        <v>155.32608000000002</v>
      </c>
      <c r="CA51" s="13">
        <f t="shared" si="39"/>
        <v>39.786487601092446</v>
      </c>
      <c r="CB51" s="20">
        <f t="shared" si="10"/>
        <v>339.82105523856927</v>
      </c>
      <c r="CC51" s="59">
        <f t="shared" si="11"/>
        <v>593.58092392423691</v>
      </c>
      <c r="CD51" s="59">
        <f ca="1">AVERAGE(OFFSET($CC$3,0,0,'Données projet'!$E$12+1,1))-AVERAGE(OFFSET($H$3,0,0,'Données projet'!$E$12+1,1))</f>
        <v>342.79161436526499</v>
      </c>
      <c r="CE51" s="59">
        <f t="shared" si="40"/>
        <v>315.50730924873733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6.569031965589117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6.569031965589117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109.79999999999997</v>
      </c>
      <c r="CU51" s="17">
        <f>CT51*VLOOKUP('Données projet'!$B$13,Paramètres!$A$1:$I$89,3,0)*VLOOKUP('Données projet'!$B$13,Paramètres!$A$1:$I$89,5,0)</f>
        <v>73.653839999999974</v>
      </c>
      <c r="CV51" s="13">
        <f t="shared" si="41"/>
        <v>20.578130405088231</v>
      </c>
      <c r="CW51" s="20">
        <f t="shared" si="13"/>
        <v>164.12068178886196</v>
      </c>
      <c r="CX51" s="59">
        <f t="shared" si="14"/>
        <v>417.88055047452963</v>
      </c>
      <c r="CY51" s="59">
        <f ca="1">AVERAGE(OFFSET($CX$3,0,0,'Données projet'!$E$13+1,1))-AVERAGE(OFFSET($H$3,0,0,'Données projet'!$E$13+1,1))</f>
        <v>201.84651193684252</v>
      </c>
      <c r="CZ51" s="59">
        <f t="shared" si="42"/>
        <v>138.00705940844708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1.9762023939355688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1.9762023939355688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8.6</v>
      </c>
      <c r="DO51" s="12">
        <f>IF('Données projet'!$A$166&gt;35,DO50+DN51-DW50,IF(A51&lt;'Données projet'!$A$166,$DL$205^A51,IF(A51='Données projet'!$A$166,'Données projet'!$B$166,DO50+DN51-DW50)))</f>
        <v>243.8000000000001</v>
      </c>
      <c r="DP51" s="17">
        <f>DO51*VLOOKUP('Données projet'!$B$14,Paramètres!$A$1:$I$89,3,0)*VLOOKUP('Données projet'!$B$14,Paramètres!$A$1:$I$89,5,0)</f>
        <v>178.75416000000007</v>
      </c>
      <c r="DQ51" s="13">
        <f t="shared" si="43"/>
        <v>45.044897778507469</v>
      </c>
      <c r="DR51" s="20">
        <f t="shared" si="16"/>
        <v>389.78335896423397</v>
      </c>
      <c r="DS51" s="59">
        <f t="shared" si="17"/>
        <v>643.54322764990161</v>
      </c>
      <c r="DT51" s="59">
        <f ca="1">AVERAGE(OFFSET($DS$3,0,0,'Données projet'!$E$14+1,1))-AVERAGE(OFFSET($H$3,0,0,'Données projet'!$E$14+1,1))</f>
        <v>242.21240859696931</v>
      </c>
      <c r="DU51" s="59">
        <f t="shared" si="44"/>
        <v>340.92165104349192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13.706747199108198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13.706747199108198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5.6</v>
      </c>
      <c r="EJ51" s="12">
        <f>IF('Données projet'!$A$192&gt;35,EJ50+EI51-ER50,IF(A51&lt;'Données projet'!$A$192,$EG$205^A51,IF(A51='Données projet'!$A$192,'Données projet'!$B$192,EJ50+EI51-ER50)))</f>
        <v>109.79999999999997</v>
      </c>
      <c r="EK51" s="17">
        <f>EJ51*VLOOKUP('Données projet'!$B$15,Paramètres!$A$1:$I$89,3,0)*VLOOKUP('Données projet'!$B$15,Paramètres!$A$1:$I$89,5,0)</f>
        <v>106.19855999999997</v>
      </c>
      <c r="EL51" s="13">
        <f t="shared" si="45"/>
        <v>28.433510633203252</v>
      </c>
      <c r="EM51" s="20">
        <f t="shared" si="19"/>
        <v>234.48418968616227</v>
      </c>
      <c r="EN51" s="59">
        <f t="shared" si="20"/>
        <v>488.24405837182996</v>
      </c>
      <c r="EO51" s="59">
        <f ca="1">AVERAGE(OFFSET($EN$3,0,0,'Données projet'!$E$15+1,1))-AVERAGE(OFFSET($H$3,0,0,'Données projet'!$E$15+1,1))</f>
        <v>331.7059599630698</v>
      </c>
      <c r="EP51" s="59">
        <f t="shared" si="46"/>
        <v>173.19148969173838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5.6</v>
      </c>
      <c r="FE51" s="12">
        <f>IF('Données projet'!$A$218&gt;35,FE50+FD51-FM50,IF(A51&lt;'Données projet'!$A$218,$FB$205^A51,IF(A51='Données projet'!$A$218,'Données projet'!$B$218,FE50+FD51-FM50)))</f>
        <v>109.79999999999997</v>
      </c>
      <c r="FF51" s="17">
        <f>FE51*VLOOKUP('Données projet'!$B$16,Paramètres!$A$1:$I$89,3,0)*VLOOKUP('Données projet'!$B$16,Paramètres!$A$1:$I$89,5,0)</f>
        <v>118.18871999999996</v>
      </c>
      <c r="FG51" s="13">
        <f t="shared" si="47"/>
        <v>31.252174766242543</v>
      </c>
      <c r="FH51" s="20">
        <f t="shared" si="22"/>
        <v>260.2762250512057</v>
      </c>
      <c r="FI51" s="59">
        <f t="shared" si="23"/>
        <v>514.03609373687345</v>
      </c>
      <c r="FJ51" s="59">
        <f ca="1">AVERAGE(OFFSET($FI$3,0,0,'Données projet'!$E$16+1,1))-AVERAGE(OFFSET($H$3,0,0,'Données projet'!$E$16+1,1))</f>
        <v>360.86062459677004</v>
      </c>
      <c r="FK51" s="59">
        <f t="shared" si="48"/>
        <v>186.0840067781198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2.5727917958783815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2.5727917958783815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8.1999999999999993</v>
      </c>
      <c r="FZ51" s="12">
        <f>IF('Données projet'!$A$244&gt;35,FZ50+FY51-GH50,IF(A51&lt;'Données projet'!$A$244,$FW$205^A51,IF(A51='Données projet'!$A$244,'Données projet'!$B$244,FZ50+FY51-GH50)))</f>
        <v>161.60000000000002</v>
      </c>
      <c r="GA51" s="17">
        <f>FZ51*VLOOKUP('Données projet'!$B$17,Paramètres!$A$1:$I$89,3,0)*VLOOKUP('Données projet'!$B$17,Paramètres!$A$1:$I$89,5,0)</f>
        <v>163.86240000000004</v>
      </c>
      <c r="GB51" s="13">
        <f t="shared" si="49"/>
        <v>41.712477409029084</v>
      </c>
      <c r="GC51" s="20">
        <f t="shared" si="25"/>
        <v>358.0429114873923</v>
      </c>
      <c r="GD51" s="59">
        <f t="shared" si="26"/>
        <v>611.80278017306</v>
      </c>
      <c r="GE51" s="59">
        <f ca="1">AVERAGE(OFFSET($GD$3,0,0,'Données projet'!$E$17+1,1))-AVERAGE(OFFSET($H$3,0,0,'Données projet'!$E$17+1,1))</f>
        <v>448.73339628506784</v>
      </c>
      <c r="GF51" s="59">
        <f t="shared" si="50"/>
        <v>273.35778700650803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3.6354666680890175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3.6354666680890175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169.8</v>
      </c>
      <c r="O52" s="13">
        <f>N52*VLOOKUP('Données projet'!$B$9,Paramètres!$A$1:$I$89,3,0)*VLOOKUP('Données projet'!$B$9,Paramètres!$A$1:$I$89,5,0)</f>
        <v>153.63504</v>
      </c>
      <c r="P52" s="13">
        <f t="shared" si="33"/>
        <v>39.403506785222667</v>
      </c>
      <c r="Q52" s="20">
        <f t="shared" si="53"/>
        <v>336.20880231759617</v>
      </c>
      <c r="R52" s="59">
        <f t="shared" si="0"/>
        <v>590.65518214188819</v>
      </c>
      <c r="S52" s="59">
        <f ca="1">AVERAGE(OFFSET($R$3,0,0,'Données projet'!$E$9+1,1))-AVERAGE(OFFSET($H$3,0,0,'Données projet'!$E$9+1,1))</f>
        <v>408.51124670343137</v>
      </c>
      <c r="T52" s="59">
        <f t="shared" si="34"/>
        <v>250.47702091764884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3.1803428966203597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3.1803428966203597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</v>
      </c>
      <c r="AI52" s="13">
        <f>IF('Données projet'!$A$62&gt;35,AI51+AH52-AQ51,IF(A52&lt;'Données projet'!$A$62,$AF$205^A52,IF(A52='Données projet'!$A$62,'Données projet'!$B$62,AI51+AH52-AQ51)))</f>
        <v>211.79999999999978</v>
      </c>
      <c r="AJ52" s="13">
        <f>AI52*VLOOKUP('Données projet'!$B$10,Paramètres!$A$1:$I$89,3,0)*VLOOKUP('Données projet'!$B$10,Paramètres!$A$1:$I$89,5,0)</f>
        <v>168.50807999999984</v>
      </c>
      <c r="AK52" s="13">
        <f t="shared" si="35"/>
        <v>42.755711908378082</v>
      </c>
      <c r="AL52" s="20">
        <f t="shared" si="4"/>
        <v>367.95110424042485</v>
      </c>
      <c r="AM52" s="59">
        <f t="shared" si="5"/>
        <v>622.39748406471676</v>
      </c>
      <c r="AN52" s="59">
        <f ca="1">AVERAGE(OFFSET($AM$3,0,0,'Données projet'!$E$10+1,1))-AVERAGE(OFFSET($H$3,0,0,'Données projet'!$E$10+1,1))</f>
        <v>327.22763817565902</v>
      </c>
      <c r="AO52" s="59">
        <f t="shared" si="36"/>
        <v>311.68541696405975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7.0047596640834762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7.0047596640834762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6.8</v>
      </c>
      <c r="BD52" s="12">
        <f>IF('Données projet'!$A$88&gt;35,BD51+BC52-BL51,IF(A52&lt;'Données projet'!$A$88,$BA$205^A52,IF(A52='Données projet'!$A$88,'Données projet'!$B$88,BD51+BC52-BL51)))</f>
        <v>196.20000000000002</v>
      </c>
      <c r="BE52" s="13">
        <f>BD52*VLOOKUP('Données projet'!$B$11,Paramètres!$A$1:$I$89,3,0)*VLOOKUP('Données projet'!$B$11,Paramètres!$A$1:$I$89,5,0)</f>
        <v>125.48952000000001</v>
      </c>
      <c r="BF52" s="13">
        <f t="shared" si="37"/>
        <v>32.951987550040386</v>
      </c>
      <c r="BG52" s="20">
        <f t="shared" si="7"/>
        <v>275.95229231632032</v>
      </c>
      <c r="BH52" s="59">
        <f t="shared" si="8"/>
        <v>530.39867214061223</v>
      </c>
      <c r="BI52" s="59">
        <f ca="1">AVERAGE(OFFSET($BH$3,0,0,'Données projet'!$E$11+1,1))-AVERAGE(OFFSET($H$3,0,0,'Données projet'!$E$11+1,1))</f>
        <v>169.46470423366029</v>
      </c>
      <c r="BJ52" s="59">
        <f t="shared" si="38"/>
        <v>230.78141128389288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3.8223477989242021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3.8223477989242021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6.6</v>
      </c>
      <c r="BY52" s="12">
        <f>IF('Données projet'!$A$114&gt;35,BY51+BX52-CG51,IF(A52&lt;'Données projet'!$A$114,$BV$205^A52,IF(A52='Données projet'!$A$114,'Données projet'!$B$114,BY51+BX52-CG51)))</f>
        <v>184.4</v>
      </c>
      <c r="BZ52" s="13">
        <f>BY52*VLOOKUP('Données projet'!$B$12,Paramètres!$A$1:$I$89,3,0)*VLOOKUP('Données projet'!$B$12,Paramètres!$A$1:$I$89,5,0)</f>
        <v>161.09184000000002</v>
      </c>
      <c r="CA52" s="13">
        <f t="shared" si="39"/>
        <v>41.088685407030859</v>
      </c>
      <c r="CB52" s="20">
        <f t="shared" si="10"/>
        <v>352.13108175057874</v>
      </c>
      <c r="CC52" s="59">
        <f t="shared" si="11"/>
        <v>606.57746157487077</v>
      </c>
      <c r="CD52" s="59">
        <f ca="1">AVERAGE(OFFSET($CC$3,0,0,'Données projet'!$E$12+1,1))-AVERAGE(OFFSET($H$3,0,0,'Données projet'!$E$12+1,1))</f>
        <v>342.79161436526499</v>
      </c>
      <c r="CE52" s="59">
        <f t="shared" si="40"/>
        <v>315.50730924873733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6.4402172554577835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6.4402172554577835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115.39999999999996</v>
      </c>
      <c r="CU52" s="17">
        <f>CT52*VLOOKUP('Données projet'!$B$13,Paramètres!$A$1:$I$89,3,0)*VLOOKUP('Données projet'!$B$13,Paramètres!$A$1:$I$89,5,0)</f>
        <v>77.410319999999984</v>
      </c>
      <c r="CV52" s="13">
        <f t="shared" si="41"/>
        <v>21.50278635866929</v>
      </c>
      <c r="CW52" s="20">
        <f t="shared" si="13"/>
        <v>172.27366024134895</v>
      </c>
      <c r="CX52" s="59">
        <f t="shared" si="14"/>
        <v>426.72004006564089</v>
      </c>
      <c r="CY52" s="59">
        <f ca="1">AVERAGE(OFFSET($CX$3,0,0,'Données projet'!$E$13+1,1))-AVERAGE(OFFSET($H$3,0,0,'Données projet'!$E$13+1,1))</f>
        <v>201.84651193684252</v>
      </c>
      <c r="CZ52" s="59">
        <f t="shared" si="42"/>
        <v>138.00705940844708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1.9374502703549328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1.9374502703549328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8.6</v>
      </c>
      <c r="DO52" s="12">
        <f>IF('Données projet'!$A$166&gt;35,DO51+DN52-DW51,IF(A52&lt;'Données projet'!$A$166,$DL$205^A52,IF(A52='Données projet'!$A$166,'Données projet'!$B$166,DO51+DN52-DW51)))</f>
        <v>252.40000000000009</v>
      </c>
      <c r="DP52" s="17">
        <f>DO52*VLOOKUP('Données projet'!$B$14,Paramètres!$A$1:$I$89,3,0)*VLOOKUP('Données projet'!$B$14,Paramètres!$A$1:$I$89,5,0)</f>
        <v>185.05968000000007</v>
      </c>
      <c r="DQ52" s="13">
        <f t="shared" si="43"/>
        <v>46.44604914943055</v>
      </c>
      <c r="DR52" s="20">
        <f t="shared" si="16"/>
        <v>403.20581160192501</v>
      </c>
      <c r="DS52" s="59">
        <f t="shared" si="17"/>
        <v>657.65219142621697</v>
      </c>
      <c r="DT52" s="59">
        <f ca="1">AVERAGE(OFFSET($DS$3,0,0,'Données projet'!$E$14+1,1))-AVERAGE(OFFSET($H$3,0,0,'Données projet'!$E$14+1,1))</f>
        <v>242.21240859696931</v>
      </c>
      <c r="DU52" s="59">
        <f t="shared" si="44"/>
        <v>340.92165104349192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13.437966246823969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13.437966246823969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5.6</v>
      </c>
      <c r="EJ52" s="12">
        <f>IF('Données projet'!$A$192&gt;35,EJ51+EI52-ER51,IF(A52&lt;'Données projet'!$A$192,$EG$205^A52,IF(A52='Données projet'!$A$192,'Données projet'!$B$192,EJ51+EI52-ER51)))</f>
        <v>115.39999999999996</v>
      </c>
      <c r="EK52" s="17">
        <f>EJ52*VLOOKUP('Données projet'!$B$15,Paramètres!$A$1:$I$89,3,0)*VLOOKUP('Données projet'!$B$15,Paramètres!$A$1:$I$89,5,0)</f>
        <v>111.61487999999996</v>
      </c>
      <c r="EL52" s="13">
        <f t="shared" si="45"/>
        <v>29.711139570849625</v>
      </c>
      <c r="EM52" s="20">
        <f t="shared" si="19"/>
        <v>246.14281741922969</v>
      </c>
      <c r="EN52" s="59">
        <f t="shared" si="20"/>
        <v>500.58919724352165</v>
      </c>
      <c r="EO52" s="59">
        <f ca="1">AVERAGE(OFFSET($EN$3,0,0,'Données projet'!$E$15+1,1))-AVERAGE(OFFSET($H$3,0,0,'Données projet'!$E$15+1,1))</f>
        <v>331.7059599630698</v>
      </c>
      <c r="EP52" s="59">
        <f t="shared" si="46"/>
        <v>173.19148969173838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5.6</v>
      </c>
      <c r="FE52" s="12">
        <f>IF('Données projet'!$A$218&gt;35,FE51+FD52-FM51,IF(A52&lt;'Données projet'!$A$218,$FB$205^A52,IF(A52='Données projet'!$A$218,'Données projet'!$B$218,FE51+FD52-FM51)))</f>
        <v>115.39999999999996</v>
      </c>
      <c r="FF52" s="17">
        <f>FE52*VLOOKUP('Données projet'!$B$16,Paramètres!$A$1:$I$89,3,0)*VLOOKUP('Données projet'!$B$16,Paramètres!$A$1:$I$89,5,0)</f>
        <v>124.21655999999994</v>
      </c>
      <c r="FG52" s="13">
        <f t="shared" si="47"/>
        <v>32.656457317237347</v>
      </c>
      <c r="FH52" s="20">
        <f t="shared" si="22"/>
        <v>273.220505160855</v>
      </c>
      <c r="FI52" s="59">
        <f t="shared" si="23"/>
        <v>527.66688498514691</v>
      </c>
      <c r="FJ52" s="59">
        <f ca="1">AVERAGE(OFFSET($FI$3,0,0,'Données projet'!$E$16+1,1))-AVERAGE(OFFSET($H$3,0,0,'Données projet'!$E$16+1,1))</f>
        <v>360.86062459677004</v>
      </c>
      <c r="FK52" s="59">
        <f t="shared" si="48"/>
        <v>186.0840067781198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2.5223409180092515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2.5223409180092515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8.1999999999999993</v>
      </c>
      <c r="FZ52" s="12">
        <f>IF('Données projet'!$A$244&gt;35,FZ51+FY52-GH51,IF(A52&lt;'Données projet'!$A$244,$FW$205^A52,IF(A52='Données projet'!$A$244,'Données projet'!$B$244,FZ51+FY52-GH51)))</f>
        <v>169.8</v>
      </c>
      <c r="GA52" s="17">
        <f>FZ52*VLOOKUP('Données projet'!$B$17,Paramètres!$A$1:$I$89,3,0)*VLOOKUP('Données projet'!$B$17,Paramètres!$A$1:$I$89,5,0)</f>
        <v>172.1772</v>
      </c>
      <c r="GB52" s="13">
        <f t="shared" si="49"/>
        <v>43.577282221917017</v>
      </c>
      <c r="GC52" s="20">
        <f t="shared" si="25"/>
        <v>375.77238986983883</v>
      </c>
      <c r="GD52" s="59">
        <f t="shared" si="26"/>
        <v>630.21876969413074</v>
      </c>
      <c r="GE52" s="59">
        <f ca="1">AVERAGE(OFFSET($GD$3,0,0,'Données projet'!$E$17+1,1))-AVERAGE(OFFSET($H$3,0,0,'Données projet'!$E$17+1,1))</f>
        <v>448.73339628506784</v>
      </c>
      <c r="GF52" s="59">
        <f t="shared" si="50"/>
        <v>273.35778700650803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3.5641773841435076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3.5641773841435076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178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178</v>
      </c>
      <c r="O53" s="13">
        <f>N53*VLOOKUP('Données projet'!$B$9,Paramètres!$A$1:$I$89,3,0)*VLOOKUP('Données projet'!$B$9,Paramètres!$A$1:$I$89,5,0)</f>
        <v>161.05439999999999</v>
      </c>
      <c r="P53" s="13">
        <f t="shared" si="33"/>
        <v>41.080247278685491</v>
      </c>
      <c r="Q53" s="20">
        <f t="shared" si="53"/>
        <v>352.05117734371055</v>
      </c>
      <c r="R53" s="59">
        <f t="shared" si="0"/>
        <v>607.17215887318071</v>
      </c>
      <c r="S53" s="59">
        <f ca="1">AVERAGE(OFFSET($R$3,0,0,'Données projet'!$E$9+1,1))-AVERAGE(OFFSET($H$3,0,0,'Données projet'!$E$9+1,1))</f>
        <v>408.51124670343137</v>
      </c>
      <c r="T53" s="59">
        <f t="shared" si="34"/>
        <v>250.47702091764884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5.8276002970136886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5.8276002970136886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219</v>
      </c>
      <c r="AG53" s="12">
        <f>VLOOKUP(A53,'Données projet'!$A$61:$I$81,9,0)</f>
        <v>7.2</v>
      </c>
      <c r="AH53" s="12">
        <f t="array" ref="AH53">INDEX(AG:AG,MIN(IF(ISNUMBER(AG53:AG249),ROW(AG53:AG249),"")))</f>
        <v>7.2</v>
      </c>
      <c r="AI53" s="13">
        <f>IF('Données projet'!$A$62&gt;35,AI52+AH53-AQ52,IF(A53&lt;'Données projet'!$A$62,$AF$205^A53,IF(A53='Données projet'!$A$62,'Données projet'!$B$62,AI52+AH53-AQ52)))</f>
        <v>218.99999999999977</v>
      </c>
      <c r="AJ53" s="13">
        <f>AI53*VLOOKUP('Données projet'!$B$10,Paramètres!$A$1:$I$89,3,0)*VLOOKUP('Données projet'!$B$10,Paramètres!$A$1:$I$89,5,0)</f>
        <v>174.23639999999983</v>
      </c>
      <c r="AK53" s="13">
        <f t="shared" si="35"/>
        <v>44.03747274965864</v>
      </c>
      <c r="AL53" s="20">
        <f t="shared" si="4"/>
        <v>380.16032837232183</v>
      </c>
      <c r="AM53" s="59">
        <f t="shared" si="5"/>
        <v>635.28130990179193</v>
      </c>
      <c r="AN53" s="59">
        <f ca="1">AVERAGE(OFFSET($AM$3,0,0,'Données projet'!$E$10+1,1))-AVERAGE(OFFSET($H$3,0,0,'Données projet'!$E$10+1,1))</f>
        <v>327.22763817565902</v>
      </c>
      <c r="AO53" s="59">
        <f t="shared" si="36"/>
        <v>311.68541696405975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17</v>
      </c>
      <c r="AR53" s="16">
        <f>IF(ISNA(VLOOKUP(A53,'Données projet'!$A$61:$I$81,5,0)),0%,VLOOKUP(A53,'Données projet'!$A$61:$I$81,5,0)*VLOOKUP('Données projet'!$B$10,Paramètres!$A$1:$I$89,7,0))</f>
        <v>0.159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9.2447221679365121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9.2447221679365121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203</v>
      </c>
      <c r="BB53" s="12">
        <f>VLOOKUP(A53,'Données projet'!$A$87:$I$107,9,0)</f>
        <v>6.8</v>
      </c>
      <c r="BC53" s="12">
        <f t="array" ref="BC53">INDEX(BB:BB,MIN(IF(ISNUMBER(BB53:BB249),ROW(BB53:BB249),"")))</f>
        <v>6.8</v>
      </c>
      <c r="BD53" s="12">
        <f>IF('Données projet'!$A$88&gt;35,BD52+BC53-BL52,IF(A53&lt;'Données projet'!$A$88,$BA$205^A53,IF(A53='Données projet'!$A$88,'Données projet'!$B$88,BD52+BC53-BL52)))</f>
        <v>203.00000000000003</v>
      </c>
      <c r="BE53" s="13">
        <f>BD53*VLOOKUP('Données projet'!$B$11,Paramètres!$A$1:$I$89,3,0)*VLOOKUP('Données projet'!$B$11,Paramètres!$A$1:$I$89,5,0)</f>
        <v>129.83880000000002</v>
      </c>
      <c r="BF53" s="13">
        <f t="shared" si="37"/>
        <v>33.959108055900977</v>
      </c>
      <c r="BG53" s="20">
        <f t="shared" si="7"/>
        <v>285.28135653069421</v>
      </c>
      <c r="BH53" s="59">
        <f t="shared" si="8"/>
        <v>540.40233806016431</v>
      </c>
      <c r="BI53" s="59">
        <f ca="1">AVERAGE(OFFSET($BH$3,0,0,'Données projet'!$E$11+1,1))-AVERAGE(OFFSET($H$3,0,0,'Données projet'!$E$11+1,1))</f>
        <v>169.46470423366029</v>
      </c>
      <c r="BJ53" s="59">
        <f t="shared" si="38"/>
        <v>230.78141128389288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203</v>
      </c>
      <c r="BM53" s="16">
        <f>IF(ISNA(VLOOKUP(A53,'Données projet'!$A$87:$I$107,5,0)),0%,VLOOKUP(A53,'Données projet'!$A$87:$I$107,5,0)*VLOOKUP('Données projet'!$B$11,Paramètres!$A$1:$I$89,7,0))</f>
        <v>0.25800000000000001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40.778894348627773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40.778894348627773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191</v>
      </c>
      <c r="BW53" s="12">
        <f>VLOOKUP(A53,'Données projet'!$A$113:$I$133,9,0)</f>
        <v>6.6</v>
      </c>
      <c r="BX53" s="12">
        <f t="array" ref="BX53">INDEX(BW:BW,MIN(IF(ISNUMBER(BW53:BW249),ROW(BW53:BW249),"")))</f>
        <v>6.6</v>
      </c>
      <c r="BY53" s="12">
        <f>IF('Données projet'!$A$114&gt;35,BY52+BX53-CG52,IF(A53&lt;'Données projet'!$A$114,$BV$205^A53,IF(A53='Données projet'!$A$114,'Données projet'!$B$114,BY52+BX53-CG52)))</f>
        <v>191</v>
      </c>
      <c r="BZ53" s="13">
        <f>BY53*VLOOKUP('Données projet'!$B$12,Paramètres!$A$1:$I$89,3,0)*VLOOKUP('Données projet'!$B$12,Paramètres!$A$1:$I$89,5,0)</f>
        <v>166.85760000000002</v>
      </c>
      <c r="CA53" s="13">
        <f t="shared" si="39"/>
        <v>42.385468111966098</v>
      </c>
      <c r="CB53" s="20">
        <f t="shared" si="10"/>
        <v>364.43167696167433</v>
      </c>
      <c r="CC53" s="59">
        <f t="shared" si="11"/>
        <v>619.55265849114448</v>
      </c>
      <c r="CD53" s="59">
        <f ca="1">AVERAGE(OFFSET($CC$3,0,0,'Données projet'!$E$12+1,1))-AVERAGE(OFFSET($H$3,0,0,'Données projet'!$E$12+1,1))</f>
        <v>342.79161436526499</v>
      </c>
      <c r="CE53" s="59">
        <f t="shared" si="40"/>
        <v>315.50730924873733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0.17200000000000001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9.8021775151215778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9.8021775151215778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121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120.99999999999996</v>
      </c>
      <c r="CU53" s="17">
        <f>CT53*VLOOKUP('Données projet'!$B$13,Paramètres!$A$1:$I$89,3,0)*VLOOKUP('Données projet'!$B$13,Paramètres!$A$1:$I$89,5,0)</f>
        <v>81.166799999999967</v>
      </c>
      <c r="CV53" s="13">
        <f t="shared" si="41"/>
        <v>22.422231932399924</v>
      </c>
      <c r="CW53" s="20">
        <f t="shared" si="13"/>
        <v>180.4175639489298</v>
      </c>
      <c r="CX53" s="59">
        <f t="shared" si="14"/>
        <v>435.5385454783999</v>
      </c>
      <c r="CY53" s="59">
        <f ca="1">AVERAGE(OFFSET($CX$3,0,0,'Données projet'!$E$13+1,1))-AVERAGE(OFFSET($H$3,0,0,'Données projet'!$E$13+1,1))</f>
        <v>201.84651193684252</v>
      </c>
      <c r="CZ53" s="59">
        <f t="shared" si="42"/>
        <v>138.00705940844708</v>
      </c>
      <c r="DA53" s="15">
        <f>IF(ISNA(VLOOKUP(A53,'Données projet'!$A$139:$I$159,3,0)),0,VLOOKUP(A53,'Données projet'!$A$139:$I$159,3,0))</f>
        <v>6</v>
      </c>
      <c r="DB53" s="15">
        <f>IF(ISNA(VLOOKUP(A53,'Données projet'!$A$139:$I$159,4,0)),0,VLOOKUP(A53,'Données projet'!$A$139:$I$159,4,0))</f>
        <v>14</v>
      </c>
      <c r="DC53" s="16">
        <f>IF(ISNA(VLOOKUP(A53,'Données projet'!$A$139:$I$159,5,0)),0%,VLOOKUP(A53,'Données projet'!$A$139:$I$159,5,0)*VLOOKUP('Données projet'!$B$13,Paramètres!$A$1:$I$89,7,0))</f>
        <v>0.10600000000000001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2.9999175556778548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2.9999175556778548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261</v>
      </c>
      <c r="DM53" s="12">
        <f>VLOOKUP(A53,'Données projet'!$A$165:$I$185,9,0)</f>
        <v>8.6</v>
      </c>
      <c r="DN53" s="12">
        <f t="array" ref="DN53">INDEX(DM:DM,MIN(IF(ISNUMBER(DM53:DM249),ROW(DM53:DM249),"")))</f>
        <v>8.6</v>
      </c>
      <c r="DO53" s="12">
        <f>IF('Données projet'!$A$166&gt;35,DO52+DN53-DW52,IF(A53&lt;'Données projet'!$A$166,$DL$205^A53,IF(A53='Données projet'!$A$166,'Données projet'!$B$166,DO52+DN53-DW52)))</f>
        <v>261.00000000000011</v>
      </c>
      <c r="DP53" s="17">
        <f>DO53*VLOOKUP('Données projet'!$B$14,Paramètres!$A$1:$I$89,3,0)*VLOOKUP('Données projet'!$B$14,Paramètres!$A$1:$I$89,5,0)</f>
        <v>191.36520000000007</v>
      </c>
      <c r="DQ53" s="13">
        <f t="shared" si="43"/>
        <v>47.841653305605021</v>
      </c>
      <c r="DR53" s="20">
        <f t="shared" si="16"/>
        <v>416.61860284059549</v>
      </c>
      <c r="DS53" s="59">
        <f t="shared" si="17"/>
        <v>671.73958437006559</v>
      </c>
      <c r="DT53" s="59">
        <f ca="1">AVERAGE(OFFSET($DS$3,0,0,'Données projet'!$E$14+1,1))-AVERAGE(OFFSET($H$3,0,0,'Données projet'!$E$14+1,1))</f>
        <v>242.21240859696931</v>
      </c>
      <c r="DU53" s="59">
        <f t="shared" si="44"/>
        <v>340.92165104349192</v>
      </c>
      <c r="DV53" s="15">
        <f>IF(ISNA(VLOOKUP(A53,'Données projet'!$A$165:$I$185,3,0)),0,VLOOKUP(A53,'Données projet'!$A$165:$I$185,3,0))</f>
        <v>9</v>
      </c>
      <c r="DW53" s="15">
        <f>IF(ISNA(VLOOKUP(A53,'Données projet'!$A$165:$I$185,4,0)),0,VLOOKUP(A53,'Données projet'!$A$165:$I$185,4,0))</f>
        <v>261</v>
      </c>
      <c r="DX53" s="16">
        <f>IF(ISNA(VLOOKUP(A53,'Données projet'!$A$165:$I$185,5,0)),0%,VLOOKUP(A53,'Données projet'!$A$165:$I$185,5,0)*VLOOKUP('Données projet'!$B$14,Paramètres!$A$1:$I$89,7,0))</f>
        <v>0.30099999999999999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76.850572567366896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76.850572567366896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121</v>
      </c>
      <c r="EH53" s="12">
        <f>VLOOKUP(A53,'Données projet'!$A$191:$I$211,9,0)</f>
        <v>5.6</v>
      </c>
      <c r="EI53" s="12">
        <f t="array" ref="EI53">INDEX(EH:EH,MIN(IF(ISNUMBER(EH53:EH249),ROW(EH53:EH249),"")))</f>
        <v>5.6</v>
      </c>
      <c r="EJ53" s="12">
        <f>IF('Données projet'!$A$192&gt;35,EJ52+EI53-ER52,IF(A53&lt;'Données projet'!$A$192,$EG$205^A53,IF(A53='Données projet'!$A$192,'Données projet'!$B$192,EJ52+EI53-ER52)))</f>
        <v>120.99999999999996</v>
      </c>
      <c r="EK53" s="17">
        <f>EJ53*VLOOKUP('Données projet'!$B$15,Paramètres!$A$1:$I$89,3,0)*VLOOKUP('Données projet'!$B$15,Paramètres!$A$1:$I$89,5,0)</f>
        <v>117.03119999999996</v>
      </c>
      <c r="EL53" s="13">
        <f t="shared" si="45"/>
        <v>30.981569147428527</v>
      </c>
      <c r="EM53" s="20">
        <f t="shared" si="19"/>
        <v>257.78890626510457</v>
      </c>
      <c r="EN53" s="59">
        <f t="shared" si="20"/>
        <v>512.90988779457462</v>
      </c>
      <c r="EO53" s="59">
        <f ca="1">AVERAGE(OFFSET($EN$3,0,0,'Données projet'!$E$15+1,1))-AVERAGE(OFFSET($H$3,0,0,'Données projet'!$E$15+1,1))</f>
        <v>331.7059599630698</v>
      </c>
      <c r="EP53" s="59">
        <f t="shared" si="46"/>
        <v>173.19148969173838</v>
      </c>
      <c r="EQ53" s="15">
        <f>IF(ISNA(VLOOKUP(A53,'Données projet'!$A$191:$I$211,3,0)),0,VLOOKUP(A53,'Données projet'!$A$191:$I$211,3,0))</f>
        <v>6</v>
      </c>
      <c r="ER53" s="15">
        <f>IF(ISNA(VLOOKUP(A53,'Données projet'!$A$191:$I$211,4,0)),0,VLOOKUP(A53,'Données projet'!$A$191:$I$211,4,0))</f>
        <v>14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121</v>
      </c>
      <c r="FC53" s="12">
        <f>VLOOKUP(A53,'Données projet'!$A$217:$I$237,9,0)</f>
        <v>5.6</v>
      </c>
      <c r="FD53" s="12">
        <f t="array" ref="FD53">INDEX(FC:FC,MIN(IF(ISNUMBER(FC53:FC249),ROW(FC53:FC249),"")))</f>
        <v>5.6</v>
      </c>
      <c r="FE53" s="12">
        <f>IF('Données projet'!$A$218&gt;35,FE52+FD53-FM52,IF(A53&lt;'Données projet'!$A$218,$FB$205^A53,IF(A53='Données projet'!$A$218,'Données projet'!$B$218,FE52+FD53-FM52)))</f>
        <v>120.99999999999996</v>
      </c>
      <c r="FF53" s="17">
        <f>FE53*VLOOKUP('Données projet'!$B$16,Paramètres!$A$1:$I$89,3,0)*VLOOKUP('Données projet'!$B$16,Paramètres!$A$1:$I$89,5,0)</f>
        <v>130.24439999999996</v>
      </c>
      <c r="FG53" s="13">
        <f t="shared" si="47"/>
        <v>34.052826821785409</v>
      </c>
      <c r="FH53" s="20">
        <f t="shared" si="22"/>
        <v>286.1510033812761</v>
      </c>
      <c r="FI53" s="59">
        <f t="shared" si="23"/>
        <v>541.27198491074614</v>
      </c>
      <c r="FJ53" s="59">
        <f ca="1">AVERAGE(OFFSET($FI$3,0,0,'Données projet'!$E$16+1,1))-AVERAGE(OFFSET($H$3,0,0,'Données projet'!$E$16+1,1))</f>
        <v>360.86062459677004</v>
      </c>
      <c r="FK53" s="59">
        <f t="shared" si="48"/>
        <v>186.0840067781198</v>
      </c>
      <c r="FL53" s="15">
        <f>IF(ISNA(VLOOKUP(A53,'Données projet'!$A$217:$I$237,3,0)),0,VLOOKUP(A53,'Données projet'!$A$217:$I$237,3,0))</f>
        <v>6</v>
      </c>
      <c r="FM53" s="15">
        <f>IF(ISNA(VLOOKUP(A53,'Données projet'!$A$217:$I$237,4,0)),0,VLOOKUP(A53,'Données projet'!$A$217:$I$237,4,0))</f>
        <v>14</v>
      </c>
      <c r="FN53" s="16">
        <f>IF(ISNA(VLOOKUP(A53,'Données projet'!$A$217:$I$237,5,0)),0%,VLOOKUP(A53,'Données projet'!$A$217:$I$237,5,0)*VLOOKUP('Données projet'!$B$16,Paramètres!$A$1:$I$89,7,0))</f>
        <v>8.6000000000000007E-2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3.9055530441843764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3.9055530441843764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178</v>
      </c>
      <c r="FX53" s="12">
        <f>VLOOKUP(A53,'Données projet'!$A$243:$I$263,9,0)</f>
        <v>8.1999999999999993</v>
      </c>
      <c r="FY53" s="12">
        <f t="array" ref="FY53">INDEX(FX:FX,MIN(IF(ISNUMBER(FX53:FX249),ROW(FX53:FX249),"")))</f>
        <v>8.1999999999999993</v>
      </c>
      <c r="FZ53" s="12">
        <f>IF('Données projet'!$A$244&gt;35,FZ52+FY53-GH52,IF(A53&lt;'Données projet'!$A$244,$FW$205^A53,IF(A53='Données projet'!$A$244,'Données projet'!$B$244,FZ52+FY53-GH52)))</f>
        <v>178</v>
      </c>
      <c r="GA53" s="17">
        <f>FZ53*VLOOKUP('Données projet'!$B$17,Paramètres!$A$1:$I$89,3,0)*VLOOKUP('Données projet'!$B$17,Paramètres!$A$1:$I$89,5,0)</f>
        <v>180.49200000000002</v>
      </c>
      <c r="GB53" s="13">
        <f t="shared" si="49"/>
        <v>45.431629706642653</v>
      </c>
      <c r="GC53" s="20">
        <f t="shared" si="25"/>
        <v>393.4836550724026</v>
      </c>
      <c r="GD53" s="59">
        <f t="shared" si="26"/>
        <v>648.6046366018727</v>
      </c>
      <c r="GE53" s="59">
        <f ca="1">AVERAGE(OFFSET($GD$3,0,0,'Données projet'!$E$17+1,1))-AVERAGE(OFFSET($H$3,0,0,'Données projet'!$E$17+1,1))</f>
        <v>448.73339628506784</v>
      </c>
      <c r="GF53" s="59">
        <f t="shared" si="50"/>
        <v>273.35778700650803</v>
      </c>
      <c r="GG53" s="15">
        <f>IF(ISNA(VLOOKUP(A53,'Données projet'!$A$243:$I$263,3,0)),0,VLOOKUP(A53,'Données projet'!$A$243:$I$263,3,0))</f>
        <v>7</v>
      </c>
      <c r="GH53" s="15">
        <f>IF(ISNA(VLOOKUP(A53,'Données projet'!$A$243:$I$263,4,0)),0,VLOOKUP(A53,'Données projet'!$A$243:$I$263,4,0))</f>
        <v>21</v>
      </c>
      <c r="GI53" s="16">
        <f>IF(ISNA(VLOOKUP(A53,'Données projet'!$A$243:$I$263,5,0)),0%,VLOOKUP(A53,'Données projet'!$A$243:$I$263,5,0)*VLOOKUP('Données projet'!$B$17,Paramètres!$A$1:$I$89,7,0))</f>
        <v>0.129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6.5309313673429283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6.5309313673429283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</v>
      </c>
      <c r="N54" s="13">
        <f>IF('Données projet'!$A$36&gt;35,N53+M54-V53,IF(A54&lt;'Données projet'!$A$36,$K$205^A54,IF(A54='Données projet'!$A$36,'Données projet'!$B$36,N53+M54-V53)))</f>
        <v>165</v>
      </c>
      <c r="O54" s="13">
        <f>N54*VLOOKUP('Données projet'!$B$9,Paramètres!$A$1:$I$89,3,0)*VLOOKUP('Données projet'!$B$9,Paramètres!$A$1:$I$89,5,0)</f>
        <v>149.29199999999997</v>
      </c>
      <c r="P54" s="13">
        <f t="shared" si="33"/>
        <v>38.417645803815411</v>
      </c>
      <c r="Q54" s="20">
        <f t="shared" si="53"/>
        <v>326.9276331083118</v>
      </c>
      <c r="R54" s="59">
        <f t="shared" si="0"/>
        <v>582.71151351155868</v>
      </c>
      <c r="S54" s="59">
        <f ca="1">AVERAGE(OFFSET($R$3,0,0,'Données projet'!$E$9+1,1))-AVERAGE(OFFSET($H$3,0,0,'Données projet'!$E$9+1,1))</f>
        <v>408.51124670343137</v>
      </c>
      <c r="T54" s="59">
        <f t="shared" si="34"/>
        <v>250.47702091764884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5.713324609674455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5.713324609674455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</v>
      </c>
      <c r="AI54" s="13">
        <f>IF('Données projet'!$A$62&gt;35,AI53+AH54-AQ53,IF(A54&lt;'Données projet'!$A$62,$AF$205^A54,IF(A54='Données projet'!$A$62,'Données projet'!$B$62,AI53+AH54-AQ53)))</f>
        <v>207.99999999999977</v>
      </c>
      <c r="AJ54" s="13">
        <f>AI54*VLOOKUP('Données projet'!$B$10,Paramètres!$A$1:$I$89,3,0)*VLOOKUP('Données projet'!$B$10,Paramètres!$A$1:$I$89,5,0)</f>
        <v>165.48479999999984</v>
      </c>
      <c r="AK54" s="13">
        <f t="shared" si="35"/>
        <v>42.077190125963966</v>
      </c>
      <c r="AL54" s="20">
        <f t="shared" si="4"/>
        <v>361.50379946938693</v>
      </c>
      <c r="AM54" s="59">
        <f t="shared" si="5"/>
        <v>617.28767987263382</v>
      </c>
      <c r="AN54" s="59">
        <f ca="1">AVERAGE(OFFSET($AM$3,0,0,'Données projet'!$E$10+1,1))-AVERAGE(OFFSET($H$3,0,0,'Données projet'!$E$10+1,1))</f>
        <v>327.22763817565902</v>
      </c>
      <c r="AO54" s="59">
        <f t="shared" si="36"/>
        <v>311.68541696405975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9.0634388049470225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9.0634388049470225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2.8421709430404007E-14</v>
      </c>
      <c r="BE54" s="13">
        <f>BD54*VLOOKUP('Données projet'!$B$11,Paramètres!$A$1:$I$89,3,0)*VLOOKUP('Données projet'!$B$11,Paramètres!$A$1:$I$89,5,0)</f>
        <v>1.8178525351686402E-14</v>
      </c>
      <c r="BF54" s="13">
        <f t="shared" si="37"/>
        <v>3.3304129621647644E-13</v>
      </c>
      <c r="BG54" s="20">
        <f t="shared" si="7"/>
        <v>6.1170785589788349E-13</v>
      </c>
      <c r="BH54" s="59">
        <f t="shared" si="8"/>
        <v>255.78388040324745</v>
      </c>
      <c r="BI54" s="59">
        <f ca="1">AVERAGE(OFFSET($BH$3,0,0,'Données projet'!$E$11+1,1))-AVERAGE(OFFSET($H$3,0,0,'Données projet'!$E$11+1,1))</f>
        <v>169.46470423366029</v>
      </c>
      <c r="BJ54" s="59">
        <f t="shared" si="38"/>
        <v>230.78141128389288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39.979245103120761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39.979245103120761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6.2</v>
      </c>
      <c r="BY54" s="12">
        <f>IF('Données projet'!$A$114&gt;35,BY53+BX54-CG53,IF(A54&lt;'Données projet'!$A$114,$BV$205^A54,IF(A54='Données projet'!$A$114,'Données projet'!$B$114,BY53+BX54-CG53)))</f>
        <v>176.2</v>
      </c>
      <c r="BZ54" s="13">
        <f>BY54*VLOOKUP('Données projet'!$B$12,Paramètres!$A$1:$I$89,3,0)*VLOOKUP('Données projet'!$B$12,Paramètres!$A$1:$I$89,5,0)</f>
        <v>153.92832000000001</v>
      </c>
      <c r="CA54" s="13">
        <f t="shared" si="39"/>
        <v>39.469962836517794</v>
      </c>
      <c r="CB54" s="20">
        <f t="shared" si="10"/>
        <v>336.83534260693517</v>
      </c>
      <c r="CC54" s="59">
        <f t="shared" si="11"/>
        <v>592.61922301018194</v>
      </c>
      <c r="CD54" s="59">
        <f ca="1">AVERAGE(OFFSET($CC$3,0,0,'Données projet'!$E$12+1,1))-AVERAGE(OFFSET($H$3,0,0,'Données projet'!$E$12+1,1))</f>
        <v>342.79161436526499</v>
      </c>
      <c r="CE54" s="59">
        <f t="shared" si="40"/>
        <v>315.50730924873733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9.6099627927879769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9.6099627927879769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5.6</v>
      </c>
      <c r="CT54" s="12">
        <f>IF('Données projet'!$A$140&gt;35,CT53+CS54-DB53,IF(A54&lt;'Données projet'!$A$140,$CQ$205^A54,IF(A54='Données projet'!$A$140,'Données projet'!$B$140,CT53+CS54-DB53)))</f>
        <v>112.59999999999995</v>
      </c>
      <c r="CU54" s="17">
        <f>CT54*VLOOKUP('Données projet'!$B$13,Paramètres!$A$1:$I$89,3,0)*VLOOKUP('Données projet'!$B$13,Paramètres!$A$1:$I$89,5,0)</f>
        <v>75.532079999999965</v>
      </c>
      <c r="CV54" s="13">
        <f t="shared" si="41"/>
        <v>21.041127557128405</v>
      </c>
      <c r="CW54" s="20">
        <f t="shared" si="13"/>
        <v>168.19833649533192</v>
      </c>
      <c r="CX54" s="59">
        <f t="shared" si="14"/>
        <v>423.98221689857871</v>
      </c>
      <c r="CY54" s="59">
        <f ca="1">AVERAGE(OFFSET($CX$3,0,0,'Données projet'!$E$13+1,1))-AVERAGE(OFFSET($H$3,0,0,'Données projet'!$E$13+1,1))</f>
        <v>201.84651193684252</v>
      </c>
      <c r="CZ54" s="59">
        <f t="shared" si="42"/>
        <v>138.00705940844708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2.9410910021800465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2.9410910021800465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1.1368683772161603E-13</v>
      </c>
      <c r="DP54" s="17">
        <f>DO54*VLOOKUP('Données projet'!$B$14,Paramètres!$A$1:$I$89,3,0)*VLOOKUP('Données projet'!$B$14,Paramètres!$A$1:$I$89,5,0)</f>
        <v>8.3355189417488869E-14</v>
      </c>
      <c r="DQ54" s="13">
        <f t="shared" si="43"/>
        <v>1.2790518435140618E-12</v>
      </c>
      <c r="DR54" s="20">
        <f t="shared" si="16"/>
        <v>2.3728589156891171E-12</v>
      </c>
      <c r="DS54" s="59">
        <f t="shared" si="17"/>
        <v>255.78388040324919</v>
      </c>
      <c r="DT54" s="59">
        <f ca="1">AVERAGE(OFFSET($DS$3,0,0,'Données projet'!$E$14+1,1))-AVERAGE(OFFSET($H$3,0,0,'Données projet'!$E$14+1,1))</f>
        <v>242.21240859696931</v>
      </c>
      <c r="DU54" s="59">
        <f t="shared" si="44"/>
        <v>340.92165104349192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75.343579713541658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75.343579713541658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5.6</v>
      </c>
      <c r="EJ54" s="12">
        <f>IF('Données projet'!$A$192&gt;35,EJ53+EI54-ER53,IF(A54&lt;'Données projet'!$A$192,$EG$205^A54,IF(A54='Données projet'!$A$192,'Données projet'!$B$192,EJ53+EI54-ER53)))</f>
        <v>112.59999999999995</v>
      </c>
      <c r="EK54" s="17">
        <f>EJ54*VLOOKUP('Données projet'!$B$15,Paramètres!$A$1:$I$89,3,0)*VLOOKUP('Données projet'!$B$15,Paramètres!$A$1:$I$89,5,0)</f>
        <v>108.90671999999995</v>
      </c>
      <c r="EL54" s="13">
        <f t="shared" si="45"/>
        <v>29.073249724487347</v>
      </c>
      <c r="EM54" s="20">
        <f t="shared" si="19"/>
        <v>240.31511393681535</v>
      </c>
      <c r="EN54" s="59">
        <f t="shared" si="20"/>
        <v>496.09899434006218</v>
      </c>
      <c r="EO54" s="59">
        <f ca="1">AVERAGE(OFFSET($EN$3,0,0,'Données projet'!$E$15+1,1))-AVERAGE(OFFSET($H$3,0,0,'Données projet'!$E$15+1,1))</f>
        <v>331.7059599630698</v>
      </c>
      <c r="EP54" s="59">
        <f t="shared" si="46"/>
        <v>173.19148969173838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5.6</v>
      </c>
      <c r="FE54" s="12">
        <f>IF('Données projet'!$A$218&gt;35,FE53+FD54-FM53,IF(A54&lt;'Données projet'!$A$218,$FB$205^A54,IF(A54='Données projet'!$A$218,'Données projet'!$B$218,FE53+FD54-FM53)))</f>
        <v>112.59999999999995</v>
      </c>
      <c r="FF54" s="17">
        <f>FE54*VLOOKUP('Données projet'!$B$16,Paramètres!$A$1:$I$89,3,0)*VLOOKUP('Données projet'!$B$16,Paramètres!$A$1:$I$89,5,0)</f>
        <v>121.20263999999995</v>
      </c>
      <c r="FG54" s="13">
        <f t="shared" si="47"/>
        <v>31.955332323658638</v>
      </c>
      <c r="FH54" s="20">
        <f t="shared" si="22"/>
        <v>266.75013513037203</v>
      </c>
      <c r="FI54" s="59">
        <f t="shared" si="23"/>
        <v>522.53401553361891</v>
      </c>
      <c r="FJ54" s="59">
        <f ca="1">AVERAGE(OFFSET($FI$3,0,0,'Données projet'!$E$16+1,1))-AVERAGE(OFFSET($H$3,0,0,'Données projet'!$E$16+1,1))</f>
        <v>360.86062459677004</v>
      </c>
      <c r="FK54" s="59">
        <f t="shared" si="48"/>
        <v>186.0840067781198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3.8289675311400599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3.8289675311400599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8</v>
      </c>
      <c r="FZ54" s="12">
        <f>IF('Données projet'!$A$244&gt;35,FZ53+FY54-GH53,IF(A54&lt;'Données projet'!$A$244,$FW$205^A54,IF(A54='Données projet'!$A$244,'Données projet'!$B$244,FZ53+FY54-GH53)))</f>
        <v>165</v>
      </c>
      <c r="GA54" s="17">
        <f>FZ54*VLOOKUP('Données projet'!$B$17,Paramètres!$A$1:$I$89,3,0)*VLOOKUP('Données projet'!$B$17,Paramètres!$A$1:$I$89,5,0)</f>
        <v>167.31</v>
      </c>
      <c r="GB54" s="13">
        <f t="shared" si="49"/>
        <v>42.486994942347515</v>
      </c>
      <c r="GC54" s="20">
        <f t="shared" si="25"/>
        <v>365.39643285792187</v>
      </c>
      <c r="GD54" s="59">
        <f t="shared" si="26"/>
        <v>621.18031326116875</v>
      </c>
      <c r="GE54" s="59">
        <f ca="1">AVERAGE(OFFSET($GD$3,0,0,'Données projet'!$E$17+1,1))-AVERAGE(OFFSET($H$3,0,0,'Données projet'!$E$17+1,1))</f>
        <v>448.73339628506784</v>
      </c>
      <c r="GF54" s="59">
        <f t="shared" si="50"/>
        <v>273.35778700650803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6.402863786704132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6.402863786704132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</v>
      </c>
      <c r="N55" s="13">
        <f>IF('Données projet'!$A$36&gt;35,N54+M55-V54,IF(A55&lt;'Données projet'!$A$36,$K$205^A55,IF(A55='Données projet'!$A$36,'Données projet'!$B$36,N54+M55-V54)))</f>
        <v>173</v>
      </c>
      <c r="O55" s="13">
        <f>N55*VLOOKUP('Données projet'!$B$9,Paramètres!$A$1:$I$89,3,0)*VLOOKUP('Données projet'!$B$9,Paramètres!$A$1:$I$89,5,0)</f>
        <v>156.53039999999999</v>
      </c>
      <c r="P55" s="13">
        <f t="shared" si="33"/>
        <v>40.058941713182037</v>
      </c>
      <c r="Q55" s="20">
        <f t="shared" si="53"/>
        <v>342.393103483792</v>
      </c>
      <c r="R55" s="59">
        <f t="shared" si="0"/>
        <v>598.8283829473753</v>
      </c>
      <c r="S55" s="59">
        <f ca="1">AVERAGE(OFFSET($R$3,0,0,'Données projet'!$E$9+1,1))-AVERAGE(OFFSET($H$3,0,0,'Données projet'!$E$9+1,1))</f>
        <v>408.51124670343137</v>
      </c>
      <c r="T55" s="59">
        <f t="shared" si="34"/>
        <v>250.47702091764884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5.6012897988626573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5.6012897988626573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</v>
      </c>
      <c r="AI55" s="13">
        <f>IF('Données projet'!$A$62&gt;35,AI54+AH55-AQ54,IF(A55&lt;'Données projet'!$A$62,$AF$205^A55,IF(A55='Données projet'!$A$62,'Données projet'!$B$62,AI54+AH55-AQ54)))</f>
        <v>213.99999999999977</v>
      </c>
      <c r="AJ55" s="13">
        <f>AI55*VLOOKUP('Données projet'!$B$10,Paramètres!$A$1:$I$89,3,0)*VLOOKUP('Données projet'!$B$10,Paramètres!$A$1:$I$89,5,0)</f>
        <v>170.25839999999982</v>
      </c>
      <c r="AK55" s="13">
        <f t="shared" si="35"/>
        <v>43.147891472685018</v>
      </c>
      <c r="AL55" s="20">
        <f t="shared" si="4"/>
        <v>371.68262431492604</v>
      </c>
      <c r="AM55" s="59">
        <f t="shared" si="5"/>
        <v>628.11790377850934</v>
      </c>
      <c r="AN55" s="59">
        <f ca="1">AVERAGE(OFFSET($AM$3,0,0,'Données projet'!$E$10+1,1))-AVERAGE(OFFSET($H$3,0,0,'Données projet'!$E$10+1,1))</f>
        <v>327.22763817565902</v>
      </c>
      <c r="AO55" s="59">
        <f t="shared" si="36"/>
        <v>311.68541696405975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8.885710298133823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8.885710298133823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2.8421709430404007E-14</v>
      </c>
      <c r="BE55" s="13">
        <f>BD55*VLOOKUP('Données projet'!$B$11,Paramètres!$A$1:$I$89,3,0)*VLOOKUP('Données projet'!$B$11,Paramètres!$A$1:$I$89,5,0)</f>
        <v>1.8178525351686402E-14</v>
      </c>
      <c r="BF55" s="13">
        <f t="shared" si="37"/>
        <v>3.3304129621647644E-13</v>
      </c>
      <c r="BG55" s="20">
        <f t="shared" si="7"/>
        <v>6.1170785589788349E-13</v>
      </c>
      <c r="BH55" s="59">
        <f t="shared" si="8"/>
        <v>256.43527946358398</v>
      </c>
      <c r="BI55" s="59">
        <f ca="1">AVERAGE(OFFSET($BH$3,0,0,'Données projet'!$E$11+1,1))-AVERAGE(OFFSET($H$3,0,0,'Données projet'!$E$11+1,1))</f>
        <v>169.46470423366029</v>
      </c>
      <c r="BJ55" s="59">
        <f t="shared" si="38"/>
        <v>230.78141128389288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39.195276491580266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39.195276491580266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6.2</v>
      </c>
      <c r="BY55" s="12">
        <f>IF('Données projet'!$A$114&gt;35,BY54+BX55-CG54,IF(A55&lt;'Données projet'!$A$114,$BV$205^A55,IF(A55='Données projet'!$A$114,'Données projet'!$B$114,BY54+BX55-CG54)))</f>
        <v>182.39999999999998</v>
      </c>
      <c r="BZ55" s="13">
        <f>BY55*VLOOKUP('Données projet'!$B$12,Paramètres!$A$1:$I$89,3,0)*VLOOKUP('Données projet'!$B$12,Paramètres!$A$1:$I$89,5,0)</f>
        <v>159.34464</v>
      </c>
      <c r="CA55" s="13">
        <f t="shared" si="39"/>
        <v>40.694661837553809</v>
      </c>
      <c r="CB55" s="20">
        <f t="shared" si="10"/>
        <v>348.40178403373949</v>
      </c>
      <c r="CC55" s="59">
        <f t="shared" si="11"/>
        <v>604.83706349732279</v>
      </c>
      <c r="CD55" s="59">
        <f ca="1">AVERAGE(OFFSET($CC$3,0,0,'Données projet'!$E$12+1,1))-AVERAGE(OFFSET($H$3,0,0,'Données projet'!$E$12+1,1))</f>
        <v>342.79161436526499</v>
      </c>
      <c r="CE55" s="59">
        <f t="shared" si="40"/>
        <v>315.50730924873733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9.4215172839199326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9.4215172839199326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5.6</v>
      </c>
      <c r="CT55" s="12">
        <f>IF('Données projet'!$A$140&gt;35,CT54+CS55-DB54,IF(A55&lt;'Données projet'!$A$140,$CQ$205^A55,IF(A55='Données projet'!$A$140,'Données projet'!$B$140,CT54+CS55-DB54)))</f>
        <v>118.19999999999995</v>
      </c>
      <c r="CU55" s="17">
        <f>CT55*VLOOKUP('Données projet'!$B$13,Paramètres!$A$1:$I$89,3,0)*VLOOKUP('Données projet'!$B$13,Paramètres!$A$1:$I$89,5,0)</f>
        <v>79.288559999999976</v>
      </c>
      <c r="CV55" s="13">
        <f t="shared" si="41"/>
        <v>21.96314301858018</v>
      </c>
      <c r="CW55" s="20">
        <f t="shared" si="13"/>
        <v>176.34671609069377</v>
      </c>
      <c r="CX55" s="59">
        <f t="shared" si="14"/>
        <v>432.78199555427716</v>
      </c>
      <c r="CY55" s="59">
        <f ca="1">AVERAGE(OFFSET($CX$3,0,0,'Données projet'!$E$13+1,1))-AVERAGE(OFFSET($H$3,0,0,'Données projet'!$E$13+1,1))</f>
        <v>201.84651193684252</v>
      </c>
      <c r="CZ55" s="59">
        <f t="shared" si="42"/>
        <v>138.00705940844708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2.8834180015156754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2.8834180015156754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1.1368683772161603E-13</v>
      </c>
      <c r="DP55" s="17">
        <f>DO55*VLOOKUP('Données projet'!$B$14,Paramètres!$A$1:$I$89,3,0)*VLOOKUP('Données projet'!$B$14,Paramètres!$A$1:$I$89,5,0)</f>
        <v>8.3355189417488869E-14</v>
      </c>
      <c r="DQ55" s="13">
        <f t="shared" si="43"/>
        <v>1.2790518435140618E-12</v>
      </c>
      <c r="DR55" s="20">
        <f t="shared" si="16"/>
        <v>2.3728589156891171E-12</v>
      </c>
      <c r="DS55" s="59">
        <f t="shared" si="17"/>
        <v>256.43527946358574</v>
      </c>
      <c r="DT55" s="59">
        <f ca="1">AVERAGE(OFFSET($DS$3,0,0,'Données projet'!$E$14+1,1))-AVERAGE(OFFSET($H$3,0,0,'Données projet'!$E$14+1,1))</f>
        <v>242.21240859696931</v>
      </c>
      <c r="DU55" s="59">
        <f t="shared" si="44"/>
        <v>340.92165104349192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73.866138070405043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73.866138070405043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5.6</v>
      </c>
      <c r="EJ55" s="12">
        <f>IF('Données projet'!$A$192&gt;35,EJ54+EI55-ER54,IF(A55&lt;'Données projet'!$A$192,$EG$205^A55,IF(A55='Données projet'!$A$192,'Données projet'!$B$192,EJ54+EI55-ER54)))</f>
        <v>118.19999999999995</v>
      </c>
      <c r="EK55" s="17">
        <f>EJ55*VLOOKUP('Données projet'!$B$15,Paramètres!$A$1:$I$89,3,0)*VLOOKUP('Données projet'!$B$15,Paramètres!$A$1:$I$89,5,0)</f>
        <v>114.32303999999995</v>
      </c>
      <c r="EL55" s="13">
        <f t="shared" si="45"/>
        <v>30.347230203330305</v>
      </c>
      <c r="EM55" s="20">
        <f t="shared" si="19"/>
        <v>251.96738727080017</v>
      </c>
      <c r="EN55" s="59">
        <f t="shared" si="20"/>
        <v>508.4026667343835</v>
      </c>
      <c r="EO55" s="59">
        <f ca="1">AVERAGE(OFFSET($EN$3,0,0,'Données projet'!$E$15+1,1))-AVERAGE(OFFSET($H$3,0,0,'Données projet'!$E$15+1,1))</f>
        <v>331.7059599630698</v>
      </c>
      <c r="EP55" s="59">
        <f t="shared" si="46"/>
        <v>173.19148969173838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5.6</v>
      </c>
      <c r="FE55" s="12">
        <f>IF('Données projet'!$A$218&gt;35,FE54+FD55-FM54,IF(A55&lt;'Données projet'!$A$218,$FB$205^A55,IF(A55='Données projet'!$A$218,'Données projet'!$B$218,FE54+FD55-FM54)))</f>
        <v>118.19999999999995</v>
      </c>
      <c r="FF55" s="17">
        <f>FE55*VLOOKUP('Données projet'!$B$16,Paramètres!$A$1:$I$89,3,0)*VLOOKUP('Données projet'!$B$16,Paramètres!$A$1:$I$89,5,0)</f>
        <v>127.23047999999993</v>
      </c>
      <c r="FG55" s="13">
        <f t="shared" si="47"/>
        <v>33.355604737684331</v>
      </c>
      <c r="FH55" s="20">
        <f t="shared" si="22"/>
        <v>279.68743091813337</v>
      </c>
      <c r="FI55" s="59">
        <f t="shared" si="23"/>
        <v>536.12271038171673</v>
      </c>
      <c r="FJ55" s="59">
        <f ca="1">AVERAGE(OFFSET($FI$3,0,0,'Données projet'!$E$16+1,1))-AVERAGE(OFFSET($H$3,0,0,'Données projet'!$E$16+1,1))</f>
        <v>360.86062459677004</v>
      </c>
      <c r="FK55" s="59">
        <f t="shared" si="48"/>
        <v>186.0840067781198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3.7538838132939918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3.7538838132939918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8</v>
      </c>
      <c r="FZ55" s="12">
        <f>IF('Données projet'!$A$244&gt;35,FZ54+FY55-GH54,IF(A55&lt;'Données projet'!$A$244,$FW$205^A55,IF(A55='Données projet'!$A$244,'Données projet'!$B$244,FZ54+FY55-GH54)))</f>
        <v>173</v>
      </c>
      <c r="GA55" s="17">
        <f>FZ55*VLOOKUP('Données projet'!$B$17,Paramètres!$A$1:$I$89,3,0)*VLOOKUP('Données projet'!$B$17,Paramètres!$A$1:$I$89,5,0)</f>
        <v>175.422</v>
      </c>
      <c r="GB55" s="13">
        <f t="shared" si="49"/>
        <v>44.302143412304737</v>
      </c>
      <c r="GC55" s="20">
        <f t="shared" si="25"/>
        <v>382.68621644309741</v>
      </c>
      <c r="GD55" s="59">
        <f t="shared" si="26"/>
        <v>639.12149590668082</v>
      </c>
      <c r="GE55" s="59">
        <f ca="1">AVERAGE(OFFSET($GD$3,0,0,'Données projet'!$E$17+1,1))-AVERAGE(OFFSET($H$3,0,0,'Données projet'!$E$17+1,1))</f>
        <v>448.73339628506784</v>
      </c>
      <c r="GF55" s="59">
        <f t="shared" si="50"/>
        <v>273.35778700650803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6.2773075332081518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6.2773075332081518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</v>
      </c>
      <c r="N56" s="13">
        <f>IF('Données projet'!$A$36&gt;35,N55+M56-V55,IF(A56&lt;'Données projet'!$A$36,$K$205^A56,IF(A56='Données projet'!$A$36,'Données projet'!$B$36,N55+M56-V55)))</f>
        <v>181</v>
      </c>
      <c r="O56" s="13">
        <f>N56*VLOOKUP('Données projet'!$B$9,Paramètres!$A$1:$I$89,3,0)*VLOOKUP('Données projet'!$B$9,Paramètres!$A$1:$I$89,5,0)</f>
        <v>163.7688</v>
      </c>
      <c r="P56" s="13">
        <f t="shared" si="33"/>
        <v>41.691423503509803</v>
      </c>
      <c r="Q56" s="20">
        <f t="shared" si="53"/>
        <v>357.84322260194625</v>
      </c>
      <c r="R56" s="59">
        <f t="shared" si="0"/>
        <v>614.91860080847948</v>
      </c>
      <c r="S56" s="59">
        <f ca="1">AVERAGE(OFFSET($R$3,0,0,'Données projet'!$E$9+1,1))-AVERAGE(OFFSET($H$3,0,0,'Données projet'!$E$9+1,1))</f>
        <v>408.51124670343137</v>
      </c>
      <c r="T56" s="59">
        <f t="shared" si="34"/>
        <v>250.47702091764884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5.4914519223563918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5.4914519223563918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</v>
      </c>
      <c r="AI56" s="13">
        <f>IF('Données projet'!$A$62&gt;35,AI55+AH56-AQ55,IF(A56&lt;'Données projet'!$A$62,$AF$205^A56,IF(A56='Données projet'!$A$62,'Données projet'!$B$62,AI55+AH56-AQ55)))</f>
        <v>219.99999999999977</v>
      </c>
      <c r="AJ56" s="13">
        <f>AI56*VLOOKUP('Données projet'!$B$10,Paramètres!$A$1:$I$89,3,0)*VLOOKUP('Données projet'!$B$10,Paramètres!$A$1:$I$89,5,0)</f>
        <v>175.03199999999984</v>
      </c>
      <c r="AK56" s="13">
        <f t="shared" si="35"/>
        <v>44.215103743190973</v>
      </c>
      <c r="AL56" s="20">
        <f t="shared" si="4"/>
        <v>381.85537235272403</v>
      </c>
      <c r="AM56" s="59">
        <f t="shared" si="5"/>
        <v>638.93075055925726</v>
      </c>
      <c r="AN56" s="59">
        <f ca="1">AVERAGE(OFFSET($AM$3,0,0,'Données projet'!$E$10+1,1))-AVERAGE(OFFSET($H$3,0,0,'Données projet'!$E$10+1,1))</f>
        <v>327.22763817565902</v>
      </c>
      <c r="AO56" s="59">
        <f t="shared" si="36"/>
        <v>311.68541696405975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8.7114669389355441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8.7114669389355441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2.8421709430404007E-14</v>
      </c>
      <c r="BE56" s="13">
        <f>BD56*VLOOKUP('Données projet'!$B$11,Paramètres!$A$1:$I$89,3,0)*VLOOKUP('Données projet'!$B$11,Paramètres!$A$1:$I$89,5,0)</f>
        <v>1.8178525351686402E-14</v>
      </c>
      <c r="BF56" s="13">
        <f t="shared" si="37"/>
        <v>3.3304129621647644E-13</v>
      </c>
      <c r="BG56" s="20">
        <f t="shared" si="7"/>
        <v>6.1170785589788349E-13</v>
      </c>
      <c r="BH56" s="59">
        <f t="shared" si="8"/>
        <v>257.07537820653386</v>
      </c>
      <c r="BI56" s="59">
        <f ca="1">AVERAGE(OFFSET($BH$3,0,0,'Données projet'!$E$11+1,1))-AVERAGE(OFFSET($H$3,0,0,'Données projet'!$E$11+1,1))</f>
        <v>169.46470423366029</v>
      </c>
      <c r="BJ56" s="59">
        <f t="shared" si="38"/>
        <v>230.78141128389288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38.426681026338443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38.426681026338443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6.2</v>
      </c>
      <c r="BY56" s="12">
        <f>IF('Données projet'!$A$114&gt;35,BY55+BX56-CG55,IF(A56&lt;'Données projet'!$A$114,$BV$205^A56,IF(A56='Données projet'!$A$114,'Données projet'!$B$114,BY55+BX56-CG55)))</f>
        <v>188.59999999999997</v>
      </c>
      <c r="BZ56" s="13">
        <f>BY56*VLOOKUP('Données projet'!$B$12,Paramètres!$A$1:$I$89,3,0)*VLOOKUP('Données projet'!$B$12,Paramètres!$A$1:$I$89,5,0)</f>
        <v>164.76095999999998</v>
      </c>
      <c r="CA56" s="13">
        <f t="shared" si="39"/>
        <v>41.91452380971991</v>
      </c>
      <c r="CB56" s="20">
        <f t="shared" si="10"/>
        <v>359.9598009685954</v>
      </c>
      <c r="CC56" s="59">
        <f t="shared" si="11"/>
        <v>617.03517917512863</v>
      </c>
      <c r="CD56" s="59">
        <f ca="1">AVERAGE(OFFSET($CC$3,0,0,'Données projet'!$E$12+1,1))-AVERAGE(OFFSET($H$3,0,0,'Données projet'!$E$12+1,1))</f>
        <v>342.79161436526499</v>
      </c>
      <c r="CE56" s="59">
        <f t="shared" si="40"/>
        <v>315.50730924873733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9.2367670765403798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9.2367670765403798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5.6</v>
      </c>
      <c r="CT56" s="12">
        <f>IF('Données projet'!$A$140&gt;35,CT55+CS56-DB55,IF(A56&lt;'Données projet'!$A$140,$CQ$205^A56,IF(A56='Données projet'!$A$140,'Données projet'!$B$140,CT55+CS56-DB55)))</f>
        <v>123.79999999999994</v>
      </c>
      <c r="CU56" s="17">
        <f>CT56*VLOOKUP('Données projet'!$B$13,Paramètres!$A$1:$I$89,3,0)*VLOOKUP('Données projet'!$B$13,Paramètres!$A$1:$I$89,5,0)</f>
        <v>83.045039999999958</v>
      </c>
      <c r="CV56" s="13">
        <f t="shared" si="41"/>
        <v>22.880085812976201</v>
      </c>
      <c r="CW56" s="20">
        <f t="shared" si="13"/>
        <v>184.48626079093347</v>
      </c>
      <c r="CX56" s="59">
        <f t="shared" si="14"/>
        <v>441.56163899746673</v>
      </c>
      <c r="CY56" s="59">
        <f ca="1">AVERAGE(OFFSET($CX$3,0,0,'Données projet'!$E$13+1,1))-AVERAGE(OFFSET($H$3,0,0,'Données projet'!$E$13+1,1))</f>
        <v>201.84651193684252</v>
      </c>
      <c r="CZ56" s="59">
        <f t="shared" si="42"/>
        <v>138.00705940844708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2.8268759332172757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2.8268759332172757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1.1368683772161603E-13</v>
      </c>
      <c r="DP56" s="17">
        <f>DO56*VLOOKUP('Données projet'!$B$14,Paramètres!$A$1:$I$89,3,0)*VLOOKUP('Données projet'!$B$14,Paramètres!$A$1:$I$89,5,0)</f>
        <v>8.3355189417488869E-14</v>
      </c>
      <c r="DQ56" s="13">
        <f t="shared" si="43"/>
        <v>1.2790518435140618E-12</v>
      </c>
      <c r="DR56" s="20">
        <f t="shared" si="16"/>
        <v>2.3728589156891171E-12</v>
      </c>
      <c r="DS56" s="59">
        <f t="shared" si="17"/>
        <v>257.07537820653562</v>
      </c>
      <c r="DT56" s="59">
        <f ca="1">AVERAGE(OFFSET($DS$3,0,0,'Données projet'!$E$14+1,1))-AVERAGE(OFFSET($H$3,0,0,'Données projet'!$E$14+1,1))</f>
        <v>242.21240859696931</v>
      </c>
      <c r="DU56" s="59">
        <f t="shared" si="44"/>
        <v>340.92165104349192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72.417668156739921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72.417668156739921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5.6</v>
      </c>
      <c r="EJ56" s="12">
        <f>IF('Données projet'!$A$192&gt;35,EJ55+EI56-ER55,IF(A56&lt;'Données projet'!$A$192,$EG$205^A56,IF(A56='Données projet'!$A$192,'Données projet'!$B$192,EJ55+EI56-ER55)))</f>
        <v>123.79999999999994</v>
      </c>
      <c r="EK56" s="17">
        <f>EJ56*VLOOKUP('Données projet'!$B$15,Paramètres!$A$1:$I$89,3,0)*VLOOKUP('Données projet'!$B$15,Paramètres!$A$1:$I$89,5,0)</f>
        <v>119.73935999999993</v>
      </c>
      <c r="EL56" s="13">
        <f t="shared" si="45"/>
        <v>31.614201603611228</v>
      </c>
      <c r="EM56" s="20">
        <f t="shared" si="19"/>
        <v>263.60745312628939</v>
      </c>
      <c r="EN56" s="59">
        <f t="shared" si="20"/>
        <v>520.68283133282262</v>
      </c>
      <c r="EO56" s="59">
        <f ca="1">AVERAGE(OFFSET($EN$3,0,0,'Données projet'!$E$15+1,1))-AVERAGE(OFFSET($H$3,0,0,'Données projet'!$E$15+1,1))</f>
        <v>331.7059599630698</v>
      </c>
      <c r="EP56" s="59">
        <f t="shared" si="46"/>
        <v>173.19148969173838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5.6</v>
      </c>
      <c r="FE56" s="12">
        <f>IF('Données projet'!$A$218&gt;35,FE55+FD56-FM55,IF(A56&lt;'Données projet'!$A$218,$FB$205^A56,IF(A56='Données projet'!$A$218,'Données projet'!$B$218,FE55+FD56-FM55)))</f>
        <v>123.79999999999994</v>
      </c>
      <c r="FF56" s="17">
        <f>FE56*VLOOKUP('Données projet'!$B$16,Paramètres!$A$1:$I$89,3,0)*VLOOKUP('Données projet'!$B$16,Paramètres!$A$1:$I$89,5,0)</f>
        <v>133.25831999999994</v>
      </c>
      <c r="FG56" s="13">
        <f t="shared" si="47"/>
        <v>34.748173250809565</v>
      </c>
      <c r="FH56" s="20">
        <f t="shared" si="22"/>
        <v>292.61130907849321</v>
      </c>
      <c r="FI56" s="59">
        <f t="shared" si="23"/>
        <v>549.68668728502644</v>
      </c>
      <c r="FJ56" s="59">
        <f ca="1">AVERAGE(OFFSET($FI$3,0,0,'Données projet'!$E$16+1,1))-AVERAGE(OFFSET($H$3,0,0,'Données projet'!$E$16+1,1))</f>
        <v>360.86062459677004</v>
      </c>
      <c r="FK56" s="59">
        <f t="shared" si="48"/>
        <v>186.0840067781198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3.6802724413583392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3.6802724413583392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8</v>
      </c>
      <c r="FZ56" s="12">
        <f>IF('Données projet'!$A$244&gt;35,FZ55+FY56-GH55,IF(A56&lt;'Données projet'!$A$244,$FW$205^A56,IF(A56='Données projet'!$A$244,'Données projet'!$B$244,FZ55+FY56-GH55)))</f>
        <v>181</v>
      </c>
      <c r="GA56" s="17">
        <f>FZ56*VLOOKUP('Données projet'!$B$17,Paramètres!$A$1:$I$89,3,0)*VLOOKUP('Données projet'!$B$17,Paramètres!$A$1:$I$89,5,0)</f>
        <v>183.53400000000002</v>
      </c>
      <c r="GB56" s="13">
        <f t="shared" si="49"/>
        <v>46.107544136839593</v>
      </c>
      <c r="GC56" s="20">
        <f t="shared" si="25"/>
        <v>399.95902270499568</v>
      </c>
      <c r="GD56" s="59">
        <f t="shared" si="26"/>
        <v>657.03440091152891</v>
      </c>
      <c r="GE56" s="59">
        <f ca="1">AVERAGE(OFFSET($GD$3,0,0,'Données projet'!$E$17+1,1))-AVERAGE(OFFSET($H$3,0,0,'Données projet'!$E$17+1,1))</f>
        <v>448.73339628506784</v>
      </c>
      <c r="GF56" s="59">
        <f t="shared" si="50"/>
        <v>273.35778700650803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6.1542133612614744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6.1542133612614744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</v>
      </c>
      <c r="N57" s="13">
        <f>IF('Données projet'!$A$36&gt;35,N56+M57-V56,IF(A57&lt;'Données projet'!$A$36,$K$205^A57,IF(A57='Données projet'!$A$36,'Données projet'!$B$36,N56+M57-V56)))</f>
        <v>189</v>
      </c>
      <c r="O57" s="13">
        <f>N57*VLOOKUP('Données projet'!$B$9,Paramètres!$A$1:$I$89,3,0)*VLOOKUP('Données projet'!$B$9,Paramètres!$A$1:$I$89,5,0)</f>
        <v>171.00719999999998</v>
      </c>
      <c r="P57" s="13">
        <f t="shared" si="33"/>
        <v>43.315525267338089</v>
      </c>
      <c r="Q57" s="20">
        <f t="shared" si="53"/>
        <v>373.27874650728046</v>
      </c>
      <c r="R57" s="59">
        <f t="shared" si="0"/>
        <v>630.98311917461979</v>
      </c>
      <c r="S57" s="59">
        <f ca="1">AVERAGE(OFFSET($R$3,0,0,'Données projet'!$E$9+1,1))-AVERAGE(OFFSET($H$3,0,0,'Données projet'!$E$9+1,1))</f>
        <v>408.51124670343137</v>
      </c>
      <c r="T57" s="59">
        <f t="shared" si="34"/>
        <v>250.47702091764884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5.3837678996139244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5.3837678996139244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</v>
      </c>
      <c r="AI57" s="13">
        <f>IF('Données projet'!$A$62&gt;35,AI56+AH57-AQ56,IF(A57&lt;'Données projet'!$A$62,$AF$205^A57,IF(A57='Données projet'!$A$62,'Données projet'!$B$62,AI56+AH57-AQ56)))</f>
        <v>225.99999999999977</v>
      </c>
      <c r="AJ57" s="13">
        <f>AI57*VLOOKUP('Données projet'!$B$10,Paramètres!$A$1:$I$89,3,0)*VLOOKUP('Données projet'!$B$10,Paramètres!$A$1:$I$89,5,0)</f>
        <v>179.80559999999983</v>
      </c>
      <c r="AK57" s="13">
        <f t="shared" si="35"/>
        <v>45.278933028529949</v>
      </c>
      <c r="AL57" s="20">
        <f t="shared" si="4"/>
        <v>392.02222835802269</v>
      </c>
      <c r="AM57" s="59">
        <f t="shared" si="5"/>
        <v>649.72660102536202</v>
      </c>
      <c r="AN57" s="59">
        <f ca="1">AVERAGE(OFFSET($AM$3,0,0,'Données projet'!$E$10+1,1))-AVERAGE(OFFSET($H$3,0,0,'Données projet'!$E$10+1,1))</f>
        <v>327.22763817565902</v>
      </c>
      <c r="AO57" s="59">
        <f t="shared" si="36"/>
        <v>311.68541696405975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8.5406403857331892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8.5406403857331892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2.8421709430404007E-14</v>
      </c>
      <c r="BE57" s="13">
        <f>BD57*VLOOKUP('Données projet'!$B$11,Paramètres!$A$1:$I$89,3,0)*VLOOKUP('Données projet'!$B$11,Paramètres!$A$1:$I$89,5,0)</f>
        <v>1.8178525351686402E-14</v>
      </c>
      <c r="BF57" s="13">
        <f t="shared" si="37"/>
        <v>3.3304129621647644E-13</v>
      </c>
      <c r="BG57" s="20">
        <f t="shared" si="7"/>
        <v>6.1170785589788349E-13</v>
      </c>
      <c r="BH57" s="59">
        <f t="shared" si="8"/>
        <v>257.70437266733995</v>
      </c>
      <c r="BI57" s="59">
        <f ca="1">AVERAGE(OFFSET($BH$3,0,0,'Données projet'!$E$11+1,1))-AVERAGE(OFFSET($H$3,0,0,'Données projet'!$E$11+1,1))</f>
        <v>169.46470423366029</v>
      </c>
      <c r="BJ57" s="59">
        <f t="shared" si="38"/>
        <v>230.78141128389288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37.673157249373062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37.673157249373062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6.2</v>
      </c>
      <c r="BY57" s="12">
        <f>IF('Données projet'!$A$114&gt;35,BY56+BX57-CG56,IF(A57&lt;'Données projet'!$A$114,$BV$205^A57,IF(A57='Données projet'!$A$114,'Données projet'!$B$114,BY56+BX57-CG56)))</f>
        <v>194.79999999999995</v>
      </c>
      <c r="BZ57" s="13">
        <f>BY57*VLOOKUP('Données projet'!$B$12,Paramètres!$A$1:$I$89,3,0)*VLOOKUP('Données projet'!$B$12,Paramètres!$A$1:$I$89,5,0)</f>
        <v>170.17727999999997</v>
      </c>
      <c r="CA57" s="13">
        <f t="shared" si="39"/>
        <v>43.129725999134628</v>
      </c>
      <c r="CB57" s="20">
        <f t="shared" si="10"/>
        <v>371.50970211515937</v>
      </c>
      <c r="CC57" s="59">
        <f t="shared" si="11"/>
        <v>629.21407478249876</v>
      </c>
      <c r="CD57" s="59">
        <f ca="1">AVERAGE(OFFSET($CC$3,0,0,'Données projet'!$E$12+1,1))-AVERAGE(OFFSET($H$3,0,0,'Données projet'!$E$12+1,1))</f>
        <v>342.79161436526499</v>
      </c>
      <c r="CE57" s="59">
        <f t="shared" si="40"/>
        <v>315.50730924873733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9.0556397080410402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9.0556397080410402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5.6</v>
      </c>
      <c r="CT57" s="12">
        <f>IF('Données projet'!$A$140&gt;35,CT56+CS57-DB56,IF(A57&lt;'Données projet'!$A$140,$CQ$205^A57,IF(A57='Données projet'!$A$140,'Données projet'!$B$140,CT56+CS57-DB56)))</f>
        <v>129.39999999999995</v>
      </c>
      <c r="CU57" s="17">
        <f>CT57*VLOOKUP('Données projet'!$B$13,Paramètres!$A$1:$I$89,3,0)*VLOOKUP('Données projet'!$B$13,Paramètres!$A$1:$I$89,5,0)</f>
        <v>86.801519999999968</v>
      </c>
      <c r="CV57" s="13">
        <f t="shared" si="41"/>
        <v>23.792211612480088</v>
      </c>
      <c r="CW57" s="20">
        <f t="shared" si="13"/>
        <v>192.6174158917361</v>
      </c>
      <c r="CX57" s="59">
        <f t="shared" si="14"/>
        <v>450.32178855907546</v>
      </c>
      <c r="CY57" s="59">
        <f ca="1">AVERAGE(OFFSET($CX$3,0,0,'Données projet'!$E$13+1,1))-AVERAGE(OFFSET($H$3,0,0,'Données projet'!$E$13+1,1))</f>
        <v>201.84651193684252</v>
      </c>
      <c r="CZ57" s="59">
        <f t="shared" si="42"/>
        <v>138.00705940844708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2.771442620390951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2.771442620390951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1.1368683772161603E-13</v>
      </c>
      <c r="DP57" s="17">
        <f>DO57*VLOOKUP('Données projet'!$B$14,Paramètres!$A$1:$I$89,3,0)*VLOOKUP('Données projet'!$B$14,Paramètres!$A$1:$I$89,5,0)</f>
        <v>8.3355189417488869E-14</v>
      </c>
      <c r="DQ57" s="13">
        <f t="shared" si="43"/>
        <v>1.2790518435140618E-12</v>
      </c>
      <c r="DR57" s="20">
        <f t="shared" si="16"/>
        <v>2.3728589156891171E-12</v>
      </c>
      <c r="DS57" s="59">
        <f t="shared" si="17"/>
        <v>257.70437266734172</v>
      </c>
      <c r="DT57" s="59">
        <f ca="1">AVERAGE(OFFSET($DS$3,0,0,'Données projet'!$E$14+1,1))-AVERAGE(OFFSET($H$3,0,0,'Données projet'!$E$14+1,1))</f>
        <v>242.21240859696931</v>
      </c>
      <c r="DU57" s="59">
        <f t="shared" si="44"/>
        <v>340.92165104349192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70.997601854602365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70.997601854602365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5.6</v>
      </c>
      <c r="EJ57" s="12">
        <f>IF('Données projet'!$A$192&gt;35,EJ56+EI57-ER56,IF(A57&lt;'Données projet'!$A$192,$EG$205^A57,IF(A57='Données projet'!$A$192,'Données projet'!$B$192,EJ56+EI57-ER56)))</f>
        <v>129.39999999999995</v>
      </c>
      <c r="EK57" s="17">
        <f>EJ57*VLOOKUP('Données projet'!$B$15,Paramètres!$A$1:$I$89,3,0)*VLOOKUP('Données projet'!$B$15,Paramètres!$A$1:$I$89,5,0)</f>
        <v>125.15567999999995</v>
      </c>
      <c r="EL57" s="13">
        <f t="shared" si="45"/>
        <v>32.874517196353331</v>
      </c>
      <c r="EM57" s="20">
        <f t="shared" si="19"/>
        <v>275.23592678364861</v>
      </c>
      <c r="EN57" s="59">
        <f t="shared" si="20"/>
        <v>532.94029945098794</v>
      </c>
      <c r="EO57" s="59">
        <f ca="1">AVERAGE(OFFSET($EN$3,0,0,'Données projet'!$E$15+1,1))-AVERAGE(OFFSET($H$3,0,0,'Données projet'!$E$15+1,1))</f>
        <v>331.7059599630698</v>
      </c>
      <c r="EP57" s="59">
        <f t="shared" si="46"/>
        <v>173.19148969173838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5.6</v>
      </c>
      <c r="FE57" s="12">
        <f>IF('Données projet'!$A$218&gt;35,FE56+FD57-FM56,IF(A57&lt;'Données projet'!$A$218,$FB$205^A57,IF(A57='Données projet'!$A$218,'Données projet'!$B$218,FE56+FD57-FM56)))</f>
        <v>129.39999999999995</v>
      </c>
      <c r="FF57" s="17">
        <f>FE57*VLOOKUP('Données projet'!$B$16,Paramètres!$A$1:$I$89,3,0)*VLOOKUP('Données projet'!$B$16,Paramètres!$A$1:$I$89,5,0)</f>
        <v>139.28615999999994</v>
      </c>
      <c r="FG57" s="13">
        <f t="shared" si="47"/>
        <v>36.133426154438062</v>
      </c>
      <c r="FH57" s="20">
        <f t="shared" si="22"/>
        <v>305.52244588564616</v>
      </c>
      <c r="FI57" s="59">
        <f t="shared" si="23"/>
        <v>563.22681855298549</v>
      </c>
      <c r="FJ57" s="59">
        <f ca="1">AVERAGE(OFFSET($FI$3,0,0,'Données projet'!$E$16+1,1))-AVERAGE(OFFSET($H$3,0,0,'Données projet'!$E$16+1,1))</f>
        <v>360.86062459677004</v>
      </c>
      <c r="FK57" s="59">
        <f t="shared" si="48"/>
        <v>186.0840067781198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3.6081045435278414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3.6081045435278414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8</v>
      </c>
      <c r="FZ57" s="12">
        <f>IF('Données projet'!$A$244&gt;35,FZ56+FY57-GH56,IF(A57&lt;'Données projet'!$A$244,$FW$205^A57,IF(A57='Données projet'!$A$244,'Données projet'!$B$244,FZ56+FY57-GH56)))</f>
        <v>189</v>
      </c>
      <c r="GA57" s="17">
        <f>FZ57*VLOOKUP('Données projet'!$B$17,Paramètres!$A$1:$I$89,3,0)*VLOOKUP('Données projet'!$B$17,Paramètres!$A$1:$I$89,5,0)</f>
        <v>191.64600000000002</v>
      </c>
      <c r="GB57" s="13">
        <f t="shared" si="49"/>
        <v>47.903677189291635</v>
      </c>
      <c r="GC57" s="20">
        <f t="shared" si="25"/>
        <v>417.21568777134962</v>
      </c>
      <c r="GD57" s="59">
        <f t="shared" si="26"/>
        <v>674.92006043868901</v>
      </c>
      <c r="GE57" s="59">
        <f ca="1">AVERAGE(OFFSET($GD$3,0,0,'Données projet'!$E$17+1,1))-AVERAGE(OFFSET($H$3,0,0,'Données projet'!$E$17+1,1))</f>
        <v>448.73339628506784</v>
      </c>
      <c r="GF57" s="59">
        <f t="shared" si="50"/>
        <v>273.35778700650803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6.0335329909466404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6.0335329909466404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197</v>
      </c>
      <c r="L58" s="12">
        <f>VLOOKUP(A58,'Données projet'!$A$35:$I$55,9,0)</f>
        <v>8</v>
      </c>
      <c r="M58" s="12">
        <f t="array" ref="M58">INDEX(L:L,MIN(IF(ISNUMBER(L58:L254),ROW(L58:L254),"")))</f>
        <v>8</v>
      </c>
      <c r="N58" s="13">
        <f>IF('Données projet'!$A$36&gt;35,N57+M58-V57,IF(A58&lt;'Données projet'!$A$36,$K$205^A58,IF(A58='Données projet'!$A$36,'Données projet'!$B$36,N57+M58-V57)))</f>
        <v>197</v>
      </c>
      <c r="O58" s="13">
        <f>N58*VLOOKUP('Données projet'!$B$9,Paramètres!$A$1:$I$89,3,0)*VLOOKUP('Données projet'!$B$9,Paramètres!$A$1:$I$89,5,0)</f>
        <v>178.2456</v>
      </c>
      <c r="P58" s="13">
        <f t="shared" si="33"/>
        <v>44.931642269910427</v>
      </c>
      <c r="Q58" s="20">
        <f t="shared" si="53"/>
        <v>388.70036362009404</v>
      </c>
      <c r="R58" s="59">
        <f t="shared" si="0"/>
        <v>647.02281910056536</v>
      </c>
      <c r="S58" s="59">
        <f ca="1">AVERAGE(OFFSET($R$3,0,0,'Données projet'!$E$9+1,1))-AVERAGE(OFFSET($H$3,0,0,'Données projet'!$E$9+1,1))</f>
        <v>408.51124670343137</v>
      </c>
      <c r="T58" s="59">
        <f t="shared" si="34"/>
        <v>250.47702091764884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21</v>
      </c>
      <c r="W58" s="16">
        <f>IF(ISNA(VLOOKUP(A58,'Données projet'!$A$35:$I$55,5,0)),0%,VLOOKUP(A58,'Données projet'!$A$35:$I$55,5,0)*VLOOKUP('Données projet'!$B$9,Paramètres!$A$1:$I$89,7,0))</f>
        <v>0.129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7.9878174796550976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7.9878174796550976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232</v>
      </c>
      <c r="AG58" s="12">
        <f>VLOOKUP(A58,'Données projet'!$A$61:$I$81,9,0)</f>
        <v>6</v>
      </c>
      <c r="AH58" s="12">
        <f t="array" ref="AH58">INDEX(AG:AG,MIN(IF(ISNUMBER(AG58:AG254),ROW(AG58:AG254),"")))</f>
        <v>6</v>
      </c>
      <c r="AI58" s="13">
        <f>IF('Données projet'!$A$62&gt;35,AI57+AH58-AQ57,IF(A58&lt;'Données projet'!$A$62,$AF$205^A58,IF(A58='Données projet'!$A$62,'Données projet'!$B$62,AI57+AH58-AQ57)))</f>
        <v>231.99999999999977</v>
      </c>
      <c r="AJ58" s="13">
        <f>AI58*VLOOKUP('Données projet'!$B$10,Paramètres!$A$1:$I$89,3,0)*VLOOKUP('Données projet'!$B$10,Paramètres!$A$1:$I$89,5,0)</f>
        <v>184.57919999999982</v>
      </c>
      <c r="AK58" s="13">
        <f t="shared" si="35"/>
        <v>46.339479465836583</v>
      </c>
      <c r="AL58" s="20">
        <f t="shared" si="4"/>
        <v>402.18336673633172</v>
      </c>
      <c r="AM58" s="59">
        <f t="shared" si="5"/>
        <v>660.50582221680315</v>
      </c>
      <c r="AN58" s="59">
        <f ca="1">AVERAGE(OFFSET($AM$3,0,0,'Données projet'!$E$10+1,1))-AVERAGE(OFFSET($H$3,0,0,'Données projet'!$E$10+1,1))</f>
        <v>327.22763817565902</v>
      </c>
      <c r="AO58" s="59">
        <f t="shared" si="36"/>
        <v>311.68541696405975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13</v>
      </c>
      <c r="AR58" s="16">
        <f>IF(ISNA(VLOOKUP(A58,'Données projet'!$A$61:$I$81,5,0)),0%,VLOOKUP(A58,'Données projet'!$A$61:$I$81,5,0)*VLOOKUP('Données projet'!$B$10,Paramètres!$A$1:$I$89,7,0))</f>
        <v>0.21200000000000002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10.797099353829104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10.797099353829104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2.8421709430404007E-14</v>
      </c>
      <c r="BE58" s="13">
        <f>BD58*VLOOKUP('Données projet'!$B$11,Paramètres!$A$1:$I$89,3,0)*VLOOKUP('Données projet'!$B$11,Paramètres!$A$1:$I$89,5,0)</f>
        <v>1.8178525351686402E-14</v>
      </c>
      <c r="BF58" s="13">
        <f t="shared" si="37"/>
        <v>3.3304129621647644E-13</v>
      </c>
      <c r="BG58" s="20">
        <f t="shared" si="7"/>
        <v>6.1170785589788349E-13</v>
      </c>
      <c r="BH58" s="59">
        <f t="shared" si="8"/>
        <v>258.322455480472</v>
      </c>
      <c r="BI58" s="59">
        <f ca="1">AVERAGE(OFFSET($BH$3,0,0,'Données projet'!$E$11+1,1))-AVERAGE(OFFSET($H$3,0,0,'Données projet'!$E$11+1,1))</f>
        <v>169.46470423366029</v>
      </c>
      <c r="BJ58" s="59">
        <f t="shared" si="38"/>
        <v>230.78141128389288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36.934409614069857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36.934409614069857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201</v>
      </c>
      <c r="BW58" s="12">
        <f>VLOOKUP(A58,'Données projet'!$A$113:$I$133,9,0)</f>
        <v>6.2</v>
      </c>
      <c r="BX58" s="12">
        <f t="array" ref="BX58">INDEX(BW:BW,MIN(IF(ISNUMBER(BW58:BW254),ROW(BW58:BW254),"")))</f>
        <v>6.2</v>
      </c>
      <c r="BY58" s="12">
        <f>IF('Données projet'!$A$114&gt;35,BY57+BX58-CG57,IF(A58&lt;'Données projet'!$A$114,$BV$205^A58,IF(A58='Données projet'!$A$114,'Données projet'!$B$114,BY57+BX58-CG57)))</f>
        <v>200.99999999999994</v>
      </c>
      <c r="BZ58" s="13">
        <f>BY58*VLOOKUP('Données projet'!$B$12,Paramètres!$A$1:$I$89,3,0)*VLOOKUP('Données projet'!$B$12,Paramètres!$A$1:$I$89,5,0)</f>
        <v>175.59359999999995</v>
      </c>
      <c r="CA58" s="13">
        <f t="shared" si="39"/>
        <v>44.340433728638573</v>
      </c>
      <c r="CB58" s="20">
        <f t="shared" si="10"/>
        <v>383.05177541071203</v>
      </c>
      <c r="CC58" s="59">
        <f t="shared" si="11"/>
        <v>641.3742308911834</v>
      </c>
      <c r="CD58" s="59">
        <f ca="1">AVERAGE(OFFSET($CC$3,0,0,'Données projet'!$E$12+1,1))-AVERAGE(OFFSET($H$3,0,0,'Données projet'!$E$12+1,1))</f>
        <v>342.79161436526499</v>
      </c>
      <c r="CE58" s="59">
        <f t="shared" si="40"/>
        <v>315.50730924873733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20</v>
      </c>
      <c r="CH58" s="16">
        <f>IF(ISNA(VLOOKUP(A58,'Données projet'!$A$113:$I$133,5,0)),0%,VLOOKUP(A58,'Données projet'!$A$113:$I$133,5,0)*VLOOKUP('Données projet'!$B$12,Paramètres!$A$1:$I$89,7,0))</f>
        <v>0.17200000000000001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12.200206033807538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12.200206033807538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135</v>
      </c>
      <c r="CR58" s="12">
        <f>VLOOKUP(A58,'Données projet'!$A$139:$I$159,9,0)</f>
        <v>5.6</v>
      </c>
      <c r="CS58" s="12">
        <f t="array" ref="CS58">INDEX(CR:CR,MIN(IF(ISNUMBER(CR58:CR254),ROW(CR58:CR254),"")))</f>
        <v>5.6</v>
      </c>
      <c r="CT58" s="12">
        <f>IF('Données projet'!$A$140&gt;35,CT57+CS58-DB57,IF(A58&lt;'Données projet'!$A$140,$CQ$205^A58,IF(A58='Données projet'!$A$140,'Données projet'!$B$140,CT57+CS58-DB57)))</f>
        <v>134.99999999999994</v>
      </c>
      <c r="CU58" s="17">
        <f>CT58*VLOOKUP('Données projet'!$B$13,Paramètres!$A$1:$I$89,3,0)*VLOOKUP('Données projet'!$B$13,Paramètres!$A$1:$I$89,5,0)</f>
        <v>90.557999999999964</v>
      </c>
      <c r="CV58" s="13">
        <f t="shared" si="41"/>
        <v>24.699752708509138</v>
      </c>
      <c r="CW58" s="20">
        <f t="shared" si="13"/>
        <v>200.74058596732002</v>
      </c>
      <c r="CX58" s="59">
        <f t="shared" si="14"/>
        <v>459.06304144779142</v>
      </c>
      <c r="CY58" s="59">
        <f ca="1">AVERAGE(OFFSET($CX$3,0,0,'Données projet'!$E$13+1,1))-AVERAGE(OFFSET($H$3,0,0,'Données projet'!$E$13+1,1))</f>
        <v>201.84651193684252</v>
      </c>
      <c r="CZ58" s="59">
        <f t="shared" si="42"/>
        <v>138.00705940844708</v>
      </c>
      <c r="DA58" s="15">
        <f>IF(ISNA(VLOOKUP(A58,'Données projet'!$A$139:$I$159,3,0)),0,VLOOKUP(A58,'Données projet'!$A$139:$I$159,3,0))</f>
        <v>7</v>
      </c>
      <c r="DB58" s="15">
        <f>IF(ISNA(VLOOKUP(A58,'Données projet'!$A$139:$I$159,4,0)),0,VLOOKUP(A58,'Données projet'!$A$139:$I$159,4,0))</f>
        <v>14</v>
      </c>
      <c r="DC58" s="16">
        <f>IF(ISNA(VLOOKUP(A58,'Données projet'!$A$139:$I$159,5,0)),0%,VLOOKUP(A58,'Données projet'!$A$139:$I$159,5,0)*VLOOKUP('Données projet'!$B$13,Paramètres!$A$1:$I$89,7,0))</f>
        <v>0.159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4.3677855761130733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4.3677855761130733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1.1368683772161603E-13</v>
      </c>
      <c r="DP58" s="17">
        <f>DO58*VLOOKUP('Données projet'!$B$14,Paramètres!$A$1:$I$89,3,0)*VLOOKUP('Données projet'!$B$14,Paramètres!$A$1:$I$89,5,0)</f>
        <v>8.3355189417488869E-14</v>
      </c>
      <c r="DQ58" s="13">
        <f t="shared" si="43"/>
        <v>1.2790518435140618E-12</v>
      </c>
      <c r="DR58" s="20">
        <f t="shared" si="16"/>
        <v>2.3728589156891171E-12</v>
      </c>
      <c r="DS58" s="59">
        <f t="shared" si="17"/>
        <v>258.32245548047376</v>
      </c>
      <c r="DT58" s="59">
        <f ca="1">AVERAGE(OFFSET($DS$3,0,0,'Données projet'!$E$14+1,1))-AVERAGE(OFFSET($H$3,0,0,'Données projet'!$E$14+1,1))</f>
        <v>242.21240859696931</v>
      </c>
      <c r="DU58" s="59">
        <f t="shared" si="44"/>
        <v>340.92165104349192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69.605382186494808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69.605382186494808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135</v>
      </c>
      <c r="EH58" s="12">
        <f>VLOOKUP(A58,'Données projet'!$A$191:$I$211,9,0)</f>
        <v>5.6</v>
      </c>
      <c r="EI58" s="12">
        <f t="array" ref="EI58">INDEX(EH:EH,MIN(IF(ISNUMBER(EH58:EH254),ROW(EH58:EH254),"")))</f>
        <v>5.6</v>
      </c>
      <c r="EJ58" s="12">
        <f>IF('Données projet'!$A$192&gt;35,EJ57+EI58-ER57,IF(A58&lt;'Données projet'!$A$192,$EG$205^A58,IF(A58='Données projet'!$A$192,'Données projet'!$B$192,EJ57+EI58-ER57)))</f>
        <v>134.99999999999994</v>
      </c>
      <c r="EK58" s="17">
        <f>EJ58*VLOOKUP('Données projet'!$B$15,Paramètres!$A$1:$I$89,3,0)*VLOOKUP('Données projet'!$B$15,Paramètres!$A$1:$I$89,5,0)</f>
        <v>130.57199999999995</v>
      </c>
      <c r="EL58" s="13">
        <f t="shared" si="45"/>
        <v>34.12849794659828</v>
      </c>
      <c r="EM58" s="20">
        <f t="shared" si="19"/>
        <v>286.85336725699193</v>
      </c>
      <c r="EN58" s="59">
        <f t="shared" si="20"/>
        <v>545.17582273746325</v>
      </c>
      <c r="EO58" s="59">
        <f ca="1">AVERAGE(OFFSET($EN$3,0,0,'Données projet'!$E$15+1,1))-AVERAGE(OFFSET($H$3,0,0,'Données projet'!$E$15+1,1))</f>
        <v>331.7059599630698</v>
      </c>
      <c r="EP58" s="59">
        <f t="shared" si="46"/>
        <v>173.19148969173838</v>
      </c>
      <c r="EQ58" s="15">
        <f>IF(ISNA(VLOOKUP(A58,'Données projet'!$A$191:$I$211,3,0)),0,VLOOKUP(A58,'Données projet'!$A$191:$I$211,3,0))</f>
        <v>7</v>
      </c>
      <c r="ER58" s="15">
        <f>IF(ISNA(VLOOKUP(A58,'Données projet'!$A$191:$I$211,4,0)),0,VLOOKUP(A58,'Données projet'!$A$191:$I$211,4,0))</f>
        <v>14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135</v>
      </c>
      <c r="FC58" s="12">
        <f>VLOOKUP(A58,'Données projet'!$A$217:$I$237,9,0)</f>
        <v>5.6</v>
      </c>
      <c r="FD58" s="12">
        <f t="array" ref="FD58">INDEX(FC:FC,MIN(IF(ISNUMBER(FC58:FC254),ROW(FC58:FC254),"")))</f>
        <v>5.6</v>
      </c>
      <c r="FE58" s="12">
        <f>IF('Données projet'!$A$218&gt;35,FE57+FD58-FM57,IF(A58&lt;'Données projet'!$A$218,$FB$205^A58,IF(A58='Données projet'!$A$218,'Données projet'!$B$218,FE57+FD58-FM57)))</f>
        <v>134.99999999999994</v>
      </c>
      <c r="FF58" s="17">
        <f>FE58*VLOOKUP('Données projet'!$B$16,Paramètres!$A$1:$I$89,3,0)*VLOOKUP('Données projet'!$B$16,Paramètres!$A$1:$I$89,5,0)</f>
        <v>145.31399999999994</v>
      </c>
      <c r="FG58" s="13">
        <f t="shared" si="47"/>
        <v>37.511716231443025</v>
      </c>
      <c r="FH58" s="20">
        <f t="shared" si="22"/>
        <v>318.42145576976316</v>
      </c>
      <c r="FI58" s="59">
        <f t="shared" si="23"/>
        <v>576.74391125023453</v>
      </c>
      <c r="FJ58" s="59">
        <f ca="1">AVERAGE(OFFSET($FI$3,0,0,'Données projet'!$E$16+1,1))-AVERAGE(OFFSET($H$3,0,0,'Données projet'!$E$16+1,1))</f>
        <v>360.86062459677004</v>
      </c>
      <c r="FK58" s="59">
        <f t="shared" si="48"/>
        <v>186.0840067781198</v>
      </c>
      <c r="FL58" s="15">
        <f>IF(ISNA(VLOOKUP(A58,'Données projet'!$A$217:$I$237,3,0)),0,VLOOKUP(A58,'Données projet'!$A$217:$I$237,3,0))</f>
        <v>7</v>
      </c>
      <c r="FM58" s="15">
        <f>IF(ISNA(VLOOKUP(A58,'Données projet'!$A$217:$I$237,4,0)),0,VLOOKUP(A58,'Données projet'!$A$217:$I$237,4,0))</f>
        <v>14</v>
      </c>
      <c r="FN58" s="16">
        <f>IF(ISNA(VLOOKUP(A58,'Données projet'!$A$217:$I$237,5,0)),0%,VLOOKUP(A58,'Données projet'!$A$217:$I$237,5,0)*VLOOKUP('Données projet'!$B$16,Paramètres!$A$1:$I$89,7,0))</f>
        <v>0.129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5.6863623538075849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5.6863623538075849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197</v>
      </c>
      <c r="FX58" s="12">
        <f>VLOOKUP(A58,'Données projet'!$A$243:$I$263,9,0)</f>
        <v>8</v>
      </c>
      <c r="FY58" s="12">
        <f t="array" ref="FY58">INDEX(FX:FX,MIN(IF(ISNUMBER(FX58:FX254),ROW(FX58:FX254),"")))</f>
        <v>8</v>
      </c>
      <c r="FZ58" s="12">
        <f>IF('Données projet'!$A$244&gt;35,FZ57+FY58-GH57,IF(A58&lt;'Données projet'!$A$244,$FW$205^A58,IF(A58='Données projet'!$A$244,'Données projet'!$B$244,FZ57+FY58-GH57)))</f>
        <v>197</v>
      </c>
      <c r="GA58" s="17">
        <f>FZ58*VLOOKUP('Données projet'!$B$17,Paramètres!$A$1:$I$89,3,0)*VLOOKUP('Données projet'!$B$17,Paramètres!$A$1:$I$89,5,0)</f>
        <v>199.75800000000004</v>
      </c>
      <c r="GB58" s="13">
        <f t="shared" si="49"/>
        <v>49.690979702964015</v>
      </c>
      <c r="GC58" s="20">
        <f t="shared" si="25"/>
        <v>434.45697298266236</v>
      </c>
      <c r="GD58" s="59">
        <f t="shared" si="26"/>
        <v>692.77942846313374</v>
      </c>
      <c r="GE58" s="59">
        <f ca="1">AVERAGE(OFFSET($GD$3,0,0,'Données projet'!$E$17+1,1))-AVERAGE(OFFSET($H$3,0,0,'Données projet'!$E$17+1,1))</f>
        <v>448.73339628506784</v>
      </c>
      <c r="GF58" s="59">
        <f t="shared" si="50"/>
        <v>273.35778700650803</v>
      </c>
      <c r="GG58" s="15">
        <f>IF(ISNA(VLOOKUP(A58,'Données projet'!$A$243:$I$263,3,0)),0,VLOOKUP(A58,'Données projet'!$A$243:$I$263,3,0))</f>
        <v>8</v>
      </c>
      <c r="GH58" s="15">
        <f>IF(ISNA(VLOOKUP(A58,'Données projet'!$A$243:$I$263,4,0)),0,VLOOKUP(A58,'Données projet'!$A$243:$I$263,4,0))</f>
        <v>21</v>
      </c>
      <c r="GI58" s="16">
        <f>IF(ISNA(VLOOKUP(A58,'Données projet'!$A$243:$I$263,5,0)),0%,VLOOKUP(A58,'Données projet'!$A$243:$I$263,5,0)*VLOOKUP('Données projet'!$B$17,Paramètres!$A$1:$I$89,7,0))</f>
        <v>0.129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8.9518644168548498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8.9518644168548498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7.6</v>
      </c>
      <c r="N59" s="13">
        <f>IF('Données projet'!$A$36&gt;35,N58+M59-V58,IF(A59&lt;'Données projet'!$A$36,$K$205^A59,IF(A59='Données projet'!$A$36,'Données projet'!$B$36,N58+M59-V58)))</f>
        <v>183.6</v>
      </c>
      <c r="O59" s="13">
        <f>N59*VLOOKUP('Données projet'!$B$9,Paramètres!$A$1:$I$89,3,0)*VLOOKUP('Données projet'!$B$9,Paramètres!$A$1:$I$89,5,0)</f>
        <v>166.12127999999998</v>
      </c>
      <c r="P59" s="13">
        <f t="shared" si="33"/>
        <v>42.220155874487318</v>
      </c>
      <c r="Q59" s="20">
        <f t="shared" si="53"/>
        <v>362.8613341480654</v>
      </c>
      <c r="R59" s="59">
        <f t="shared" si="0"/>
        <v>621.79115008668714</v>
      </c>
      <c r="S59" s="59">
        <f ca="1">AVERAGE(OFFSET($R$3,0,0,'Données projet'!$E$9+1,1))-AVERAGE(OFFSET($H$3,0,0,'Données projet'!$E$9+1,1))</f>
        <v>408.51124670343137</v>
      </c>
      <c r="T59" s="59">
        <f t="shared" si="34"/>
        <v>250.47702091764884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7.8311812509666447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7.8311812509666447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5.2</v>
      </c>
      <c r="AI59" s="13">
        <f>IF('Données projet'!$A$62&gt;35,AI58+AH59-AQ58,IF(A59&lt;'Données projet'!$A$62,$AF$205^A59,IF(A59='Données projet'!$A$62,'Données projet'!$B$62,AI58+AH59-AQ58)))</f>
        <v>224.19999999999976</v>
      </c>
      <c r="AJ59" s="13">
        <f>AI59*VLOOKUP('Données projet'!$B$10,Paramètres!$A$1:$I$89,3,0)*VLOOKUP('Données projet'!$B$10,Paramètres!$A$1:$I$89,5,0)</f>
        <v>178.37351999999981</v>
      </c>
      <c r="AK59" s="13">
        <f t="shared" si="35"/>
        <v>44.960133388294807</v>
      </c>
      <c r="AL59" s="20">
        <f t="shared" si="4"/>
        <v>388.97277965127978</v>
      </c>
      <c r="AM59" s="59">
        <f t="shared" si="5"/>
        <v>647.90259558990147</v>
      </c>
      <c r="AN59" s="59">
        <f ca="1">AVERAGE(OFFSET($AM$3,0,0,'Données projet'!$E$10+1,1))-AVERAGE(OFFSET($H$3,0,0,'Données projet'!$E$10+1,1))</f>
        <v>327.22763817565902</v>
      </c>
      <c r="AO59" s="59">
        <f t="shared" si="36"/>
        <v>311.68541696405975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10.585374821080849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10.585374821080849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2.8421709430404007E-14</v>
      </c>
      <c r="BE59" s="13">
        <f>BD59*VLOOKUP('Données projet'!$B$11,Paramètres!$A$1:$I$89,3,0)*VLOOKUP('Données projet'!$B$11,Paramètres!$A$1:$I$89,5,0)</f>
        <v>1.8178525351686402E-14</v>
      </c>
      <c r="BF59" s="13">
        <f t="shared" si="37"/>
        <v>3.3304129621647644E-13</v>
      </c>
      <c r="BG59" s="20">
        <f t="shared" si="7"/>
        <v>6.1170785589788349E-13</v>
      </c>
      <c r="BH59" s="59">
        <f t="shared" si="8"/>
        <v>258.92981593862237</v>
      </c>
      <c r="BI59" s="59">
        <f ca="1">AVERAGE(OFFSET($BH$3,0,0,'Données projet'!$E$11+1,1))-AVERAGE(OFFSET($H$3,0,0,'Données projet'!$E$11+1,1))</f>
        <v>169.46470423366029</v>
      </c>
      <c r="BJ59" s="59">
        <f t="shared" si="38"/>
        <v>230.78141128389288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36.210148369303383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36.210148369303383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186.19999999999993</v>
      </c>
      <c r="BZ59" s="13">
        <f>BY59*VLOOKUP('Données projet'!$B$12,Paramètres!$A$1:$I$89,3,0)*VLOOKUP('Données projet'!$B$12,Paramètres!$A$1:$I$89,5,0)</f>
        <v>162.66431999999998</v>
      </c>
      <c r="CA59" s="13">
        <f t="shared" si="39"/>
        <v>41.442881393745317</v>
      </c>
      <c r="CB59" s="20">
        <f t="shared" si="10"/>
        <v>355.48670909410635</v>
      </c>
      <c r="CC59" s="59">
        <f t="shared" si="11"/>
        <v>614.41652503272803</v>
      </c>
      <c r="CD59" s="59">
        <f ca="1">AVERAGE(OFFSET($CC$3,0,0,'Données projet'!$E$12+1,1))-AVERAGE(OFFSET($H$3,0,0,'Données projet'!$E$12+1,1))</f>
        <v>342.79161436526499</v>
      </c>
      <c r="CE59" s="59">
        <f t="shared" si="40"/>
        <v>315.50730924873733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11.960967434875476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11.960967434875476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5.4</v>
      </c>
      <c r="CT59" s="12">
        <f>IF('Données projet'!$A$140&gt;35,CT58+CS59-DB58,IF(A59&lt;'Données projet'!$A$140,$CQ$205^A59,IF(A59='Données projet'!$A$140,'Données projet'!$B$140,CT58+CS59-DB58)))</f>
        <v>126.39999999999995</v>
      </c>
      <c r="CU59" s="17">
        <f>CT59*VLOOKUP('Données projet'!$B$13,Paramètres!$A$1:$I$89,3,0)*VLOOKUP('Données projet'!$B$13,Paramètres!$A$1:$I$89,5,0)</f>
        <v>84.789119999999969</v>
      </c>
      <c r="CV59" s="13">
        <f t="shared" si="41"/>
        <v>23.30415723584899</v>
      </c>
      <c r="CW59" s="20">
        <f t="shared" si="13"/>
        <v>188.26245785243691</v>
      </c>
      <c r="CX59" s="59">
        <f t="shared" si="14"/>
        <v>447.19227379105865</v>
      </c>
      <c r="CY59" s="59">
        <f ca="1">AVERAGE(OFFSET($CX$3,0,0,'Données projet'!$E$13+1,1))-AVERAGE(OFFSET($H$3,0,0,'Données projet'!$E$13+1,1))</f>
        <v>201.84651193684252</v>
      </c>
      <c r="CZ59" s="59">
        <f t="shared" si="42"/>
        <v>138.00705940844708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4.2821359650516406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4.2821359650516406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1.1368683772161603E-13</v>
      </c>
      <c r="DP59" s="17">
        <f>DO59*VLOOKUP('Données projet'!$B$14,Paramètres!$A$1:$I$89,3,0)*VLOOKUP('Données projet'!$B$14,Paramètres!$A$1:$I$89,5,0)</f>
        <v>8.3355189417488869E-14</v>
      </c>
      <c r="DQ59" s="13">
        <f t="shared" si="43"/>
        <v>1.2790518435140618E-12</v>
      </c>
      <c r="DR59" s="20">
        <f t="shared" si="16"/>
        <v>2.3728589156891171E-12</v>
      </c>
      <c r="DS59" s="59">
        <f t="shared" si="17"/>
        <v>258.92981593862413</v>
      </c>
      <c r="DT59" s="59">
        <f ca="1">AVERAGE(OFFSET($DS$3,0,0,'Données projet'!$E$14+1,1))-AVERAGE(OFFSET($H$3,0,0,'Données projet'!$E$14+1,1))</f>
        <v>242.21240859696931</v>
      </c>
      <c r="DU59" s="59">
        <f t="shared" si="44"/>
        <v>340.92165104349192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68.240463096908684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68.240463096908684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5.4</v>
      </c>
      <c r="EJ59" s="12">
        <f>IF('Données projet'!$A$192&gt;35,EJ58+EI59-ER58,IF(A59&lt;'Données projet'!$A$192,$EG$205^A59,IF(A59='Données projet'!$A$192,'Données projet'!$B$192,EJ58+EI59-ER58)))</f>
        <v>126.39999999999995</v>
      </c>
      <c r="EK59" s="17">
        <f>EJ59*VLOOKUP('Données projet'!$B$15,Paramètres!$A$1:$I$89,3,0)*VLOOKUP('Données projet'!$B$15,Paramètres!$A$1:$I$89,5,0)</f>
        <v>122.25407999999995</v>
      </c>
      <c r="EL59" s="13">
        <f t="shared" si="45"/>
        <v>32.20015567592624</v>
      </c>
      <c r="EM59" s="20">
        <f t="shared" si="19"/>
        <v>269.0077938022381</v>
      </c>
      <c r="EN59" s="59">
        <f t="shared" si="20"/>
        <v>527.9376097408599</v>
      </c>
      <c r="EO59" s="59">
        <f ca="1">AVERAGE(OFFSET($EN$3,0,0,'Données projet'!$E$15+1,1))-AVERAGE(OFFSET($H$3,0,0,'Données projet'!$E$15+1,1))</f>
        <v>331.7059599630698</v>
      </c>
      <c r="EP59" s="59">
        <f t="shared" si="46"/>
        <v>173.19148969173838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5.4</v>
      </c>
      <c r="FE59" s="12">
        <f>IF('Données projet'!$A$218&gt;35,FE58+FD59-FM58,IF(A59&lt;'Données projet'!$A$218,$FB$205^A59,IF(A59='Données projet'!$A$218,'Données projet'!$B$218,FE58+FD59-FM58)))</f>
        <v>126.39999999999995</v>
      </c>
      <c r="FF59" s="17">
        <f>FE59*VLOOKUP('Données projet'!$B$16,Paramètres!$A$1:$I$89,3,0)*VLOOKUP('Données projet'!$B$16,Paramètres!$A$1:$I$89,5,0)</f>
        <v>136.05695999999992</v>
      </c>
      <c r="FG59" s="13">
        <f t="shared" si="47"/>
        <v>35.392213985322201</v>
      </c>
      <c r="FH59" s="20">
        <f t="shared" si="22"/>
        <v>298.60731135776933</v>
      </c>
      <c r="FI59" s="59">
        <f t="shared" si="23"/>
        <v>557.53712729639108</v>
      </c>
      <c r="FJ59" s="59">
        <f ca="1">AVERAGE(OFFSET($FI$3,0,0,'Données projet'!$E$16+1,1))-AVERAGE(OFFSET($H$3,0,0,'Données projet'!$E$16+1,1))</f>
        <v>360.86062459677004</v>
      </c>
      <c r="FK59" s="59">
        <f t="shared" si="48"/>
        <v>186.0840067781198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5.5748562563879842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5.5748562563879842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7.6</v>
      </c>
      <c r="FZ59" s="12">
        <f>IF('Données projet'!$A$244&gt;35,FZ58+FY59-GH58,IF(A59&lt;'Données projet'!$A$244,$FW$205^A59,IF(A59='Données projet'!$A$244,'Données projet'!$B$244,FZ58+FY59-GH58)))</f>
        <v>183.6</v>
      </c>
      <c r="GA59" s="17">
        <f>FZ59*VLOOKUP('Données projet'!$B$17,Paramètres!$A$1:$I$89,3,0)*VLOOKUP('Données projet'!$B$17,Paramètres!$A$1:$I$89,5,0)</f>
        <v>186.1704</v>
      </c>
      <c r="GB59" s="13">
        <f t="shared" si="49"/>
        <v>46.692281933796018</v>
      </c>
      <c r="GC59" s="20">
        <f t="shared" si="25"/>
        <v>405.56917103469476</v>
      </c>
      <c r="GD59" s="59">
        <f t="shared" si="26"/>
        <v>664.49898697331651</v>
      </c>
      <c r="GE59" s="59">
        <f ca="1">AVERAGE(OFFSET($GD$3,0,0,'Données projet'!$E$17+1,1))-AVERAGE(OFFSET($H$3,0,0,'Données projet'!$E$17+1,1))</f>
        <v>448.73339628506784</v>
      </c>
      <c r="GF59" s="59">
        <f t="shared" si="50"/>
        <v>273.35778700650803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8.7763238157384809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8.7763238157384809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7.6</v>
      </c>
      <c r="N60" s="13">
        <f>IF('Données projet'!$A$36&gt;35,N59+M60-V59,IF(A60&lt;'Données projet'!$A$36,$K$205^A60,IF(A60='Données projet'!$A$36,'Données projet'!$B$36,N59+M60-V59)))</f>
        <v>191.2</v>
      </c>
      <c r="O60" s="13">
        <f>N60*VLOOKUP('Données projet'!$B$9,Paramètres!$A$1:$I$89,3,0)*VLOOKUP('Données projet'!$B$9,Paramètres!$A$1:$I$89,5,0)</f>
        <v>172.99775999999997</v>
      </c>
      <c r="P60" s="13">
        <f t="shared" si="33"/>
        <v>43.760737531919609</v>
      </c>
      <c r="Q60" s="20">
        <f t="shared" si="53"/>
        <v>377.52104986809326</v>
      </c>
      <c r="R60" s="59">
        <f t="shared" si="0"/>
        <v>637.04768991877097</v>
      </c>
      <c r="S60" s="59">
        <f ca="1">AVERAGE(OFFSET($R$3,0,0,'Données projet'!$E$9+1,1))-AVERAGE(OFFSET($H$3,0,0,'Données projet'!$E$9+1,1))</f>
        <v>408.51124670343137</v>
      </c>
      <c r="T60" s="59">
        <f t="shared" si="34"/>
        <v>250.47702091764884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7.6776165631841069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7.6776165631841069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5.2</v>
      </c>
      <c r="AI60" s="13">
        <f>IF('Données projet'!$A$62&gt;35,AI59+AH60-AQ59,IF(A60&lt;'Données projet'!$A$62,$AF$205^A60,IF(A60='Données projet'!$A$62,'Données projet'!$B$62,AI59+AH60-AQ59)))</f>
        <v>229.39999999999975</v>
      </c>
      <c r="AJ60" s="13">
        <f>AI60*VLOOKUP('Données projet'!$B$10,Paramètres!$A$1:$I$89,3,0)*VLOOKUP('Données projet'!$B$10,Paramètres!$A$1:$I$89,5,0)</f>
        <v>182.5106399999998</v>
      </c>
      <c r="AK60" s="13">
        <f t="shared" si="35"/>
        <v>45.880306213791371</v>
      </c>
      <c r="AL60" s="20">
        <f t="shared" si="4"/>
        <v>397.78089798901959</v>
      </c>
      <c r="AM60" s="59">
        <f t="shared" si="5"/>
        <v>657.30753803969731</v>
      </c>
      <c r="AN60" s="59">
        <f ca="1">AVERAGE(OFFSET($AM$3,0,0,'Données projet'!$E$10+1,1))-AVERAGE(OFFSET($H$3,0,0,'Données projet'!$E$10+1,1))</f>
        <v>327.22763817565902</v>
      </c>
      <c r="AO60" s="59">
        <f t="shared" si="36"/>
        <v>311.68541696405975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10.377802077280574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10.377802077280574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2.8421709430404007E-14</v>
      </c>
      <c r="BE60" s="13">
        <f>BD60*VLOOKUP('Données projet'!$B$11,Paramètres!$A$1:$I$89,3,0)*VLOOKUP('Données projet'!$B$11,Paramètres!$A$1:$I$89,5,0)</f>
        <v>1.8178525351686402E-14</v>
      </c>
      <c r="BF60" s="13">
        <f t="shared" si="37"/>
        <v>3.3304129621647644E-13</v>
      </c>
      <c r="BG60" s="20">
        <f t="shared" si="7"/>
        <v>6.1170785589788349E-13</v>
      </c>
      <c r="BH60" s="59">
        <f t="shared" si="8"/>
        <v>259.52664005067834</v>
      </c>
      <c r="BI60" s="59">
        <f ca="1">AVERAGE(OFFSET($BH$3,0,0,'Données projet'!$E$11+1,1))-AVERAGE(OFFSET($H$3,0,0,'Données projet'!$E$11+1,1))</f>
        <v>169.46470423366029</v>
      </c>
      <c r="BJ60" s="59">
        <f t="shared" si="38"/>
        <v>230.78141128389288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35.500089445791033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35.500089445791033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191.39999999999992</v>
      </c>
      <c r="BZ60" s="13">
        <f>BY60*VLOOKUP('Données projet'!$B$12,Paramètres!$A$1:$I$89,3,0)*VLOOKUP('Données projet'!$B$12,Paramètres!$A$1:$I$89,5,0)</f>
        <v>167.20703999999995</v>
      </c>
      <c r="CA60" s="13">
        <f t="shared" si="39"/>
        <v>42.463891647822791</v>
      </c>
      <c r="CB60" s="20">
        <f t="shared" si="10"/>
        <v>365.17687261995792</v>
      </c>
      <c r="CC60" s="59">
        <f t="shared" si="11"/>
        <v>624.70351267063563</v>
      </c>
      <c r="CD60" s="59">
        <f ca="1">AVERAGE(OFFSET($CC$3,0,0,'Données projet'!$E$12+1,1))-AVERAGE(OFFSET($H$3,0,0,'Données projet'!$E$12+1,1))</f>
        <v>342.79161436526499</v>
      </c>
      <c r="CE60" s="59">
        <f t="shared" si="40"/>
        <v>315.50730924873733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11.726420158947336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11.726420158947336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5.4</v>
      </c>
      <c r="CT60" s="12">
        <f>IF('Données projet'!$A$140&gt;35,CT59+CS60-DB59,IF(A60&lt;'Données projet'!$A$140,$CQ$205^A60,IF(A60='Données projet'!$A$140,'Données projet'!$B$140,CT59+CS60-DB59)))</f>
        <v>131.79999999999995</v>
      </c>
      <c r="CU60" s="17">
        <f>CT60*VLOOKUP('Données projet'!$B$13,Paramètres!$A$1:$I$89,3,0)*VLOOKUP('Données projet'!$B$13,Paramètres!$A$1:$I$89,5,0)</f>
        <v>88.41143999999997</v>
      </c>
      <c r="CV60" s="13">
        <f t="shared" si="41"/>
        <v>24.18170639510944</v>
      </c>
      <c r="CW60" s="20">
        <f t="shared" si="13"/>
        <v>196.09972997148222</v>
      </c>
      <c r="CX60" s="59">
        <f t="shared" si="14"/>
        <v>455.6263700221599</v>
      </c>
      <c r="CY60" s="59">
        <f ca="1">AVERAGE(OFFSET($CX$3,0,0,'Données projet'!$E$13+1,1))-AVERAGE(OFFSET($H$3,0,0,'Données projet'!$E$13+1,1))</f>
        <v>201.84651193684252</v>
      </c>
      <c r="CZ60" s="59">
        <f t="shared" si="42"/>
        <v>138.00705940844708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4.1981658906220183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4.1981658906220183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1.1368683772161603E-13</v>
      </c>
      <c r="DP60" s="17">
        <f>DO60*VLOOKUP('Données projet'!$B$14,Paramètres!$A$1:$I$89,3,0)*VLOOKUP('Données projet'!$B$14,Paramètres!$A$1:$I$89,5,0)</f>
        <v>8.3355189417488869E-14</v>
      </c>
      <c r="DQ60" s="13">
        <f t="shared" si="43"/>
        <v>1.2790518435140618E-12</v>
      </c>
      <c r="DR60" s="20">
        <f t="shared" si="16"/>
        <v>2.3728589156891171E-12</v>
      </c>
      <c r="DS60" s="59">
        <f t="shared" si="17"/>
        <v>259.5266400506801</v>
      </c>
      <c r="DT60" s="59">
        <f ca="1">AVERAGE(OFFSET($DS$3,0,0,'Données projet'!$E$14+1,1))-AVERAGE(OFFSET($H$3,0,0,'Données projet'!$E$14+1,1))</f>
        <v>242.21240859696931</v>
      </c>
      <c r="DU60" s="59">
        <f t="shared" si="44"/>
        <v>340.92165104349192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66.902309238150906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66.902309238150906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5.4</v>
      </c>
      <c r="EJ60" s="12">
        <f>IF('Données projet'!$A$192&gt;35,EJ59+EI60-ER59,IF(A60&lt;'Données projet'!$A$192,$EG$205^A60,IF(A60='Données projet'!$A$192,'Données projet'!$B$192,EJ59+EI60-ER59)))</f>
        <v>131.79999999999995</v>
      </c>
      <c r="EK60" s="17">
        <f>EJ60*VLOOKUP('Données projet'!$B$15,Paramètres!$A$1:$I$89,3,0)*VLOOKUP('Données projet'!$B$15,Paramètres!$A$1:$I$89,5,0)</f>
        <v>127.47695999999995</v>
      </c>
      <c r="EL60" s="13">
        <f t="shared" si="45"/>
        <v>33.412695535466739</v>
      </c>
      <c r="EM60" s="20">
        <f t="shared" si="19"/>
        <v>280.21615005760447</v>
      </c>
      <c r="EN60" s="59">
        <f t="shared" si="20"/>
        <v>539.74279010828218</v>
      </c>
      <c r="EO60" s="59">
        <f ca="1">AVERAGE(OFFSET($EN$3,0,0,'Données projet'!$E$15+1,1))-AVERAGE(OFFSET($H$3,0,0,'Données projet'!$E$15+1,1))</f>
        <v>331.7059599630698</v>
      </c>
      <c r="EP60" s="59">
        <f t="shared" si="46"/>
        <v>173.19148969173838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5.4</v>
      </c>
      <c r="FE60" s="12">
        <f>IF('Données projet'!$A$218&gt;35,FE59+FD60-FM59,IF(A60&lt;'Données projet'!$A$218,$FB$205^A60,IF(A60='Données projet'!$A$218,'Données projet'!$B$218,FE59+FD60-FM59)))</f>
        <v>131.79999999999995</v>
      </c>
      <c r="FF60" s="17">
        <f>FE60*VLOOKUP('Données projet'!$B$16,Paramètres!$A$1:$I$89,3,0)*VLOOKUP('Données projet'!$B$16,Paramètres!$A$1:$I$89,5,0)</f>
        <v>141.86951999999994</v>
      </c>
      <c r="FG60" s="13">
        <f t="shared" si="47"/>
        <v>36.724955062927357</v>
      </c>
      <c r="FH60" s="20">
        <f t="shared" si="22"/>
        <v>311.05204406793172</v>
      </c>
      <c r="FI60" s="59">
        <f t="shared" si="23"/>
        <v>570.57868411860943</v>
      </c>
      <c r="FJ60" s="59">
        <f ca="1">AVERAGE(OFFSET($FI$3,0,0,'Données projet'!$E$16+1,1))-AVERAGE(OFFSET($H$3,0,0,'Données projet'!$E$16+1,1))</f>
        <v>360.86062459677004</v>
      </c>
      <c r="FK60" s="59">
        <f t="shared" si="48"/>
        <v>186.0840067781198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5.4655367255267775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5.4655367255267775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7.6</v>
      </c>
      <c r="FZ60" s="12">
        <f>IF('Données projet'!$A$244&gt;35,FZ59+FY60-GH59,IF(A60&lt;'Données projet'!$A$244,$FW$205^A60,IF(A60='Données projet'!$A$244,'Données projet'!$B$244,FZ59+FY60-GH59)))</f>
        <v>191.2</v>
      </c>
      <c r="GA60" s="17">
        <f>FZ60*VLOOKUP('Données projet'!$B$17,Paramètres!$A$1:$I$89,3,0)*VLOOKUP('Données projet'!$B$17,Paramètres!$A$1:$I$89,5,0)</f>
        <v>193.8768</v>
      </c>
      <c r="GB60" s="13">
        <f t="shared" si="49"/>
        <v>48.396048099527611</v>
      </c>
      <c r="GC60" s="20">
        <f t="shared" si="25"/>
        <v>421.95854377334393</v>
      </c>
      <c r="GD60" s="59">
        <f t="shared" si="26"/>
        <v>681.48518382402165</v>
      </c>
      <c r="GE60" s="59">
        <f ca="1">AVERAGE(OFFSET($GD$3,0,0,'Données projet'!$E$17+1,1))-AVERAGE(OFFSET($H$3,0,0,'Données projet'!$E$17+1,1))</f>
        <v>448.73339628506784</v>
      </c>
      <c r="GF60" s="59">
        <f t="shared" si="50"/>
        <v>273.35778700650803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8.6042254587408085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8.6042254587408085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7.6</v>
      </c>
      <c r="N61" s="13">
        <f>IF('Données projet'!$A$36&gt;35,N60+M61-V60,IF(A61&lt;'Données projet'!$A$36,$K$205^A61,IF(A61='Données projet'!$A$36,'Données projet'!$B$36,N60+M61-V60)))</f>
        <v>198.79999999999998</v>
      </c>
      <c r="O61" s="13">
        <f>N61*VLOOKUP('Données projet'!$B$9,Paramètres!$A$1:$I$89,3,0)*VLOOKUP('Données projet'!$B$9,Paramètres!$A$1:$I$89,5,0)</f>
        <v>179.87423999999999</v>
      </c>
      <c r="P61" s="13">
        <f t="shared" si="33"/>
        <v>45.294205745553846</v>
      </c>
      <c r="Q61" s="20">
        <f t="shared" si="53"/>
        <v>392.16837634017293</v>
      </c>
      <c r="R61" s="59">
        <f t="shared" si="0"/>
        <v>652.28148693886135</v>
      </c>
      <c r="S61" s="59">
        <f ca="1">AVERAGE(OFFSET($R$3,0,0,'Données projet'!$E$9+1,1))-AVERAGE(OFFSET($H$3,0,0,'Données projet'!$E$9+1,1))</f>
        <v>408.51124670343137</v>
      </c>
      <c r="T61" s="59">
        <f t="shared" si="34"/>
        <v>250.47702091764884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7.5270631852637742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7.5270631852637742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5.2</v>
      </c>
      <c r="AI61" s="13">
        <f>IF('Données projet'!$A$62&gt;35,AI60+AH61-AQ60,IF(A61&lt;'Données projet'!$A$62,$AF$205^A61,IF(A61='Données projet'!$A$62,'Données projet'!$B$62,AI60+AH61-AQ60)))</f>
        <v>234.59999999999974</v>
      </c>
      <c r="AJ61" s="13">
        <f>AI61*VLOOKUP('Données projet'!$B$10,Paramètres!$A$1:$I$89,3,0)*VLOOKUP('Données projet'!$B$10,Paramètres!$A$1:$I$89,5,0)</f>
        <v>186.64775999999981</v>
      </c>
      <c r="AK61" s="13">
        <f t="shared" si="35"/>
        <v>46.798054111552098</v>
      </c>
      <c r="AL61" s="20">
        <f t="shared" si="4"/>
        <v>406.5847929109529</v>
      </c>
      <c r="AM61" s="59">
        <f t="shared" si="5"/>
        <v>666.69790350964126</v>
      </c>
      <c r="AN61" s="59">
        <f ca="1">AVERAGE(OFFSET($AM$3,0,0,'Données projet'!$E$10+1,1))-AVERAGE(OFFSET($H$3,0,0,'Données projet'!$E$10+1,1))</f>
        <v>327.22763817565902</v>
      </c>
      <c r="AO61" s="59">
        <f t="shared" si="36"/>
        <v>311.68541696405975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10.174299708379349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10.174299708379349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2.8421709430404007E-14</v>
      </c>
      <c r="BE61" s="13">
        <f>BD61*VLOOKUP('Données projet'!$B$11,Paramètres!$A$1:$I$89,3,0)*VLOOKUP('Données projet'!$B$11,Paramètres!$A$1:$I$89,5,0)</f>
        <v>1.8178525351686402E-14</v>
      </c>
      <c r="BF61" s="13">
        <f t="shared" si="37"/>
        <v>3.3304129621647644E-13</v>
      </c>
      <c r="BG61" s="20">
        <f t="shared" si="7"/>
        <v>6.1170785589788349E-13</v>
      </c>
      <c r="BH61" s="59">
        <f t="shared" si="8"/>
        <v>260.11311059868905</v>
      </c>
      <c r="BI61" s="59">
        <f ca="1">AVERAGE(OFFSET($BH$3,0,0,'Données projet'!$E$11+1,1))-AVERAGE(OFFSET($H$3,0,0,'Données projet'!$E$11+1,1))</f>
        <v>169.46470423366029</v>
      </c>
      <c r="BJ61" s="59">
        <f t="shared" si="38"/>
        <v>230.78141128389288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34.803954344675589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34.803954344675589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196.59999999999991</v>
      </c>
      <c r="BZ61" s="13">
        <f>BY61*VLOOKUP('Données projet'!$B$12,Paramètres!$A$1:$I$89,3,0)*VLOOKUP('Données projet'!$B$12,Paramètres!$A$1:$I$89,5,0)</f>
        <v>171.74975999999995</v>
      </c>
      <c r="CA61" s="13">
        <f t="shared" si="39"/>
        <v>43.481677757882629</v>
      </c>
      <c r="CB61" s="20">
        <f t="shared" si="10"/>
        <v>374.86142076164543</v>
      </c>
      <c r="CC61" s="59">
        <f t="shared" si="11"/>
        <v>634.97453136033391</v>
      </c>
      <c r="CD61" s="59">
        <f ca="1">AVERAGE(OFFSET($CC$3,0,0,'Données projet'!$E$12+1,1))-AVERAGE(OFFSET($H$3,0,0,'Données projet'!$E$12+1,1))</f>
        <v>342.79161436526499</v>
      </c>
      <c r="CE61" s="59">
        <f t="shared" si="40"/>
        <v>315.50730924873733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11.496472212040434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11.496472212040434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5.4</v>
      </c>
      <c r="CT61" s="12">
        <f>IF('Données projet'!$A$140&gt;35,CT60+CS61-DB60,IF(A61&lt;'Données projet'!$A$140,$CQ$205^A61,IF(A61='Données projet'!$A$140,'Données projet'!$B$140,CT60+CS61-DB60)))</f>
        <v>137.19999999999996</v>
      </c>
      <c r="CU61" s="17">
        <f>CT61*VLOOKUP('Données projet'!$B$13,Paramètres!$A$1:$I$89,3,0)*VLOOKUP('Données projet'!$B$13,Paramètres!$A$1:$I$89,5,0)</f>
        <v>92.033759999999972</v>
      </c>
      <c r="CV61" s="13">
        <f t="shared" si="41"/>
        <v>25.055079213374341</v>
      </c>
      <c r="CW61" s="20">
        <f t="shared" si="13"/>
        <v>203.92972829662691</v>
      </c>
      <c r="CX61" s="59">
        <f t="shared" si="14"/>
        <v>464.0428388953153</v>
      </c>
      <c r="CY61" s="59">
        <f ca="1">AVERAGE(OFFSET($CX$3,0,0,'Données projet'!$E$13+1,1))-AVERAGE(OFFSET($H$3,0,0,'Données projet'!$E$13+1,1))</f>
        <v>201.84651193684252</v>
      </c>
      <c r="CZ61" s="59">
        <f t="shared" si="42"/>
        <v>138.00705940844708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4.1158424181352729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4.1158424181352729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1.1368683772161603E-13</v>
      </c>
      <c r="DP61" s="17">
        <f>DO61*VLOOKUP('Données projet'!$B$14,Paramètres!$A$1:$I$89,3,0)*VLOOKUP('Données projet'!$B$14,Paramètres!$A$1:$I$89,5,0)</f>
        <v>8.3355189417488869E-14</v>
      </c>
      <c r="DQ61" s="13">
        <f t="shared" si="43"/>
        <v>1.2790518435140618E-12</v>
      </c>
      <c r="DR61" s="20">
        <f t="shared" si="16"/>
        <v>2.3728589156891171E-12</v>
      </c>
      <c r="DS61" s="59">
        <f t="shared" si="17"/>
        <v>260.11311059869081</v>
      </c>
      <c r="DT61" s="59">
        <f ca="1">AVERAGE(OFFSET($DS$3,0,0,'Données projet'!$E$14+1,1))-AVERAGE(OFFSET($H$3,0,0,'Données projet'!$E$14+1,1))</f>
        <v>242.21240859696931</v>
      </c>
      <c r="DU61" s="59">
        <f t="shared" si="44"/>
        <v>340.92165104349192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65.5903957603701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65.5903957603701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5.4</v>
      </c>
      <c r="EJ61" s="12">
        <f>IF('Données projet'!$A$192&gt;35,EJ60+EI61-ER60,IF(A61&lt;'Données projet'!$A$192,$EG$205^A61,IF(A61='Données projet'!$A$192,'Données projet'!$B$192,EJ60+EI61-ER60)))</f>
        <v>137.19999999999996</v>
      </c>
      <c r="EK61" s="17">
        <f>EJ61*VLOOKUP('Données projet'!$B$15,Paramètres!$A$1:$I$89,3,0)*VLOOKUP('Données projet'!$B$15,Paramètres!$A$1:$I$89,5,0)</f>
        <v>132.69983999999997</v>
      </c>
      <c r="EL61" s="13">
        <f t="shared" si="45"/>
        <v>34.619464800994599</v>
      </c>
      <c r="EM61" s="20">
        <f t="shared" si="19"/>
        <v>291.41445586173216</v>
      </c>
      <c r="EN61" s="59">
        <f t="shared" si="20"/>
        <v>551.52756646042053</v>
      </c>
      <c r="EO61" s="59">
        <f ca="1">AVERAGE(OFFSET($EN$3,0,0,'Données projet'!$E$15+1,1))-AVERAGE(OFFSET($H$3,0,0,'Données projet'!$E$15+1,1))</f>
        <v>331.7059599630698</v>
      </c>
      <c r="EP61" s="59">
        <f t="shared" si="46"/>
        <v>173.19148969173838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5.4</v>
      </c>
      <c r="FE61" s="12">
        <f>IF('Données projet'!$A$218&gt;35,FE60+FD61-FM60,IF(A61&lt;'Données projet'!$A$218,$FB$205^A61,IF(A61='Données projet'!$A$218,'Données projet'!$B$218,FE60+FD61-FM60)))</f>
        <v>137.19999999999996</v>
      </c>
      <c r="FF61" s="17">
        <f>FE61*VLOOKUP('Données projet'!$B$16,Paramètres!$A$1:$I$89,3,0)*VLOOKUP('Données projet'!$B$16,Paramètres!$A$1:$I$89,5,0)</f>
        <v>147.68207999999996</v>
      </c>
      <c r="FG61" s="13">
        <f t="shared" si="47"/>
        <v>38.051353497342525</v>
      </c>
      <c r="FH61" s="20">
        <f t="shared" si="22"/>
        <v>323.48573000787144</v>
      </c>
      <c r="FI61" s="59">
        <f t="shared" si="23"/>
        <v>583.59884060655986</v>
      </c>
      <c r="FJ61" s="59">
        <f ca="1">AVERAGE(OFFSET($FI$3,0,0,'Données projet'!$E$16+1,1))-AVERAGE(OFFSET($H$3,0,0,'Données projet'!$E$16+1,1))</f>
        <v>360.86062459677004</v>
      </c>
      <c r="FK61" s="59">
        <f t="shared" si="48"/>
        <v>186.0840067781198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5.3583608839874293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5.3583608839874293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7.6</v>
      </c>
      <c r="FZ61" s="12">
        <f>IF('Données projet'!$A$244&gt;35,FZ60+FY61-GH60,IF(A61&lt;'Données projet'!$A$244,$FW$205^A61,IF(A61='Données projet'!$A$244,'Données projet'!$B$244,FZ60+FY61-GH60)))</f>
        <v>198.79999999999998</v>
      </c>
      <c r="GA61" s="17">
        <f>FZ61*VLOOKUP('Données projet'!$B$17,Paramètres!$A$1:$I$89,3,0)*VLOOKUP('Données projet'!$B$17,Paramètres!$A$1:$I$89,5,0)</f>
        <v>201.58320000000001</v>
      </c>
      <c r="GB61" s="13">
        <f t="shared" si="49"/>
        <v>50.091947337331924</v>
      </c>
      <c r="GC61" s="20">
        <f t="shared" si="25"/>
        <v>438.33421494585309</v>
      </c>
      <c r="GD61" s="59">
        <f t="shared" si="26"/>
        <v>698.44732554454151</v>
      </c>
      <c r="GE61" s="59">
        <f ca="1">AVERAGE(OFFSET($GD$3,0,0,'Données projet'!$E$17+1,1))-AVERAGE(OFFSET($H$3,0,0,'Données projet'!$E$17+1,1))</f>
        <v>448.73339628506784</v>
      </c>
      <c r="GF61" s="59">
        <f t="shared" si="50"/>
        <v>273.35778700650803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8.4355018455542279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8.4355018455542279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7.6</v>
      </c>
      <c r="N62" s="13">
        <f>IF('Données projet'!$A$36&gt;35,N61+M62-V61,IF(A62&lt;'Données projet'!$A$36,$K$205^A62,IF(A62='Données projet'!$A$36,'Données projet'!$B$36,N61+M62-V61)))</f>
        <v>206.39999999999998</v>
      </c>
      <c r="O62" s="13">
        <f>N62*VLOOKUP('Données projet'!$B$9,Paramètres!$A$1:$I$89,3,0)*VLOOKUP('Données projet'!$B$9,Paramètres!$A$1:$I$89,5,0)</f>
        <v>186.75071999999997</v>
      </c>
      <c r="P62" s="13">
        <f t="shared" si="33"/>
        <v>46.820863587839391</v>
      </c>
      <c r="Q62" s="20">
        <f t="shared" si="53"/>
        <v>406.80384141548689</v>
      </c>
      <c r="R62" s="59">
        <f t="shared" si="0"/>
        <v>667.49324860932961</v>
      </c>
      <c r="S62" s="59">
        <f ca="1">AVERAGE(OFFSET($R$3,0,0,'Données projet'!$E$9+1,1))-AVERAGE(OFFSET($H$3,0,0,'Données projet'!$E$9+1,1))</f>
        <v>408.51124670343137</v>
      </c>
      <c r="T62" s="59">
        <f t="shared" si="34"/>
        <v>250.47702091764884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7.3794620672559654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7.3794620672559654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5.2</v>
      </c>
      <c r="AI62" s="13">
        <f>IF('Données projet'!$A$62&gt;35,AI61+AH62-AQ61,IF(A62&lt;'Données projet'!$A$62,$AF$205^A62,IF(A62='Données projet'!$A$62,'Données projet'!$B$62,AI61+AH62-AQ61)))</f>
        <v>239.79999999999973</v>
      </c>
      <c r="AJ62" s="13">
        <f>AI62*VLOOKUP('Données projet'!$B$10,Paramètres!$A$1:$I$89,3,0)*VLOOKUP('Données projet'!$B$10,Paramètres!$A$1:$I$89,5,0)</f>
        <v>190.78487999999979</v>
      </c>
      <c r="AK62" s="13">
        <f t="shared" si="35"/>
        <v>47.713437020051622</v>
      </c>
      <c r="AL62" s="20">
        <f t="shared" si="4"/>
        <v>415.38456880992288</v>
      </c>
      <c r="AM62" s="59">
        <f t="shared" si="5"/>
        <v>676.07397600376567</v>
      </c>
      <c r="AN62" s="59">
        <f ca="1">AVERAGE(OFFSET($AM$3,0,0,'Données projet'!$E$10+1,1))-AVERAGE(OFFSET($H$3,0,0,'Données projet'!$E$10+1,1))</f>
        <v>327.22763817565902</v>
      </c>
      <c r="AO62" s="59">
        <f t="shared" si="36"/>
        <v>311.68541696405975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9.9747878968080901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9.9747878968080901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2.8421709430404007E-14</v>
      </c>
      <c r="BE62" s="13">
        <f>BD62*VLOOKUP('Données projet'!$B$11,Paramètres!$A$1:$I$89,3,0)*VLOOKUP('Données projet'!$B$11,Paramètres!$A$1:$I$89,5,0)</f>
        <v>1.8178525351686402E-14</v>
      </c>
      <c r="BF62" s="13">
        <f t="shared" si="37"/>
        <v>3.3304129621647644E-13</v>
      </c>
      <c r="BG62" s="20">
        <f t="shared" si="7"/>
        <v>6.1170785589788349E-13</v>
      </c>
      <c r="BH62" s="59">
        <f t="shared" si="8"/>
        <v>260.68940719384341</v>
      </c>
      <c r="BI62" s="59">
        <f ca="1">AVERAGE(OFFSET($BH$3,0,0,'Données projet'!$E$11+1,1))-AVERAGE(OFFSET($H$3,0,0,'Données projet'!$E$11+1,1))</f>
        <v>169.46470423366029</v>
      </c>
      <c r="BJ62" s="59">
        <f t="shared" si="38"/>
        <v>230.78141128389288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34.121470028292528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34.121470028292528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201.7999999999999</v>
      </c>
      <c r="BZ62" s="13">
        <f>BY62*VLOOKUP('Données projet'!$B$12,Paramètres!$A$1:$I$89,3,0)*VLOOKUP('Données projet'!$B$12,Paramètres!$A$1:$I$89,5,0)</f>
        <v>176.29247999999993</v>
      </c>
      <c r="CA62" s="13">
        <f t="shared" si="39"/>
        <v>44.496334803721894</v>
      </c>
      <c r="CB62" s="20">
        <f t="shared" si="10"/>
        <v>384.54051911648213</v>
      </c>
      <c r="CC62" s="59">
        <f t="shared" si="11"/>
        <v>645.22992631032491</v>
      </c>
      <c r="CD62" s="59">
        <f ca="1">AVERAGE(OFFSET($CC$3,0,0,'Données projet'!$E$12+1,1))-AVERAGE(OFFSET($H$3,0,0,'Données projet'!$E$12+1,1))</f>
        <v>342.79161436526499</v>
      </c>
      <c r="CE62" s="59">
        <f t="shared" si="40"/>
        <v>315.50730924873733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11.271033404117977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11.271033404117977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5.4</v>
      </c>
      <c r="CT62" s="12">
        <f>IF('Données projet'!$A$140&gt;35,CT61+CS62-DB61,IF(A62&lt;'Données projet'!$A$140,$CQ$205^A62,IF(A62='Données projet'!$A$140,'Données projet'!$B$140,CT61+CS62-DB61)))</f>
        <v>142.59999999999997</v>
      </c>
      <c r="CU62" s="17">
        <f>CT62*VLOOKUP('Données projet'!$B$13,Paramètres!$A$1:$I$89,3,0)*VLOOKUP('Données projet'!$B$13,Paramètres!$A$1:$I$89,5,0)</f>
        <v>95.656079999999974</v>
      </c>
      <c r="CV62" s="13">
        <f t="shared" si="41"/>
        <v>25.924458875457677</v>
      </c>
      <c r="CW62" s="20">
        <f t="shared" si="13"/>
        <v>211.75277187475538</v>
      </c>
      <c r="CX62" s="59">
        <f t="shared" si="14"/>
        <v>472.44217906859819</v>
      </c>
      <c r="CY62" s="59">
        <f ca="1">AVERAGE(OFFSET($CX$3,0,0,'Données projet'!$E$13+1,1))-AVERAGE(OFFSET($H$3,0,0,'Données projet'!$E$13+1,1))</f>
        <v>201.84651193684252</v>
      </c>
      <c r="CZ62" s="59">
        <f t="shared" si="42"/>
        <v>138.00705940844708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4.0351332587316326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4.0351332587316326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1.1368683772161603E-13</v>
      </c>
      <c r="DP62" s="17">
        <f>DO62*VLOOKUP('Données projet'!$B$14,Paramètres!$A$1:$I$89,3,0)*VLOOKUP('Données projet'!$B$14,Paramètres!$A$1:$I$89,5,0)</f>
        <v>8.3355189417488869E-14</v>
      </c>
      <c r="DQ62" s="13">
        <f t="shared" si="43"/>
        <v>1.2790518435140618E-12</v>
      </c>
      <c r="DR62" s="20">
        <f t="shared" si="16"/>
        <v>2.3728589156891171E-12</v>
      </c>
      <c r="DS62" s="59">
        <f t="shared" si="17"/>
        <v>260.68940719384517</v>
      </c>
      <c r="DT62" s="59">
        <f ca="1">AVERAGE(OFFSET($DS$3,0,0,'Données projet'!$E$14+1,1))-AVERAGE(OFFSET($H$3,0,0,'Données projet'!$E$14+1,1))</f>
        <v>242.21240859696931</v>
      </c>
      <c r="DU62" s="59">
        <f t="shared" si="44"/>
        <v>340.92165104349192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64.304208105700368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64.304208105700368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5.4</v>
      </c>
      <c r="EJ62" s="12">
        <f>IF('Données projet'!$A$192&gt;35,EJ61+EI62-ER61,IF(A62&lt;'Données projet'!$A$192,$EG$205^A62,IF(A62='Données projet'!$A$192,'Données projet'!$B$192,EJ61+EI62-ER61)))</f>
        <v>142.59999999999997</v>
      </c>
      <c r="EK62" s="17">
        <f>EJ62*VLOOKUP('Données projet'!$B$15,Paramètres!$A$1:$I$89,3,0)*VLOOKUP('Données projet'!$B$15,Paramètres!$A$1:$I$89,5,0)</f>
        <v>137.92271999999997</v>
      </c>
      <c r="EL62" s="13">
        <f t="shared" si="45"/>
        <v>35.82071658526872</v>
      </c>
      <c r="EM62" s="20">
        <f t="shared" si="19"/>
        <v>302.60315205267631</v>
      </c>
      <c r="EN62" s="59">
        <f t="shared" si="20"/>
        <v>563.29255924651909</v>
      </c>
      <c r="EO62" s="59">
        <f ca="1">AVERAGE(OFFSET($EN$3,0,0,'Données projet'!$E$15+1,1))-AVERAGE(OFFSET($H$3,0,0,'Données projet'!$E$15+1,1))</f>
        <v>331.7059599630698</v>
      </c>
      <c r="EP62" s="59">
        <f t="shared" si="46"/>
        <v>173.19148969173838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5.4</v>
      </c>
      <c r="FE62" s="12">
        <f>IF('Données projet'!$A$218&gt;35,FE61+FD62-FM61,IF(A62&lt;'Données projet'!$A$218,$FB$205^A62,IF(A62='Données projet'!$A$218,'Données projet'!$B$218,FE61+FD62-FM61)))</f>
        <v>142.59999999999997</v>
      </c>
      <c r="FF62" s="17">
        <f>FE62*VLOOKUP('Données projet'!$B$16,Paramètres!$A$1:$I$89,3,0)*VLOOKUP('Données projet'!$B$16,Paramètres!$A$1:$I$89,5,0)</f>
        <v>153.49463999999995</v>
      </c>
      <c r="FG62" s="13">
        <f t="shared" si="47"/>
        <v>39.371687492841346</v>
      </c>
      <c r="FH62" s="20">
        <f t="shared" si="22"/>
        <v>335.90885371669856</v>
      </c>
      <c r="FI62" s="59">
        <f t="shared" si="23"/>
        <v>596.59826091054128</v>
      </c>
      <c r="FJ62" s="59">
        <f ca="1">AVERAGE(OFFSET($FI$3,0,0,'Données projet'!$E$16+1,1))-AVERAGE(OFFSET($H$3,0,0,'Données projet'!$E$16+1,1))</f>
        <v>360.86062459677004</v>
      </c>
      <c r="FK62" s="59">
        <f t="shared" si="48"/>
        <v>186.0840067781198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5.2532866953298596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5.2532866953298596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7.6</v>
      </c>
      <c r="FZ62" s="12">
        <f>IF('Données projet'!$A$244&gt;35,FZ61+FY62-GH61,IF(A62&lt;'Données projet'!$A$244,$FW$205^A62,IF(A62='Données projet'!$A$244,'Données projet'!$B$244,FZ61+FY62-GH61)))</f>
        <v>206.39999999999998</v>
      </c>
      <c r="GA62" s="17">
        <f>FZ62*VLOOKUP('Données projet'!$B$17,Paramètres!$A$1:$I$89,3,0)*VLOOKUP('Données projet'!$B$17,Paramètres!$A$1:$I$89,5,0)</f>
        <v>209.28960000000001</v>
      </c>
      <c r="GB62" s="13">
        <f t="shared" si="49"/>
        <v>51.780314822292169</v>
      </c>
      <c r="GC62" s="20">
        <f t="shared" si="25"/>
        <v>454.69676831549214</v>
      </c>
      <c r="GD62" s="59">
        <f t="shared" si="26"/>
        <v>715.38617550933486</v>
      </c>
      <c r="GE62" s="59">
        <f ca="1">AVERAGE(OFFSET($GD$3,0,0,'Données projet'!$E$17+1,1))-AVERAGE(OFFSET($H$3,0,0,'Données projet'!$E$17+1,1))</f>
        <v>448.73339628506784</v>
      </c>
      <c r="GF62" s="59">
        <f t="shared" si="50"/>
        <v>273.35778700650803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8.2700867995109935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8.2700867995109935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214</v>
      </c>
      <c r="L63" s="12">
        <f>VLOOKUP(A63,'Données projet'!$A$35:$I$55,9,0)</f>
        <v>7.6</v>
      </c>
      <c r="M63" s="12">
        <f t="array" ref="M63">INDEX(L:L,MIN(IF(ISNUMBER(L63:L259),ROW(L63:L259),"")))</f>
        <v>7.6</v>
      </c>
      <c r="N63" s="13">
        <f>IF('Données projet'!$A$36&gt;35,N62+M63-V62,IF(A63&lt;'Données projet'!$A$36,$K$205^A63,IF(A63='Données projet'!$A$36,'Données projet'!$B$36,N62+M63-V62)))</f>
        <v>213.99999999999997</v>
      </c>
      <c r="O63" s="13">
        <f>N63*VLOOKUP('Données projet'!$B$9,Paramètres!$A$1:$I$89,3,0)*VLOOKUP('Données projet'!$B$9,Paramètres!$A$1:$I$89,5,0)</f>
        <v>193.62719999999996</v>
      </c>
      <c r="P63" s="13">
        <f t="shared" si="33"/>
        <v>48.340990547231193</v>
      </c>
      <c r="Q63" s="20">
        <f t="shared" si="53"/>
        <v>421.42793186976087</v>
      </c>
      <c r="R63" s="59">
        <f t="shared" si="0"/>
        <v>682.68363820123841</v>
      </c>
      <c r="S63" s="59">
        <f ca="1">AVERAGE(OFFSET($R$3,0,0,'Données projet'!$E$9+1,1))-AVERAGE(OFFSET($H$3,0,0,'Données projet'!$E$9+1,1))</f>
        <v>408.51124670343137</v>
      </c>
      <c r="T63" s="59">
        <f t="shared" si="34"/>
        <v>250.47702091764884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21</v>
      </c>
      <c r="W63" s="16">
        <f>IF(ISNA(VLOOKUP(A63,'Données projet'!$A$35:$I$55,5,0)),0%,VLOOKUP(A63,'Données projet'!$A$35:$I$55,5,0)*VLOOKUP('Données projet'!$B$9,Paramètres!$A$1:$I$89,7,0))</f>
        <v>0.17200000000000001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10.847584630182402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10.847584630182402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245</v>
      </c>
      <c r="AG63" s="12">
        <f>VLOOKUP(A63,'Données projet'!$A$61:$I$81,9,0)</f>
        <v>5.2</v>
      </c>
      <c r="AH63" s="12">
        <f t="array" ref="AH63">INDEX(AG:AG,MIN(IF(ISNUMBER(AG63:AG259),ROW(AG63:AG259),"")))</f>
        <v>5.2</v>
      </c>
      <c r="AI63" s="13">
        <f>IF('Données projet'!$A$62&gt;35,AI62+AH63-AQ62,IF(A63&lt;'Données projet'!$A$62,$AF$205^A63,IF(A63='Données projet'!$A$62,'Données projet'!$B$62,AI62+AH63-AQ62)))</f>
        <v>244.99999999999972</v>
      </c>
      <c r="AJ63" s="13">
        <f>AI63*VLOOKUP('Données projet'!$B$10,Paramètres!$A$1:$I$89,3,0)*VLOOKUP('Données projet'!$B$10,Paramètres!$A$1:$I$89,5,0)</f>
        <v>194.9219999999998</v>
      </c>
      <c r="AK63" s="13">
        <f t="shared" si="35"/>
        <v>48.626512129794925</v>
      </c>
      <c r="AL63" s="20">
        <f t="shared" si="4"/>
        <v>424.18032529272574</v>
      </c>
      <c r="AM63" s="59">
        <f t="shared" si="5"/>
        <v>685.43603162420322</v>
      </c>
      <c r="AN63" s="59">
        <f ca="1">AVERAGE(OFFSET($AM$3,0,0,'Données projet'!$E$10+1,1))-AVERAGE(OFFSET($H$3,0,0,'Données projet'!$E$10+1,1))</f>
        <v>327.22763817565902</v>
      </c>
      <c r="AO63" s="59">
        <f t="shared" si="36"/>
        <v>311.68541696405975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12</v>
      </c>
      <c r="AR63" s="16">
        <f>IF(ISNA(VLOOKUP(A63,'Données projet'!$A$61:$I$81,5,0)),0%,VLOOKUP(A63,'Données projet'!$A$61:$I$81,5,0)*VLOOKUP('Données projet'!$B$10,Paramètres!$A$1:$I$89,7,0))</f>
        <v>0.21200000000000002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12.016667513356674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12.016667513356674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2.8421709430404007E-14</v>
      </c>
      <c r="BE63" s="13">
        <f>BD63*VLOOKUP('Données projet'!$B$11,Paramètres!$A$1:$I$89,3,0)*VLOOKUP('Données projet'!$B$11,Paramètres!$A$1:$I$89,5,0)</f>
        <v>1.8178525351686402E-14</v>
      </c>
      <c r="BF63" s="13">
        <f t="shared" si="37"/>
        <v>3.3304129621647644E-13</v>
      </c>
      <c r="BG63" s="20">
        <f t="shared" si="7"/>
        <v>6.1170785589788349E-13</v>
      </c>
      <c r="BH63" s="59">
        <f t="shared" si="8"/>
        <v>261.25570633147811</v>
      </c>
      <c r="BI63" s="59">
        <f ca="1">AVERAGE(OFFSET($BH$3,0,0,'Données projet'!$E$11+1,1))-AVERAGE(OFFSET($H$3,0,0,'Données projet'!$E$11+1,1))</f>
        <v>169.46470423366029</v>
      </c>
      <c r="BJ63" s="59">
        <f t="shared" si="38"/>
        <v>230.78141128389288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33.45236881307941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33.45236881307941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207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206.99999999999989</v>
      </c>
      <c r="BZ63" s="13">
        <f>BY63*VLOOKUP('Données projet'!$B$12,Paramètres!$A$1:$I$89,3,0)*VLOOKUP('Données projet'!$B$12,Paramètres!$A$1:$I$89,5,0)</f>
        <v>180.83519999999993</v>
      </c>
      <c r="CA63" s="13">
        <f t="shared" si="39"/>
        <v>45.507952685945099</v>
      </c>
      <c r="CB63" s="20">
        <f t="shared" si="10"/>
        <v>394.21432426135425</v>
      </c>
      <c r="CC63" s="59">
        <f t="shared" si="11"/>
        <v>655.47003059283179</v>
      </c>
      <c r="CD63" s="59">
        <f ca="1">AVERAGE(OFFSET($CC$3,0,0,'Données projet'!$E$12+1,1))-AVERAGE(OFFSET($H$3,0,0,'Données projet'!$E$12+1,1))</f>
        <v>342.79161436526499</v>
      </c>
      <c r="CE63" s="59">
        <f t="shared" si="40"/>
        <v>315.50730924873733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18</v>
      </c>
      <c r="CH63" s="16">
        <f>IF(ISNA(VLOOKUP(A63,'Données projet'!$A$113:$I$133,5,0)),0%,VLOOKUP(A63,'Données projet'!$A$113:$I$133,5,0)*VLOOKUP('Données projet'!$B$12,Paramètres!$A$1:$I$89,7,0))</f>
        <v>0.215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14.787424947891926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14.787424947891926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148</v>
      </c>
      <c r="CR63" s="12">
        <f>VLOOKUP(A63,'Données projet'!$A$139:$I$159,9,0)</f>
        <v>5.4</v>
      </c>
      <c r="CS63" s="12">
        <f t="array" ref="CS63">INDEX(CR:CR,MIN(IF(ISNUMBER(CR63:CR259),ROW(CR63:CR259),"")))</f>
        <v>5.4</v>
      </c>
      <c r="CT63" s="12">
        <f>IF('Données projet'!$A$140&gt;35,CT62+CS63-DB62,IF(A63&lt;'Données projet'!$A$140,$CQ$205^A63,IF(A63='Données projet'!$A$140,'Données projet'!$B$140,CT62+CS63-DB62)))</f>
        <v>147.99999999999997</v>
      </c>
      <c r="CU63" s="17">
        <f>CT63*VLOOKUP('Données projet'!$B$13,Paramètres!$A$1:$I$89,3,0)*VLOOKUP('Données projet'!$B$13,Paramètres!$A$1:$I$89,5,0)</f>
        <v>99.278399999999976</v>
      </c>
      <c r="CV63" s="13">
        <f t="shared" si="41"/>
        <v>26.7900139065807</v>
      </c>
      <c r="CW63" s="20">
        <f t="shared" si="13"/>
        <v>219.56915422062798</v>
      </c>
      <c r="CX63" s="59">
        <f t="shared" si="14"/>
        <v>480.82486055210546</v>
      </c>
      <c r="CY63" s="59">
        <f ca="1">AVERAGE(OFFSET($CX$3,0,0,'Données projet'!$E$13+1,1))-AVERAGE(OFFSET($H$3,0,0,'Données projet'!$E$13+1,1))</f>
        <v>201.84651193684252</v>
      </c>
      <c r="CZ63" s="59">
        <f t="shared" si="42"/>
        <v>138.00705940844708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14</v>
      </c>
      <c r="DC63" s="16">
        <f>IF(ISNA(VLOOKUP(A63,'Données projet'!$A$139:$I$159,5,0)),0%,VLOOKUP(A63,'Données projet'!$A$139:$I$159,5,0)*VLOOKUP('Données projet'!$B$13,Paramètres!$A$1:$I$89,7,0))</f>
        <v>0.159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5.606696011811076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5.606696011811076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1.1368683772161603E-13</v>
      </c>
      <c r="DP63" s="17">
        <f>DO63*VLOOKUP('Données projet'!$B$14,Paramètres!$A$1:$I$89,3,0)*VLOOKUP('Données projet'!$B$14,Paramètres!$A$1:$I$89,5,0)</f>
        <v>8.3355189417488869E-14</v>
      </c>
      <c r="DQ63" s="13">
        <f t="shared" si="43"/>
        <v>1.2790518435140618E-12</v>
      </c>
      <c r="DR63" s="20">
        <f t="shared" si="16"/>
        <v>2.3728589156891171E-12</v>
      </c>
      <c r="DS63" s="59">
        <f t="shared" si="17"/>
        <v>261.25570633147987</v>
      </c>
      <c r="DT63" s="59">
        <f ca="1">AVERAGE(OFFSET($DS$3,0,0,'Données projet'!$E$14+1,1))-AVERAGE(OFFSET($H$3,0,0,'Données projet'!$E$14+1,1))</f>
        <v>242.21240859696931</v>
      </c>
      <c r="DU63" s="59">
        <f t="shared" si="44"/>
        <v>340.92165104349192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63.043241806441706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63.043241806441706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148</v>
      </c>
      <c r="EH63" s="12">
        <f>VLOOKUP(A63,'Données projet'!$A$191:$I$211,9,0)</f>
        <v>5.4</v>
      </c>
      <c r="EI63" s="12">
        <f t="array" ref="EI63">INDEX(EH:EH,MIN(IF(ISNUMBER(EH63:EH259),ROW(EH63:EH259),"")))</f>
        <v>5.4</v>
      </c>
      <c r="EJ63" s="12">
        <f>IF('Données projet'!$A$192&gt;35,EJ62+EI63-ER62,IF(A63&lt;'Données projet'!$A$192,$EG$205^A63,IF(A63='Données projet'!$A$192,'Données projet'!$B$192,EJ62+EI63-ER62)))</f>
        <v>147.99999999999997</v>
      </c>
      <c r="EK63" s="17">
        <f>EJ63*VLOOKUP('Données projet'!$B$15,Paramètres!$A$1:$I$89,3,0)*VLOOKUP('Données projet'!$B$15,Paramètres!$A$1:$I$89,5,0)</f>
        <v>143.14559999999997</v>
      </c>
      <c r="EL63" s="13">
        <f t="shared" si="45"/>
        <v>37.01668374538415</v>
      </c>
      <c r="EM63" s="20">
        <f t="shared" si="19"/>
        <v>313.78264418987732</v>
      </c>
      <c r="EN63" s="59">
        <f t="shared" si="20"/>
        <v>575.0383505213548</v>
      </c>
      <c r="EO63" s="59">
        <f ca="1">AVERAGE(OFFSET($EN$3,0,0,'Données projet'!$E$15+1,1))-AVERAGE(OFFSET($H$3,0,0,'Données projet'!$E$15+1,1))</f>
        <v>331.7059599630698</v>
      </c>
      <c r="EP63" s="59">
        <f t="shared" si="46"/>
        <v>173.19148969173838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14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148</v>
      </c>
      <c r="FC63" s="12">
        <f>VLOOKUP(A63,'Données projet'!$A$217:$I$237,9,0)</f>
        <v>5.4</v>
      </c>
      <c r="FD63" s="12">
        <f t="array" ref="FD63">INDEX(FC:FC,MIN(IF(ISNUMBER(FC63:FC259),ROW(FC63:FC259),"")))</f>
        <v>5.4</v>
      </c>
      <c r="FE63" s="12">
        <f>IF('Données projet'!$A$218&gt;35,FE62+FD63-FM62,IF(A63&lt;'Données projet'!$A$218,$FB$205^A63,IF(A63='Données projet'!$A$218,'Données projet'!$B$218,FE62+FD63-FM62)))</f>
        <v>147.99999999999997</v>
      </c>
      <c r="FF63" s="17">
        <f>FE63*VLOOKUP('Données projet'!$B$16,Paramètres!$A$1:$I$89,3,0)*VLOOKUP('Données projet'!$B$16,Paramètres!$A$1:$I$89,5,0)</f>
        <v>159.30719999999997</v>
      </c>
      <c r="FG63" s="13">
        <f t="shared" si="47"/>
        <v>40.686212990054052</v>
      </c>
      <c r="FH63" s="20">
        <f t="shared" si="22"/>
        <v>348.32186095767742</v>
      </c>
      <c r="FI63" s="59">
        <f t="shared" si="23"/>
        <v>609.5775672891549</v>
      </c>
      <c r="FJ63" s="59">
        <f ca="1">AVERAGE(OFFSET($FI$3,0,0,'Données projet'!$E$16+1,1))-AVERAGE(OFFSET($H$3,0,0,'Données projet'!$E$16+1,1))</f>
        <v>360.86062459677004</v>
      </c>
      <c r="FK63" s="59">
        <f t="shared" si="48"/>
        <v>186.0840067781198</v>
      </c>
      <c r="FL63" s="15">
        <f>IF(ISNA(VLOOKUP(A63,'Données projet'!$A$217:$I$237,3,0)),0,VLOOKUP(A63,'Données projet'!$A$217:$I$237,3,0))</f>
        <v>8</v>
      </c>
      <c r="FM63" s="15">
        <f>IF(ISNA(VLOOKUP(A63,'Données projet'!$A$217:$I$237,4,0)),0,VLOOKUP(A63,'Données projet'!$A$217:$I$237,4,0))</f>
        <v>14</v>
      </c>
      <c r="FN63" s="16">
        <f>IF(ISNA(VLOOKUP(A63,'Données projet'!$A$217:$I$237,5,0)),0%,VLOOKUP(A63,'Données projet'!$A$217:$I$237,5,0)*VLOOKUP('Données projet'!$B$16,Paramètres!$A$1:$I$89,7,0))</f>
        <v>0.129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7.2992834870747938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7.2992834870747938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214</v>
      </c>
      <c r="FX63" s="12">
        <f>VLOOKUP(A63,'Données projet'!$A$243:$I$263,9,0)</f>
        <v>7.6</v>
      </c>
      <c r="FY63" s="12">
        <f t="array" ref="FY63">INDEX(FX:FX,MIN(IF(ISNUMBER(FX63:FX259),ROW(FX63:FX259),"")))</f>
        <v>7.6</v>
      </c>
      <c r="FZ63" s="12">
        <f>IF('Données projet'!$A$244&gt;35,FZ62+FY63-GH62,IF(A63&lt;'Données projet'!$A$244,$FW$205^A63,IF(A63='Données projet'!$A$244,'Données projet'!$B$244,FZ62+FY63-GH62)))</f>
        <v>213.99999999999997</v>
      </c>
      <c r="GA63" s="17">
        <f>FZ63*VLOOKUP('Données projet'!$B$17,Paramètres!$A$1:$I$89,3,0)*VLOOKUP('Données projet'!$B$17,Paramètres!$A$1:$I$89,5,0)</f>
        <v>216.99600000000001</v>
      </c>
      <c r="GB63" s="13">
        <f t="shared" si="49"/>
        <v>53.461459647386917</v>
      </c>
      <c r="GC63" s="20">
        <f t="shared" si="25"/>
        <v>471.04674221919896</v>
      </c>
      <c r="GD63" s="59">
        <f t="shared" si="26"/>
        <v>732.30244855067644</v>
      </c>
      <c r="GE63" s="59">
        <f ca="1">AVERAGE(OFFSET($GD$3,0,0,'Données projet'!$E$17+1,1))-AVERAGE(OFFSET($H$3,0,0,'Données projet'!$E$17+1,1))</f>
        <v>448.73339628506784</v>
      </c>
      <c r="GF63" s="59">
        <f t="shared" si="50"/>
        <v>273.35778700650803</v>
      </c>
      <c r="GG63" s="15">
        <f>IF(ISNA(VLOOKUP(A63,'Données projet'!$A$243:$I$263,3,0)),0,VLOOKUP(A63,'Données projet'!$A$243:$I$263,3,0))</f>
        <v>9</v>
      </c>
      <c r="GH63" s="15">
        <f>IF(ISNA(VLOOKUP(A63,'Données projet'!$A$243:$I$263,4,0)),0,VLOOKUP(A63,'Données projet'!$A$243:$I$263,4,0))</f>
        <v>21</v>
      </c>
      <c r="GI63" s="16">
        <f>IF(ISNA(VLOOKUP(A63,'Données projet'!$A$243:$I$263,5,0)),0%,VLOOKUP(A63,'Données projet'!$A$243:$I$263,5,0)*VLOOKUP('Données projet'!$B$17,Paramètres!$A$1:$I$89,7,0))</f>
        <v>0.17200000000000001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12.156775878652692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12.156775878652692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7.2</v>
      </c>
      <c r="N64" s="13">
        <f>IF('Données projet'!$A$36&gt;35,N63+M64-V63,IF(A64&lt;'Données projet'!$A$36,$K$205^A64,IF(A64='Données projet'!$A$36,'Données projet'!$B$36,N63+M64-V63)))</f>
        <v>200.19999999999996</v>
      </c>
      <c r="O64" s="13">
        <f>N64*VLOOKUP('Données projet'!$B$9,Paramètres!$A$1:$I$89,3,0)*VLOOKUP('Données projet'!$B$9,Paramètres!$A$1:$I$89,5,0)</f>
        <v>181.14095999999995</v>
      </c>
      <c r="P64" s="13">
        <f t="shared" si="33"/>
        <v>45.575935320610945</v>
      </c>
      <c r="Q64" s="20">
        <f t="shared" si="53"/>
        <v>394.86525935006392</v>
      </c>
      <c r="R64" s="59">
        <f t="shared" si="0"/>
        <v>656.67744079519321</v>
      </c>
      <c r="S64" s="59">
        <f ca="1">AVERAGE(OFFSET($R$3,0,0,'Données projet'!$E$9+1,1))-AVERAGE(OFFSET($H$3,0,0,'Données projet'!$E$9+1,1))</f>
        <v>408.51124670343137</v>
      </c>
      <c r="T64" s="59">
        <f t="shared" si="34"/>
        <v>250.47702091764884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10.634870111957836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10.634870111957836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4.4000000000000004</v>
      </c>
      <c r="AI64" s="13">
        <f>IF('Données projet'!$A$62&gt;35,AI63+AH64-AQ63,IF(A64&lt;'Données projet'!$A$62,$AF$205^A64,IF(A64='Données projet'!$A$62,'Données projet'!$B$62,AI63+AH64-AQ63)))</f>
        <v>237.39999999999972</v>
      </c>
      <c r="AJ64" s="13">
        <f>AI64*VLOOKUP('Données projet'!$B$10,Paramètres!$A$1:$I$89,3,0)*VLOOKUP('Données projet'!$B$10,Paramètres!$A$1:$I$89,5,0)</f>
        <v>188.87543999999977</v>
      </c>
      <c r="AK64" s="13">
        <f t="shared" si="35"/>
        <v>47.291242769027683</v>
      </c>
      <c r="AL64" s="20">
        <f t="shared" si="4"/>
        <v>411.32363915605612</v>
      </c>
      <c r="AM64" s="59">
        <f t="shared" si="5"/>
        <v>673.13582060118551</v>
      </c>
      <c r="AN64" s="59">
        <f ca="1">AVERAGE(OFFSET($AM$3,0,0,'Données projet'!$E$10+1,1))-AVERAGE(OFFSET($H$3,0,0,'Données projet'!$E$10+1,1))</f>
        <v>327.22763817565902</v>
      </c>
      <c r="AO64" s="59">
        <f t="shared" si="36"/>
        <v>311.68541696405975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11.78102799286321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11.78102799286321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2.8421709430404007E-14</v>
      </c>
      <c r="BE64" s="13">
        <f>BD64*VLOOKUP('Données projet'!$B$11,Paramètres!$A$1:$I$89,3,0)*VLOOKUP('Données projet'!$B$11,Paramètres!$A$1:$I$89,5,0)</f>
        <v>1.8178525351686402E-14</v>
      </c>
      <c r="BF64" s="13">
        <f t="shared" si="37"/>
        <v>3.3304129621647644E-13</v>
      </c>
      <c r="BG64" s="20">
        <f t="shared" si="7"/>
        <v>6.1170785589788349E-13</v>
      </c>
      <c r="BH64" s="59">
        <f t="shared" si="8"/>
        <v>261.81218144512997</v>
      </c>
      <c r="BI64" s="59">
        <f ca="1">AVERAGE(OFFSET($BH$3,0,0,'Données projet'!$E$11+1,1))-AVERAGE(OFFSET($H$3,0,0,'Données projet'!$E$11+1,1))</f>
        <v>169.46470423366029</v>
      </c>
      <c r="BJ64" s="59">
        <f t="shared" si="38"/>
        <v>230.78141128389288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32.796388264585175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32.796388264585175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</v>
      </c>
      <c r="BY64" s="12">
        <f>IF('Données projet'!$A$114&gt;35,BY63+BX64-CG63,IF(A64&lt;'Données projet'!$A$114,$BV$205^A64,IF(A64='Données projet'!$A$114,'Données projet'!$B$114,BY63+BX64-CG63)))</f>
        <v>193.99999999999989</v>
      </c>
      <c r="BZ64" s="13">
        <f>BY64*VLOOKUP('Données projet'!$B$12,Paramètres!$A$1:$I$89,3,0)*VLOOKUP('Données projet'!$B$12,Paramètres!$A$1:$I$89,5,0)</f>
        <v>169.47839999999991</v>
      </c>
      <c r="CA64" s="13">
        <f t="shared" si="39"/>
        <v>42.973181651930297</v>
      </c>
      <c r="CB64" s="20">
        <f t="shared" si="10"/>
        <v>370.01983804377841</v>
      </c>
      <c r="CC64" s="59">
        <f t="shared" si="11"/>
        <v>631.83201948890769</v>
      </c>
      <c r="CD64" s="59">
        <f ca="1">AVERAGE(OFFSET($CC$3,0,0,'Données projet'!$E$12+1,1))-AVERAGE(OFFSET($H$3,0,0,'Données projet'!$E$12+1,1))</f>
        <v>342.79161436526499</v>
      </c>
      <c r="CE64" s="59">
        <f t="shared" si="40"/>
        <v>315.50730924873733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14.497452564102389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14.497452564102389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5.4</v>
      </c>
      <c r="CT64" s="12">
        <f>IF('Données projet'!$A$140&gt;35,CT63+CS64-DB63,IF(A64&lt;'Données projet'!$A$140,$CQ$205^A64,IF(A64='Données projet'!$A$140,'Données projet'!$B$140,CT63+CS64-DB63)))</f>
        <v>139.39999999999998</v>
      </c>
      <c r="CU64" s="17">
        <f>CT64*VLOOKUP('Données projet'!$B$13,Paramètres!$A$1:$I$89,3,0)*VLOOKUP('Données projet'!$B$13,Paramètres!$A$1:$I$89,5,0)</f>
        <v>93.509519999999981</v>
      </c>
      <c r="CV64" s="13">
        <f t="shared" si="41"/>
        <v>25.409743099681585</v>
      </c>
      <c r="CW64" s="20">
        <f t="shared" si="13"/>
        <v>207.1177165652787</v>
      </c>
      <c r="CX64" s="59">
        <f t="shared" si="14"/>
        <v>468.92989801040801</v>
      </c>
      <c r="CY64" s="59">
        <f ca="1">AVERAGE(OFFSET($CX$3,0,0,'Données projet'!$E$13+1,1))-AVERAGE(OFFSET($H$3,0,0,'Données projet'!$E$13+1,1))</f>
        <v>201.84651193684252</v>
      </c>
      <c r="CZ64" s="59">
        <f t="shared" si="42"/>
        <v>138.00705940844708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5.4967521227663561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5.4967521227663561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1.1368683772161603E-13</v>
      </c>
      <c r="DP64" s="17">
        <f>DO64*VLOOKUP('Données projet'!$B$14,Paramètres!$A$1:$I$89,3,0)*VLOOKUP('Données projet'!$B$14,Paramètres!$A$1:$I$89,5,0)</f>
        <v>8.3355189417488869E-14</v>
      </c>
      <c r="DQ64" s="13">
        <f t="shared" si="43"/>
        <v>1.2790518435140618E-12</v>
      </c>
      <c r="DR64" s="20">
        <f t="shared" si="16"/>
        <v>2.3728589156891171E-12</v>
      </c>
      <c r="DS64" s="59">
        <f t="shared" si="17"/>
        <v>261.81218144513173</v>
      </c>
      <c r="DT64" s="59">
        <f ca="1">AVERAGE(OFFSET($DS$3,0,0,'Données projet'!$E$14+1,1))-AVERAGE(OFFSET($H$3,0,0,'Données projet'!$E$14+1,1))</f>
        <v>242.21240859696931</v>
      </c>
      <c r="DU64" s="59">
        <f t="shared" si="44"/>
        <v>340.92165104349192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61.80700228719801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61.80700228719801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5.4</v>
      </c>
      <c r="EJ64" s="12">
        <f>IF('Données projet'!$A$192&gt;35,EJ63+EI64-ER63,IF(A64&lt;'Données projet'!$A$192,$EG$205^A64,IF(A64='Données projet'!$A$192,'Données projet'!$B$192,EJ63+EI64-ER63)))</f>
        <v>139.39999999999998</v>
      </c>
      <c r="EK64" s="17">
        <f>EJ64*VLOOKUP('Données projet'!$B$15,Paramètres!$A$1:$I$89,3,0)*VLOOKUP('Données projet'!$B$15,Paramètres!$A$1:$I$89,5,0)</f>
        <v>134.82767999999999</v>
      </c>
      <c r="EL64" s="13">
        <f t="shared" si="45"/>
        <v>35.109516092536481</v>
      </c>
      <c r="EM64" s="20">
        <f t="shared" si="19"/>
        <v>295.97394986116763</v>
      </c>
      <c r="EN64" s="59">
        <f t="shared" si="20"/>
        <v>557.78613130629697</v>
      </c>
      <c r="EO64" s="59">
        <f ca="1">AVERAGE(OFFSET($EN$3,0,0,'Données projet'!$E$15+1,1))-AVERAGE(OFFSET($H$3,0,0,'Données projet'!$E$15+1,1))</f>
        <v>331.7059599630698</v>
      </c>
      <c r="EP64" s="59">
        <f t="shared" si="46"/>
        <v>173.19148969173838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5.4</v>
      </c>
      <c r="FE64" s="12">
        <f>IF('Données projet'!$A$218&gt;35,FE63+FD64-FM63,IF(A64&lt;'Données projet'!$A$218,$FB$205^A64,IF(A64='Données projet'!$A$218,'Données projet'!$B$218,FE63+FD64-FM63)))</f>
        <v>139.39999999999998</v>
      </c>
      <c r="FF64" s="17">
        <f>FE64*VLOOKUP('Données projet'!$B$16,Paramètres!$A$1:$I$89,3,0)*VLOOKUP('Données projet'!$B$16,Paramètres!$A$1:$I$89,5,0)</f>
        <v>150.05015999999998</v>
      </c>
      <c r="FG64" s="13">
        <f t="shared" si="47"/>
        <v>38.589984439024569</v>
      </c>
      <c r="FH64" s="20">
        <f t="shared" si="22"/>
        <v>328.54825156463437</v>
      </c>
      <c r="FI64" s="59">
        <f t="shared" si="23"/>
        <v>590.36043300976371</v>
      </c>
      <c r="FJ64" s="59">
        <f ca="1">AVERAGE(OFFSET($FI$3,0,0,'Données projet'!$E$16+1,1))-AVERAGE(OFFSET($H$3,0,0,'Données projet'!$E$16+1,1))</f>
        <v>360.86062459677004</v>
      </c>
      <c r="FK64" s="59">
        <f t="shared" si="48"/>
        <v>186.0840067781198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7.1561489900165736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7.1561489900165736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7.2</v>
      </c>
      <c r="FZ64" s="12">
        <f>IF('Données projet'!$A$244&gt;35,FZ63+FY64-GH63,IF(A64&lt;'Données projet'!$A$244,$FW$205^A64,IF(A64='Données projet'!$A$244,'Données projet'!$B$244,FZ63+FY64-GH63)))</f>
        <v>200.19999999999996</v>
      </c>
      <c r="GA64" s="17">
        <f>FZ64*VLOOKUP('Données projet'!$B$17,Paramètres!$A$1:$I$89,3,0)*VLOOKUP('Données projet'!$B$17,Paramètres!$A$1:$I$89,5,0)</f>
        <v>203.00279999999995</v>
      </c>
      <c r="GB64" s="13">
        <f t="shared" si="49"/>
        <v>50.403518824343074</v>
      </c>
      <c r="GC64" s="20">
        <f t="shared" si="25"/>
        <v>441.3493386190641</v>
      </c>
      <c r="GD64" s="59">
        <f t="shared" si="26"/>
        <v>703.16152006419338</v>
      </c>
      <c r="GE64" s="59">
        <f ca="1">AVERAGE(OFFSET($GD$3,0,0,'Données projet'!$E$17+1,1))-AVERAGE(OFFSET($H$3,0,0,'Données projet'!$E$17+1,1))</f>
        <v>448.73339628506784</v>
      </c>
      <c r="GF64" s="59">
        <f t="shared" si="50"/>
        <v>273.35778700650803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11.918388918573438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11.918388918573438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7.2</v>
      </c>
      <c r="N65" s="13">
        <f>IF('Données projet'!$A$36&gt;35,N64+M65-V64,IF(A65&lt;'Données projet'!$A$36,$K$205^A65,IF(A65='Données projet'!$A$36,'Données projet'!$B$36,N64+M65-V64)))</f>
        <v>207.39999999999995</v>
      </c>
      <c r="O65" s="13">
        <f>N65*VLOOKUP('Données projet'!$B$9,Paramètres!$A$1:$I$89,3,0)*VLOOKUP('Données projet'!$B$9,Paramètres!$A$1:$I$89,5,0)</f>
        <v>187.65551999999994</v>
      </c>
      <c r="P65" s="13">
        <f t="shared" si="33"/>
        <v>47.021247649900147</v>
      </c>
      <c r="Q65" s="20">
        <f t="shared" si="53"/>
        <v>408.72870365690932</v>
      </c>
      <c r="R65" s="59">
        <f t="shared" si="0"/>
        <v>671.08770661656058</v>
      </c>
      <c r="S65" s="59">
        <f ca="1">AVERAGE(OFFSET($R$3,0,0,'Données projet'!$E$9+1,1))-AVERAGE(OFFSET($H$3,0,0,'Données projet'!$E$9+1,1))</f>
        <v>408.51124670343137</v>
      </c>
      <c r="T65" s="59">
        <f t="shared" si="34"/>
        <v>250.47702091764884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10.42632679569261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10.42632679569261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4.4000000000000004</v>
      </c>
      <c r="AI65" s="13">
        <f>IF('Données projet'!$A$62&gt;35,AI64+AH65-AQ64,IF(A65&lt;'Données projet'!$A$62,$AF$205^A65,IF(A65='Données projet'!$A$62,'Données projet'!$B$62,AI64+AH65-AQ64)))</f>
        <v>241.79999999999973</v>
      </c>
      <c r="AJ65" s="13">
        <f>AI65*VLOOKUP('Données projet'!$B$10,Paramètres!$A$1:$I$89,3,0)*VLOOKUP('Données projet'!$B$10,Paramètres!$A$1:$I$89,5,0)</f>
        <v>192.3760799999998</v>
      </c>
      <c r="AK65" s="13">
        <f t="shared" si="35"/>
        <v>48.064889828485896</v>
      </c>
      <c r="AL65" s="20">
        <f t="shared" si="4"/>
        <v>418.76802245127919</v>
      </c>
      <c r="AM65" s="59">
        <f t="shared" si="5"/>
        <v>681.12702541093051</v>
      </c>
      <c r="AN65" s="59">
        <f ca="1">AVERAGE(OFFSET($AM$3,0,0,'Données projet'!$E$10+1,1))-AVERAGE(OFFSET($H$3,0,0,'Données projet'!$E$10+1,1))</f>
        <v>327.22763817565902</v>
      </c>
      <c r="AO65" s="59">
        <f t="shared" si="36"/>
        <v>311.68541696405975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11.550009219640708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11.550009219640708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2.8421709430404007E-14</v>
      </c>
      <c r="BE65" s="13">
        <f>BD65*VLOOKUP('Données projet'!$B$11,Paramètres!$A$1:$I$89,3,0)*VLOOKUP('Données projet'!$B$11,Paramètres!$A$1:$I$89,5,0)</f>
        <v>1.8178525351686402E-14</v>
      </c>
      <c r="BF65" s="13">
        <f t="shared" si="37"/>
        <v>3.3304129621647644E-13</v>
      </c>
      <c r="BG65" s="20">
        <f t="shared" si="7"/>
        <v>6.1170785589788349E-13</v>
      </c>
      <c r="BH65" s="59">
        <f t="shared" si="8"/>
        <v>262.35900295965195</v>
      </c>
      <c r="BI65" s="59">
        <f ca="1">AVERAGE(OFFSET($BH$3,0,0,'Données projet'!$E$11+1,1))-AVERAGE(OFFSET($H$3,0,0,'Données projet'!$E$11+1,1))</f>
        <v>169.46470423366029</v>
      </c>
      <c r="BJ65" s="59">
        <f t="shared" si="38"/>
        <v>230.78141128389288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32.15327109453829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32.15327109453829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</v>
      </c>
      <c r="BY65" s="12">
        <f>IF('Données projet'!$A$114&gt;35,BY64+BX65-CG64,IF(A65&lt;'Données projet'!$A$114,$BV$205^A65,IF(A65='Données projet'!$A$114,'Données projet'!$B$114,BY64+BX65-CG64)))</f>
        <v>198.99999999999989</v>
      </c>
      <c r="BZ65" s="13">
        <f>BY65*VLOOKUP('Données projet'!$B$12,Paramètres!$A$1:$I$89,3,0)*VLOOKUP('Données projet'!$B$12,Paramètres!$A$1:$I$89,5,0)</f>
        <v>173.8463999999999</v>
      </c>
      <c r="CA65" s="13">
        <f t="shared" si="39"/>
        <v>43.950364270382252</v>
      </c>
      <c r="CB65" s="20">
        <f t="shared" si="10"/>
        <v>379.32936443758223</v>
      </c>
      <c r="CC65" s="59">
        <f t="shared" si="11"/>
        <v>641.68836739723361</v>
      </c>
      <c r="CD65" s="59">
        <f ca="1">AVERAGE(OFFSET($CC$3,0,0,'Données projet'!$E$12+1,1))-AVERAGE(OFFSET($H$3,0,0,'Données projet'!$E$12+1,1))</f>
        <v>342.79161436526499</v>
      </c>
      <c r="CE65" s="59">
        <f t="shared" si="40"/>
        <v>315.50730924873733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14.213166361893274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14.213166361893274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5.4</v>
      </c>
      <c r="CT65" s="12">
        <f>IF('Données projet'!$A$140&gt;35,CT64+CS65-DB64,IF(A65&lt;'Données projet'!$A$140,$CQ$205^A65,IF(A65='Données projet'!$A$140,'Données projet'!$B$140,CT64+CS65-DB64)))</f>
        <v>144.79999999999998</v>
      </c>
      <c r="CU65" s="17">
        <f>CT65*VLOOKUP('Données projet'!$B$13,Paramètres!$A$1:$I$89,3,0)*VLOOKUP('Données projet'!$B$13,Paramètres!$A$1:$I$89,5,0)</f>
        <v>97.131839999999983</v>
      </c>
      <c r="CV65" s="13">
        <f t="shared" si="41"/>
        <v>26.27754500614984</v>
      </c>
      <c r="CW65" s="20">
        <f t="shared" si="13"/>
        <v>214.93801221904425</v>
      </c>
      <c r="CX65" s="59">
        <f t="shared" si="14"/>
        <v>477.29701517869557</v>
      </c>
      <c r="CY65" s="59">
        <f ca="1">AVERAGE(OFFSET($CX$3,0,0,'Données projet'!$E$13+1,1))-AVERAGE(OFFSET($H$3,0,0,'Données projet'!$E$13+1,1))</f>
        <v>201.84651193684252</v>
      </c>
      <c r="CZ65" s="59">
        <f t="shared" si="42"/>
        <v>138.00705940844708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5.3889641663266525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5.3889641663266525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1.1368683772161603E-13</v>
      </c>
      <c r="DP65" s="17">
        <f>DO65*VLOOKUP('Données projet'!$B$14,Paramètres!$A$1:$I$89,3,0)*VLOOKUP('Données projet'!$B$14,Paramètres!$A$1:$I$89,5,0)</f>
        <v>8.3355189417488869E-14</v>
      </c>
      <c r="DQ65" s="13">
        <f t="shared" si="43"/>
        <v>1.2790518435140618E-12</v>
      </c>
      <c r="DR65" s="20">
        <f t="shared" si="16"/>
        <v>2.3728589156891171E-12</v>
      </c>
      <c r="DS65" s="59">
        <f t="shared" si="17"/>
        <v>262.35900295965371</v>
      </c>
      <c r="DT65" s="59">
        <f ca="1">AVERAGE(OFFSET($DS$3,0,0,'Données projet'!$E$14+1,1))-AVERAGE(OFFSET($H$3,0,0,'Données projet'!$E$14+1,1))</f>
        <v>242.21240859696931</v>
      </c>
      <c r="DU65" s="59">
        <f t="shared" si="44"/>
        <v>340.92165104349192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60.59500467089503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60.59500467089503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5.4</v>
      </c>
      <c r="EJ65" s="12">
        <f>IF('Données projet'!$A$192&gt;35,EJ64+EI65-ER64,IF(A65&lt;'Données projet'!$A$192,$EG$205^A65,IF(A65='Données projet'!$A$192,'Données projet'!$B$192,EJ64+EI65-ER64)))</f>
        <v>144.79999999999998</v>
      </c>
      <c r="EK65" s="17">
        <f>EJ65*VLOOKUP('Données projet'!$B$15,Paramètres!$A$1:$I$89,3,0)*VLOOKUP('Données projet'!$B$15,Paramètres!$A$1:$I$89,5,0)</f>
        <v>140.05055999999999</v>
      </c>
      <c r="EL65" s="13">
        <f t="shared" si="45"/>
        <v>36.308587837605089</v>
      </c>
      <c r="EM65" s="20">
        <f t="shared" si="19"/>
        <v>307.15884915049543</v>
      </c>
      <c r="EN65" s="59">
        <f t="shared" si="20"/>
        <v>569.5178521101468</v>
      </c>
      <c r="EO65" s="59">
        <f ca="1">AVERAGE(OFFSET($EN$3,0,0,'Données projet'!$E$15+1,1))-AVERAGE(OFFSET($H$3,0,0,'Données projet'!$E$15+1,1))</f>
        <v>331.7059599630698</v>
      </c>
      <c r="EP65" s="59">
        <f t="shared" si="46"/>
        <v>173.19148969173838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5.4</v>
      </c>
      <c r="FE65" s="12">
        <f>IF('Données projet'!$A$218&gt;35,FE64+FD65-FM64,IF(A65&lt;'Données projet'!$A$218,$FB$205^A65,IF(A65='Données projet'!$A$218,'Données projet'!$B$218,FE64+FD65-FM64)))</f>
        <v>144.79999999999998</v>
      </c>
      <c r="FF65" s="17">
        <f>FE65*VLOOKUP('Données projet'!$B$16,Paramètres!$A$1:$I$89,3,0)*VLOOKUP('Données projet'!$B$16,Paramètres!$A$1:$I$89,5,0)</f>
        <v>155.86271999999997</v>
      </c>
      <c r="FG65" s="13">
        <f t="shared" si="47"/>
        <v>39.907922284180763</v>
      </c>
      <c r="FH65" s="20">
        <f t="shared" si="22"/>
        <v>340.96720197828142</v>
      </c>
      <c r="FI65" s="59">
        <f t="shared" si="23"/>
        <v>603.32620493793274</v>
      </c>
      <c r="FJ65" s="59">
        <f ca="1">AVERAGE(OFFSET($FI$3,0,0,'Données projet'!$E$16+1,1))-AVERAGE(OFFSET($H$3,0,0,'Données projet'!$E$16+1,1))</f>
        <v>360.86062459677004</v>
      </c>
      <c r="FK65" s="59">
        <f t="shared" si="48"/>
        <v>186.0840067781198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7.015821273142242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7.015821273142242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7.2</v>
      </c>
      <c r="FZ65" s="12">
        <f>IF('Données projet'!$A$244&gt;35,FZ64+FY65-GH64,IF(A65&lt;'Données projet'!$A$244,$FW$205^A65,IF(A65='Données projet'!$A$244,'Données projet'!$B$244,FZ64+FY65-GH64)))</f>
        <v>207.39999999999995</v>
      </c>
      <c r="GA65" s="17">
        <f>FZ65*VLOOKUP('Données projet'!$B$17,Paramètres!$A$1:$I$89,3,0)*VLOOKUP('Données projet'!$B$17,Paramètres!$A$1:$I$89,5,0)</f>
        <v>210.30359999999996</v>
      </c>
      <c r="GB65" s="13">
        <f t="shared" si="49"/>
        <v>52.001924357524459</v>
      </c>
      <c r="GC65" s="20">
        <f t="shared" si="25"/>
        <v>456.84878825602163</v>
      </c>
      <c r="GD65" s="59">
        <f t="shared" si="26"/>
        <v>719.20779121567296</v>
      </c>
      <c r="GE65" s="59">
        <f ca="1">AVERAGE(OFFSET($GD$3,0,0,'Données projet'!$E$17+1,1))-AVERAGE(OFFSET($H$3,0,0,'Données projet'!$E$17+1,1))</f>
        <v>448.73339628506784</v>
      </c>
      <c r="GF65" s="59">
        <f t="shared" si="50"/>
        <v>273.35778700650803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11.68467658137965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11.68467658137965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7.2</v>
      </c>
      <c r="N66" s="13">
        <f>IF('Données projet'!$A$36&gt;35,N65+M66-V65,IF(A66&lt;'Données projet'!$A$36,$K$205^A66,IF(A66='Données projet'!$A$36,'Données projet'!$B$36,N65+M66-V65)))</f>
        <v>214.59999999999994</v>
      </c>
      <c r="O66" s="13">
        <f>N66*VLOOKUP('Données projet'!$B$9,Paramètres!$A$1:$I$89,3,0)*VLOOKUP('Données projet'!$B$9,Paramètres!$A$1:$I$89,5,0)</f>
        <v>194.17007999999996</v>
      </c>
      <c r="P66" s="13">
        <f t="shared" si="33"/>
        <v>48.460730182351035</v>
      </c>
      <c r="Q66" s="20">
        <f t="shared" si="53"/>
        <v>422.5819944009279</v>
      </c>
      <c r="R66" s="59">
        <f t="shared" si="0"/>
        <v>685.47833274433401</v>
      </c>
      <c r="S66" s="59">
        <f ca="1">AVERAGE(OFFSET($R$3,0,0,'Données projet'!$E$9+1,1))-AVERAGE(OFFSET($H$3,0,0,'Données projet'!$E$9+1,1))</f>
        <v>408.51124670343137</v>
      </c>
      <c r="T66" s="59">
        <f t="shared" si="34"/>
        <v>250.47702091764884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10.221872886660481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10.221872886660481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4.4000000000000004</v>
      </c>
      <c r="AI66" s="13">
        <f>IF('Données projet'!$A$62&gt;35,AI65+AH66-AQ65,IF(A66&lt;'Données projet'!$A$62,$AF$205^A66,IF(A66='Données projet'!$A$62,'Données projet'!$B$62,AI65+AH66-AQ65)))</f>
        <v>246.19999999999973</v>
      </c>
      <c r="AJ66" s="13">
        <f>AI66*VLOOKUP('Données projet'!$B$10,Paramètres!$A$1:$I$89,3,0)*VLOOKUP('Données projet'!$B$10,Paramètres!$A$1:$I$89,5,0)</f>
        <v>195.87671999999981</v>
      </c>
      <c r="AK66" s="13">
        <f t="shared" si="35"/>
        <v>48.836899853879899</v>
      </c>
      <c r="AL66" s="20">
        <f t="shared" si="4"/>
        <v>426.20955457884048</v>
      </c>
      <c r="AM66" s="59">
        <f t="shared" si="5"/>
        <v>689.10589292224654</v>
      </c>
      <c r="AN66" s="59">
        <f ca="1">AVERAGE(OFFSET($AM$3,0,0,'Données projet'!$E$10+1,1))-AVERAGE(OFFSET($H$3,0,0,'Données projet'!$E$10+1,1))</f>
        <v>327.22763817565902</v>
      </c>
      <c r="AO66" s="59">
        <f t="shared" si="36"/>
        <v>311.68541696405975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11.323520583653561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11.323520583653561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2.8421709430404007E-14</v>
      </c>
      <c r="BE66" s="13">
        <f>BD66*VLOOKUP('Données projet'!$B$11,Paramètres!$A$1:$I$89,3,0)*VLOOKUP('Données projet'!$B$11,Paramètres!$A$1:$I$89,5,0)</f>
        <v>1.8178525351686402E-14</v>
      </c>
      <c r="BF66" s="13">
        <f t="shared" si="37"/>
        <v>3.3304129621647644E-13</v>
      </c>
      <c r="BG66" s="20">
        <f t="shared" si="7"/>
        <v>6.1170785589788349E-13</v>
      </c>
      <c r="BH66" s="59">
        <f t="shared" si="8"/>
        <v>262.89633834340674</v>
      </c>
      <c r="BI66" s="59">
        <f ca="1">AVERAGE(OFFSET($BH$3,0,0,'Données projet'!$E$11+1,1))-AVERAGE(OFFSET($H$3,0,0,'Données projet'!$E$11+1,1))</f>
        <v>169.46470423366029</v>
      </c>
      <c r="BJ66" s="59">
        <f t="shared" si="38"/>
        <v>230.78141128389288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31.522765059933281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31.522765059933281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</v>
      </c>
      <c r="BY66" s="12">
        <f>IF('Données projet'!$A$114&gt;35,BY65+BX66-CG65,IF(A66&lt;'Données projet'!$A$114,$BV$205^A66,IF(A66='Données projet'!$A$114,'Données projet'!$B$114,BY65+BX66-CG65)))</f>
        <v>203.99999999999989</v>
      </c>
      <c r="BZ66" s="13">
        <f>BY66*VLOOKUP('Données projet'!$B$12,Paramètres!$A$1:$I$89,3,0)*VLOOKUP('Données projet'!$B$12,Paramètres!$A$1:$I$89,5,0)</f>
        <v>178.21439999999993</v>
      </c>
      <c r="CA66" s="13">
        <f t="shared" si="39"/>
        <v>44.924692855664325</v>
      </c>
      <c r="CB66" s="20">
        <f t="shared" si="10"/>
        <v>388.63392005694851</v>
      </c>
      <c r="CC66" s="59">
        <f t="shared" si="11"/>
        <v>651.53025840035457</v>
      </c>
      <c r="CD66" s="59">
        <f ca="1">AVERAGE(OFFSET($CC$3,0,0,'Données projet'!$E$12+1,1))-AVERAGE(OFFSET($H$3,0,0,'Données projet'!$E$12+1,1))</f>
        <v>342.79161436526499</v>
      </c>
      <c r="CE66" s="59">
        <f t="shared" si="40"/>
        <v>315.50730924873733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13.934454838712018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13.934454838712018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5.4</v>
      </c>
      <c r="CT66" s="12">
        <f>IF('Données projet'!$A$140&gt;35,CT65+CS66-DB65,IF(A66&lt;'Données projet'!$A$140,$CQ$205^A66,IF(A66='Données projet'!$A$140,'Données projet'!$B$140,CT65+CS66-DB65)))</f>
        <v>150.19999999999999</v>
      </c>
      <c r="CU66" s="17">
        <f>CT66*VLOOKUP('Données projet'!$B$13,Paramètres!$A$1:$I$89,3,0)*VLOOKUP('Données projet'!$B$13,Paramètres!$A$1:$I$89,5,0)</f>
        <v>100.75416</v>
      </c>
      <c r="CV66" s="13">
        <f t="shared" si="41"/>
        <v>27.141587129002964</v>
      </c>
      <c r="CW66" s="20">
        <f t="shared" si="13"/>
        <v>222.75175958301347</v>
      </c>
      <c r="CX66" s="59">
        <f t="shared" si="14"/>
        <v>485.64809792641961</v>
      </c>
      <c r="CY66" s="59">
        <f ca="1">AVERAGE(OFFSET($CX$3,0,0,'Données projet'!$E$13+1,1))-AVERAGE(OFFSET($H$3,0,0,'Données projet'!$E$13+1,1))</f>
        <v>201.84651193684252</v>
      </c>
      <c r="CZ66" s="59">
        <f t="shared" si="42"/>
        <v>138.00705940844708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5.2832898659685696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5.2832898659685696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1.1368683772161603E-13</v>
      </c>
      <c r="DP66" s="17">
        <f>DO66*VLOOKUP('Données projet'!$B$14,Paramètres!$A$1:$I$89,3,0)*VLOOKUP('Données projet'!$B$14,Paramètres!$A$1:$I$89,5,0)</f>
        <v>8.3355189417488869E-14</v>
      </c>
      <c r="DQ66" s="13">
        <f t="shared" si="43"/>
        <v>1.2790518435140618E-12</v>
      </c>
      <c r="DR66" s="20">
        <f t="shared" si="16"/>
        <v>2.3728589156891171E-12</v>
      </c>
      <c r="DS66" s="59">
        <f t="shared" si="17"/>
        <v>262.8963383434085</v>
      </c>
      <c r="DT66" s="59">
        <f ca="1">AVERAGE(OFFSET($DS$3,0,0,'Données projet'!$E$14+1,1))-AVERAGE(OFFSET($H$3,0,0,'Données projet'!$E$14+1,1))</f>
        <v>242.21240859696931</v>
      </c>
      <c r="DU66" s="59">
        <f t="shared" si="44"/>
        <v>340.92165104349192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59.406773588602199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59.406773588602199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5.4</v>
      </c>
      <c r="EJ66" s="12">
        <f>IF('Données projet'!$A$192&gt;35,EJ65+EI66-ER65,IF(A66&lt;'Données projet'!$A$192,$EG$205^A66,IF(A66='Données projet'!$A$192,'Données projet'!$B$192,EJ65+EI66-ER65)))</f>
        <v>150.19999999999999</v>
      </c>
      <c r="EK66" s="17">
        <f>EJ66*VLOOKUP('Données projet'!$B$15,Paramètres!$A$1:$I$89,3,0)*VLOOKUP('Données projet'!$B$15,Paramètres!$A$1:$I$89,5,0)</f>
        <v>145.27343999999999</v>
      </c>
      <c r="EL66" s="13">
        <f t="shared" si="45"/>
        <v>37.502464560322572</v>
      </c>
      <c r="EM66" s="20">
        <f t="shared" si="19"/>
        <v>318.33470044256177</v>
      </c>
      <c r="EN66" s="59">
        <f t="shared" si="20"/>
        <v>581.23103878596794</v>
      </c>
      <c r="EO66" s="59">
        <f ca="1">AVERAGE(OFFSET($EN$3,0,0,'Données projet'!$E$15+1,1))-AVERAGE(OFFSET($H$3,0,0,'Données projet'!$E$15+1,1))</f>
        <v>331.7059599630698</v>
      </c>
      <c r="EP66" s="59">
        <f t="shared" si="46"/>
        <v>173.19148969173838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5.4</v>
      </c>
      <c r="FE66" s="12">
        <f>IF('Données projet'!$A$218&gt;35,FE65+FD66-FM65,IF(A66&lt;'Données projet'!$A$218,$FB$205^A66,IF(A66='Données projet'!$A$218,'Données projet'!$B$218,FE65+FD66-FM65)))</f>
        <v>150.19999999999999</v>
      </c>
      <c r="FF66" s="17">
        <f>FE66*VLOOKUP('Données projet'!$B$16,Paramètres!$A$1:$I$89,3,0)*VLOOKUP('Données projet'!$B$16,Paramètres!$A$1:$I$89,5,0)</f>
        <v>161.67527999999999</v>
      </c>
      <c r="FG66" s="13">
        <f t="shared" si="47"/>
        <v>41.22015011524379</v>
      </c>
      <c r="FH66" s="20">
        <f t="shared" si="22"/>
        <v>353.37620745071621</v>
      </c>
      <c r="FI66" s="59">
        <f t="shared" si="23"/>
        <v>616.27254579412238</v>
      </c>
      <c r="FJ66" s="59">
        <f ca="1">AVERAGE(OFFSET($FI$3,0,0,'Données projet'!$E$16+1,1))-AVERAGE(OFFSET($H$3,0,0,'Données projet'!$E$16+1,1))</f>
        <v>360.86062459677004</v>
      </c>
      <c r="FK66" s="59">
        <f t="shared" si="48"/>
        <v>186.0840067781198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6.8782452972043604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6.8782452972043604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7.2</v>
      </c>
      <c r="FZ66" s="12">
        <f>IF('Données projet'!$A$244&gt;35,FZ65+FY66-GH65,IF(A66&lt;'Données projet'!$A$244,$FW$205^A66,IF(A66='Données projet'!$A$244,'Données projet'!$B$244,FZ65+FY66-GH65)))</f>
        <v>214.59999999999994</v>
      </c>
      <c r="GA66" s="17">
        <f>FZ66*VLOOKUP('Données projet'!$B$17,Paramètres!$A$1:$I$89,3,0)*VLOOKUP('Données projet'!$B$17,Paramètres!$A$1:$I$89,5,0)</f>
        <v>217.60439999999994</v>
      </c>
      <c r="GB66" s="13">
        <f t="shared" si="49"/>
        <v>53.593882578706356</v>
      </c>
      <c r="GC66" s="20">
        <f t="shared" si="25"/>
        <v>472.33700882458015</v>
      </c>
      <c r="GD66" s="59">
        <f t="shared" si="26"/>
        <v>735.23334716798627</v>
      </c>
      <c r="GE66" s="59">
        <f ca="1">AVERAGE(OFFSET($GD$3,0,0,'Données projet'!$E$17+1,1))-AVERAGE(OFFSET($H$3,0,0,'Données projet'!$E$17+1,1))</f>
        <v>448.73339628506784</v>
      </c>
      <c r="GF66" s="59">
        <f t="shared" si="50"/>
        <v>273.35778700650803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11.455547200567782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11.455547200567782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7.2</v>
      </c>
      <c r="N67" s="13">
        <f>IF('Données projet'!$A$36&gt;35,N66+M67-V66,IF(A67&lt;'Données projet'!$A$36,$K$205^A67,IF(A67='Données projet'!$A$36,'Données projet'!$B$36,N66+M67-V66)))</f>
        <v>221.79999999999993</v>
      </c>
      <c r="O67" s="13">
        <f>N67*VLOOKUP('Données projet'!$B$9,Paramètres!$A$1:$I$89,3,0)*VLOOKUP('Données projet'!$B$9,Paramètres!$A$1:$I$89,5,0)</f>
        <v>200.68463999999992</v>
      </c>
      <c r="P67" s="13">
        <f t="shared" si="33"/>
        <v>49.894600936700193</v>
      </c>
      <c r="Q67" s="20">
        <f t="shared" ref="Q67:Q98" si="54">(O67+P67)*0.475*44/12</f>
        <v>436.42551129808606</v>
      </c>
      <c r="R67" s="59">
        <f t="shared" ref="R67:R130" si="55">Q67+(I67+J67)*44/12</f>
        <v>699.84986345764082</v>
      </c>
      <c r="S67" s="59">
        <f ca="1">AVERAGE(OFFSET($R$3,0,0,'Données projet'!$E$9+1,1))-AVERAGE(OFFSET($H$3,0,0,'Données projet'!$E$9+1,1))</f>
        <v>408.51124670343137</v>
      </c>
      <c r="T67" s="59">
        <f t="shared" si="34"/>
        <v>250.47702091764884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10.021428194079903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10.021428194079903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4.4000000000000004</v>
      </c>
      <c r="AI67" s="13">
        <f>IF('Données projet'!$A$62&gt;35,AI66+AH67-AQ66,IF(A67&lt;'Données projet'!$A$62,$AF$205^A67,IF(A67='Données projet'!$A$62,'Données projet'!$B$62,AI66+AH67-AQ66)))</f>
        <v>250.59999999999974</v>
      </c>
      <c r="AJ67" s="13">
        <f>AI67*VLOOKUP('Données projet'!$B$10,Paramètres!$A$1:$I$89,3,0)*VLOOKUP('Données projet'!$B$10,Paramètres!$A$1:$I$89,5,0)</f>
        <v>199.37735999999981</v>
      </c>
      <c r="AK67" s="13">
        <f t="shared" si="35"/>
        <v>49.607305476717713</v>
      </c>
      <c r="AL67" s="20">
        <f t="shared" si="4"/>
        <v>433.64829237194959</v>
      </c>
      <c r="AM67" s="59">
        <f t="shared" si="5"/>
        <v>697.07264453150435</v>
      </c>
      <c r="AN67" s="59">
        <f ca="1">AVERAGE(OFFSET($AM$3,0,0,'Données projet'!$E$10+1,1))-AVERAGE(OFFSET($H$3,0,0,'Données projet'!$E$10+1,1))</f>
        <v>327.22763817565902</v>
      </c>
      <c r="AO67" s="59">
        <f t="shared" si="36"/>
        <v>311.68541696405975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11.101473251673694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11.101473251673694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2.8421709430404007E-14</v>
      </c>
      <c r="BE67" s="13">
        <f>BD67*VLOOKUP('Données projet'!$B$11,Paramètres!$A$1:$I$89,3,0)*VLOOKUP('Données projet'!$B$11,Paramètres!$A$1:$I$89,5,0)</f>
        <v>1.8178525351686402E-14</v>
      </c>
      <c r="BF67" s="13">
        <f t="shared" si="37"/>
        <v>3.3304129621647644E-13</v>
      </c>
      <c r="BG67" s="20">
        <f t="shared" si="7"/>
        <v>6.1170785589788349E-13</v>
      </c>
      <c r="BH67" s="59">
        <f t="shared" si="8"/>
        <v>263.42435215955538</v>
      </c>
      <c r="BI67" s="59">
        <f ca="1">AVERAGE(OFFSET($BH$3,0,0,'Données projet'!$E$11+1,1))-AVERAGE(OFFSET($H$3,0,0,'Données projet'!$E$11+1,1))</f>
        <v>169.46470423366029</v>
      </c>
      <c r="BJ67" s="59">
        <f t="shared" si="38"/>
        <v>230.78141128389288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30.904622864096169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30.904622864096169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</v>
      </c>
      <c r="BY67" s="12">
        <f>IF('Données projet'!$A$114&gt;35,BY66+BX67-CG66,IF(A67&lt;'Données projet'!$A$114,$BV$205^A67,IF(A67='Données projet'!$A$114,'Données projet'!$B$114,BY66+BX67-CG66)))</f>
        <v>208.99999999999989</v>
      </c>
      <c r="BZ67" s="13">
        <f>BY67*VLOOKUP('Données projet'!$B$12,Paramètres!$A$1:$I$89,3,0)*VLOOKUP('Données projet'!$B$12,Paramètres!$A$1:$I$89,5,0)</f>
        <v>182.58239999999992</v>
      </c>
      <c r="CA67" s="13">
        <f t="shared" si="39"/>
        <v>45.896245406460245</v>
      </c>
      <c r="CB67" s="20">
        <f t="shared" si="10"/>
        <v>397.93364074958481</v>
      </c>
      <c r="CC67" s="59">
        <f t="shared" si="11"/>
        <v>661.35799290913951</v>
      </c>
      <c r="CD67" s="59">
        <f ca="1">AVERAGE(OFFSET($CC$3,0,0,'Données projet'!$E$12+1,1))-AVERAGE(OFFSET($H$3,0,0,'Données projet'!$E$12+1,1))</f>
        <v>342.79161436526499</v>
      </c>
      <c r="CE67" s="59">
        <f t="shared" si="40"/>
        <v>315.50730924873733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13.661208678503103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13.661208678503103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5.4</v>
      </c>
      <c r="CT67" s="12">
        <f>IF('Données projet'!$A$140&gt;35,CT66+CS67-DB66,IF(A67&lt;'Données projet'!$A$140,$CQ$205^A67,IF(A67='Données projet'!$A$140,'Données projet'!$B$140,CT66+CS67-DB66)))</f>
        <v>155.6</v>
      </c>
      <c r="CU67" s="17">
        <f>CT67*VLOOKUP('Données projet'!$B$13,Paramètres!$A$1:$I$89,3,0)*VLOOKUP('Données projet'!$B$13,Paramètres!$A$1:$I$89,5,0)</f>
        <v>104.37648</v>
      </c>
      <c r="CV67" s="13">
        <f t="shared" si="41"/>
        <v>28.002020124929551</v>
      </c>
      <c r="CW67" s="20">
        <f t="shared" si="13"/>
        <v>230.55922105091895</v>
      </c>
      <c r="CX67" s="59">
        <f t="shared" si="14"/>
        <v>493.98357321047371</v>
      </c>
      <c r="CY67" s="59">
        <f ca="1">AVERAGE(OFFSET($CX$3,0,0,'Données projet'!$E$13+1,1))-AVERAGE(OFFSET($H$3,0,0,'Données projet'!$E$13+1,1))</f>
        <v>201.84651193684252</v>
      </c>
      <c r="CZ67" s="59">
        <f t="shared" si="42"/>
        <v>138.00705940844708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5.1796877741855498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5.1796877741855498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1.1368683772161603E-13</v>
      </c>
      <c r="DP67" s="17">
        <f>DO67*VLOOKUP('Données projet'!$B$14,Paramètres!$A$1:$I$89,3,0)*VLOOKUP('Données projet'!$B$14,Paramètres!$A$1:$I$89,5,0)</f>
        <v>8.3355189417488869E-14</v>
      </c>
      <c r="DQ67" s="13">
        <f t="shared" si="43"/>
        <v>1.2790518435140618E-12</v>
      </c>
      <c r="DR67" s="20">
        <f t="shared" si="16"/>
        <v>2.3728589156891171E-12</v>
      </c>
      <c r="DS67" s="59">
        <f t="shared" si="17"/>
        <v>263.42435215955715</v>
      </c>
      <c r="DT67" s="59">
        <f ca="1">AVERAGE(OFFSET($DS$3,0,0,'Données projet'!$E$14+1,1))-AVERAGE(OFFSET($H$3,0,0,'Données projet'!$E$14+1,1))</f>
        <v>242.21240859696931</v>
      </c>
      <c r="DU67" s="59">
        <f t="shared" si="44"/>
        <v>340.92165104349192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58.241842993083736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58.241842993083736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5.4</v>
      </c>
      <c r="EJ67" s="12">
        <f>IF('Données projet'!$A$192&gt;35,EJ66+EI67-ER66,IF(A67&lt;'Données projet'!$A$192,$EG$205^A67,IF(A67='Données projet'!$A$192,'Données projet'!$B$192,EJ66+EI67-ER66)))</f>
        <v>155.6</v>
      </c>
      <c r="EK67" s="17">
        <f>EJ67*VLOOKUP('Données projet'!$B$15,Paramètres!$A$1:$I$89,3,0)*VLOOKUP('Données projet'!$B$15,Paramètres!$A$1:$I$89,5,0)</f>
        <v>150.49632</v>
      </c>
      <c r="EL67" s="13">
        <f t="shared" si="45"/>
        <v>38.691354428217871</v>
      </c>
      <c r="EM67" s="20">
        <f t="shared" si="19"/>
        <v>329.50186629581282</v>
      </c>
      <c r="EN67" s="59">
        <f t="shared" si="20"/>
        <v>592.92621845536758</v>
      </c>
      <c r="EO67" s="59">
        <f ca="1">AVERAGE(OFFSET($EN$3,0,0,'Données projet'!$E$15+1,1))-AVERAGE(OFFSET($H$3,0,0,'Données projet'!$E$15+1,1))</f>
        <v>331.7059599630698</v>
      </c>
      <c r="EP67" s="59">
        <f t="shared" si="46"/>
        <v>173.19148969173838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5.4</v>
      </c>
      <c r="FE67" s="12">
        <f>IF('Données projet'!$A$218&gt;35,FE66+FD67-FM66,IF(A67&lt;'Données projet'!$A$218,$FB$205^A67,IF(A67='Données projet'!$A$218,'Données projet'!$B$218,FE66+FD67-FM66)))</f>
        <v>155.6</v>
      </c>
      <c r="FF67" s="17">
        <f>FE67*VLOOKUP('Données projet'!$B$16,Paramètres!$A$1:$I$89,3,0)*VLOOKUP('Données projet'!$B$16,Paramètres!$A$1:$I$89,5,0)</f>
        <v>167.48783999999998</v>
      </c>
      <c r="FG67" s="13">
        <f t="shared" si="47"/>
        <v>42.526896735757454</v>
      </c>
      <c r="FH67" s="20">
        <f t="shared" si="22"/>
        <v>365.77566648144415</v>
      </c>
      <c r="FI67" s="59">
        <f t="shared" si="23"/>
        <v>629.20001864099891</v>
      </c>
      <c r="FJ67" s="59">
        <f ca="1">AVERAGE(OFFSET($FI$3,0,0,'Données projet'!$E$16+1,1))-AVERAGE(OFFSET($H$3,0,0,'Données projet'!$E$16+1,1))</f>
        <v>360.86062459677004</v>
      </c>
      <c r="FK67" s="59">
        <f t="shared" si="48"/>
        <v>186.0840067781198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6.7433671022415611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6.7433671022415611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7.2</v>
      </c>
      <c r="FZ67" s="12">
        <f>IF('Données projet'!$A$244&gt;35,FZ66+FY67-GH66,IF(A67&lt;'Données projet'!$A$244,$FW$205^A67,IF(A67='Données projet'!$A$244,'Données projet'!$B$244,FZ66+FY67-GH66)))</f>
        <v>221.79999999999993</v>
      </c>
      <c r="GA67" s="17">
        <f>FZ67*VLOOKUP('Données projet'!$B$17,Paramètres!$A$1:$I$89,3,0)*VLOOKUP('Données projet'!$B$17,Paramètres!$A$1:$I$89,5,0)</f>
        <v>224.90519999999995</v>
      </c>
      <c r="GB67" s="13">
        <f t="shared" si="49"/>
        <v>55.17963460003309</v>
      </c>
      <c r="GC67" s="20">
        <f t="shared" si="25"/>
        <v>487.81442026172425</v>
      </c>
      <c r="GD67" s="59">
        <f t="shared" si="26"/>
        <v>751.23877242127901</v>
      </c>
      <c r="GE67" s="59">
        <f ca="1">AVERAGE(OFFSET($GD$3,0,0,'Données projet'!$E$17+1,1))-AVERAGE(OFFSET($H$3,0,0,'Données projet'!$E$17+1,1))</f>
        <v>448.73339628506784</v>
      </c>
      <c r="GF67" s="59">
        <f t="shared" si="50"/>
        <v>273.35778700650803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11.230910907158512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11.230910907158512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229</v>
      </c>
      <c r="L68" s="12">
        <f>VLOOKUP(A68,'Données projet'!$A$35:$I$55,9,0)</f>
        <v>7.2</v>
      </c>
      <c r="M68" s="12">
        <f t="array" ref="M68">INDEX(L:L,MIN(IF(ISNUMBER(L68:L264),ROW(L68:L264),"")))</f>
        <v>7.2</v>
      </c>
      <c r="N68" s="13">
        <f>IF('Données projet'!$A$36&gt;35,N67+M68-V67,IF(A68&lt;'Données projet'!$A$36,$K$205^A68,IF(A68='Données projet'!$A$36,'Données projet'!$B$36,N67+M68-V67)))</f>
        <v>228.99999999999991</v>
      </c>
      <c r="O68" s="13">
        <f>N68*VLOOKUP('Données projet'!$B$9,Paramètres!$A$1:$I$89,3,0)*VLOOKUP('Données projet'!$B$9,Paramètres!$A$1:$I$89,5,0)</f>
        <v>207.19919999999991</v>
      </c>
      <c r="P68" s="13">
        <f t="shared" si="33"/>
        <v>51.3230629736655</v>
      </c>
      <c r="Q68" s="20">
        <f t="shared" si="54"/>
        <v>450.25960801246725</v>
      </c>
      <c r="R68" s="59">
        <f t="shared" si="55"/>
        <v>714.20281412892245</v>
      </c>
      <c r="S68" s="59">
        <f ca="1">AVERAGE(OFFSET($R$3,0,0,'Données projet'!$E$9+1,1))-AVERAGE(OFFSET($H$3,0,0,'Données projet'!$E$9+1,1))</f>
        <v>408.51124670343137</v>
      </c>
      <c r="T68" s="59">
        <f t="shared" si="34"/>
        <v>250.47702091764884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21</v>
      </c>
      <c r="W68" s="16">
        <f>IF(ISNA(VLOOKUP(A68,'Données projet'!$A$35:$I$55,5,0)),0%,VLOOKUP(A68,'Données projet'!$A$35:$I$55,5,0)*VLOOKUP('Données projet'!$B$9,Paramètres!$A$1:$I$89,7,0))</f>
        <v>0.17200000000000001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13.437743412699543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13.437743412699543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255</v>
      </c>
      <c r="AG68" s="12">
        <f>VLOOKUP(A68,'Données projet'!$A$61:$I$81,9,0)</f>
        <v>4.4000000000000004</v>
      </c>
      <c r="AH68" s="12">
        <f t="array" ref="AH68">INDEX(AG:AG,MIN(IF(ISNUMBER(AG68:AG264),ROW(AG68:AG264),"")))</f>
        <v>4.4000000000000004</v>
      </c>
      <c r="AI68" s="13">
        <f>IF('Données projet'!$A$62&gt;35,AI67+AH68-AQ67,IF(A68&lt;'Données projet'!$A$62,$AF$205^A68,IF(A68='Données projet'!$A$62,'Données projet'!$B$62,AI67+AH68-AQ67)))</f>
        <v>254.99999999999974</v>
      </c>
      <c r="AJ68" s="13">
        <f>AI68*VLOOKUP('Données projet'!$B$10,Paramètres!$A$1:$I$89,3,0)*VLOOKUP('Données projet'!$B$10,Paramètres!$A$1:$I$89,5,0)</f>
        <v>202.87799999999982</v>
      </c>
      <c r="AK68" s="13">
        <f t="shared" si="35"/>
        <v>50.376138116990084</v>
      </c>
      <c r="AL68" s="20">
        <f t="shared" ref="AL68:AL131" si="58">(AJ68+AK68)*0.475*44/12</f>
        <v>441.0842905537574</v>
      </c>
      <c r="AM68" s="59">
        <f t="shared" ref="AM68:AM131" si="59">AL68+(AD68+AE68)*44/12</f>
        <v>705.0274966702126</v>
      </c>
      <c r="AN68" s="59">
        <f ca="1">AVERAGE(OFFSET($AM$3,0,0,'Données projet'!$E$10+1,1))-AVERAGE(OFFSET($H$3,0,0,'Données projet'!$E$10+1,1))</f>
        <v>327.22763817565902</v>
      </c>
      <c r="AO68" s="59">
        <f t="shared" si="36"/>
        <v>311.68541696405975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11</v>
      </c>
      <c r="AR68" s="16">
        <f>IF(ISNA(VLOOKUP(A68,'Données projet'!$A$61:$I$81,5,0)),0%,VLOOKUP(A68,'Données projet'!$A$61:$I$81,5,0)*VLOOKUP('Données projet'!$B$10,Paramètres!$A$1:$I$89,7,0))</f>
        <v>0.26500000000000001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13.447558294421404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13.447558294421404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2.8421709430404007E-14</v>
      </c>
      <c r="BE68" s="13">
        <f>BD68*VLOOKUP('Données projet'!$B$11,Paramètres!$A$1:$I$89,3,0)*VLOOKUP('Données projet'!$B$11,Paramètres!$A$1:$I$89,5,0)</f>
        <v>1.8178525351686402E-14</v>
      </c>
      <c r="BF68" s="13">
        <f t="shared" si="37"/>
        <v>3.3304129621647644E-13</v>
      </c>
      <c r="BG68" s="20">
        <f t="shared" ref="BG68:BG131" si="61">(BE68+BF68)*0.475*44/12</f>
        <v>6.1170785589788349E-13</v>
      </c>
      <c r="BH68" s="59">
        <f t="shared" ref="BH68:BH131" si="62">BG68+(AY68+AZ68)*44/12</f>
        <v>263.94320611645583</v>
      </c>
      <c r="BI68" s="59">
        <f ca="1">AVERAGE(OFFSET($BH$3,0,0,'Données projet'!$E$11+1,1))-AVERAGE(OFFSET($H$3,0,0,'Données projet'!$E$11+1,1))</f>
        <v>169.46470423366029</v>
      </c>
      <c r="BJ68" s="59">
        <f t="shared" si="38"/>
        <v>230.78141128389288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30.298602059689912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30.298602059689912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214</v>
      </c>
      <c r="BW68" s="12">
        <f>VLOOKUP(A68,'Données projet'!$A$113:$I$133,9,0)</f>
        <v>5</v>
      </c>
      <c r="BX68" s="12">
        <f t="array" ref="BX68">INDEX(BW:BW,MIN(IF(ISNUMBER(BW68:BW264),ROW(BW68:BW264),"")))</f>
        <v>5</v>
      </c>
      <c r="BY68" s="12">
        <f>IF('Données projet'!$A$114&gt;35,BY67+BX68-CG67,IF(A68&lt;'Données projet'!$A$114,$BV$205^A68,IF(A68='Données projet'!$A$114,'Données projet'!$B$114,BY67+BX68-CG67)))</f>
        <v>213.99999999999989</v>
      </c>
      <c r="BZ68" s="13">
        <f>BY68*VLOOKUP('Données projet'!$B$12,Paramètres!$A$1:$I$89,3,0)*VLOOKUP('Données projet'!$B$12,Paramètres!$A$1:$I$89,5,0)</f>
        <v>186.95039999999992</v>
      </c>
      <c r="CA68" s="13">
        <f t="shared" si="39"/>
        <v>46.86509597661761</v>
      </c>
      <c r="CB68" s="20">
        <f t="shared" ref="CB68:CB131" si="64">(BZ68+CA68)*0.475*44/12</f>
        <v>407.22865549260882</v>
      </c>
      <c r="CC68" s="59">
        <f t="shared" ref="CC68:CC131" si="65">CB68+(BT68+BU68)*44/12</f>
        <v>671.17186160906408</v>
      </c>
      <c r="CD68" s="59">
        <f ca="1">AVERAGE(OFFSET($CC$3,0,0,'Données projet'!$E$12+1,1))-AVERAGE(OFFSET($H$3,0,0,'Données projet'!$E$12+1,1))</f>
        <v>342.79161436526499</v>
      </c>
      <c r="CE68" s="59">
        <f t="shared" si="40"/>
        <v>315.50730924873733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17</v>
      </c>
      <c r="CH68" s="16">
        <f>IF(ISNA(VLOOKUP(A68,'Données projet'!$A$113:$I$133,5,0)),0%,VLOOKUP(A68,'Données projet'!$A$113:$I$133,5,0)*VLOOKUP('Données projet'!$B$12,Paramètres!$A$1:$I$89,7,0))</f>
        <v>0.215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16.923096474443931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16.923096474443931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161</v>
      </c>
      <c r="CR68" s="12">
        <f>VLOOKUP(A68,'Données projet'!$A$139:$I$159,9,0)</f>
        <v>5.4</v>
      </c>
      <c r="CS68" s="12">
        <f t="array" ref="CS68">INDEX(CR:CR,MIN(IF(ISNUMBER(CR68:CR264),ROW(CR68:CR264),"")))</f>
        <v>5.4</v>
      </c>
      <c r="CT68" s="12">
        <f>IF('Données projet'!$A$140&gt;35,CT67+CS68-DB67,IF(A68&lt;'Données projet'!$A$140,$CQ$205^A68,IF(A68='Données projet'!$A$140,'Données projet'!$B$140,CT67+CS68-DB67)))</f>
        <v>161</v>
      </c>
      <c r="CU68" s="17">
        <f>CT68*VLOOKUP('Données projet'!$B$13,Paramètres!$A$1:$I$89,3,0)*VLOOKUP('Données projet'!$B$13,Paramètres!$A$1:$I$89,5,0)</f>
        <v>107.9988</v>
      </c>
      <c r="CV68" s="13">
        <f t="shared" si="41"/>
        <v>28.858983600701585</v>
      </c>
      <c r="CW68" s="20">
        <f t="shared" ref="CW68:CW131" si="67">(CU68+CV68)*0.475*44/12</f>
        <v>238.36063977122194</v>
      </c>
      <c r="CX68" s="59">
        <f t="shared" ref="CX68:CX131" si="68">CW68+(CO68+CP68)*44/12</f>
        <v>502.30384588767714</v>
      </c>
      <c r="CY68" s="59">
        <f ca="1">AVERAGE(OFFSET($CX$3,0,0,'Données projet'!$E$13+1,1))-AVERAGE(OFFSET($H$3,0,0,'Données projet'!$E$13+1,1))</f>
        <v>201.84651193684252</v>
      </c>
      <c r="CZ68" s="59">
        <f t="shared" si="42"/>
        <v>138.00705940844708</v>
      </c>
      <c r="DA68" s="15">
        <f>IF(ISNA(VLOOKUP(A68,'Données projet'!$A$139:$I$159,3,0)),0,VLOOKUP(A68,'Données projet'!$A$139:$I$159,3,0))</f>
        <v>9</v>
      </c>
      <c r="DB68" s="15">
        <f>IF(ISNA(VLOOKUP(A68,'Données projet'!$A$139:$I$159,4,0)),0,VLOOKUP(A68,'Données projet'!$A$139:$I$159,4,0))</f>
        <v>14</v>
      </c>
      <c r="DC68" s="16">
        <f>IF(ISNA(VLOOKUP(A68,'Données projet'!$A$139:$I$159,5,0)),0%,VLOOKUP(A68,'Données projet'!$A$139:$I$159,5,0)*VLOOKUP('Données projet'!$B$13,Paramètres!$A$1:$I$89,7,0))</f>
        <v>0.21200000000000002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7.2790362630245653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7.2790362630245653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1.1368683772161603E-13</v>
      </c>
      <c r="DP68" s="17">
        <f>DO68*VLOOKUP('Données projet'!$B$14,Paramètres!$A$1:$I$89,3,0)*VLOOKUP('Données projet'!$B$14,Paramètres!$A$1:$I$89,5,0)</f>
        <v>8.3355189417488869E-14</v>
      </c>
      <c r="DQ68" s="13">
        <f t="shared" si="43"/>
        <v>1.2790518435140618E-12</v>
      </c>
      <c r="DR68" s="20">
        <f t="shared" ref="DR68:DR131" si="70">(DP68+DQ68)*0.475*44/12</f>
        <v>2.3728589156891171E-12</v>
      </c>
      <c r="DS68" s="59">
        <f t="shared" ref="DS68:DS131" si="71">DR68+(DJ68+DK68)*44/12</f>
        <v>263.94320611645759</v>
      </c>
      <c r="DT68" s="59">
        <f ca="1">AVERAGE(OFFSET($DS$3,0,0,'Données projet'!$E$14+1,1))-AVERAGE(OFFSET($H$3,0,0,'Données projet'!$E$14+1,1))</f>
        <v>242.21240859696931</v>
      </c>
      <c r="DU68" s="59">
        <f t="shared" si="44"/>
        <v>340.92165104349192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57.099755976005888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57.099755976005888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161</v>
      </c>
      <c r="EH68" s="12">
        <f>VLOOKUP(A68,'Données projet'!$A$191:$I$211,9,0)</f>
        <v>5.4</v>
      </c>
      <c r="EI68" s="12">
        <f t="array" ref="EI68">INDEX(EH:EH,MIN(IF(ISNUMBER(EH68:EH264),ROW(EH68:EH264),"")))</f>
        <v>5.4</v>
      </c>
      <c r="EJ68" s="12">
        <f>IF('Données projet'!$A$192&gt;35,EJ67+EI68-ER67,IF(A68&lt;'Données projet'!$A$192,$EG$205^A68,IF(A68='Données projet'!$A$192,'Données projet'!$B$192,EJ67+EI68-ER67)))</f>
        <v>161</v>
      </c>
      <c r="EK68" s="17">
        <f>EJ68*VLOOKUP('Données projet'!$B$15,Paramètres!$A$1:$I$89,3,0)*VLOOKUP('Données projet'!$B$15,Paramètres!$A$1:$I$89,5,0)</f>
        <v>155.7192</v>
      </c>
      <c r="EL68" s="13">
        <f t="shared" si="45"/>
        <v>39.875450340770094</v>
      </c>
      <c r="EM68" s="20">
        <f t="shared" ref="EM68:EM131" si="73">(EK68+EL68)*0.475*44/12</f>
        <v>340.66068267684119</v>
      </c>
      <c r="EN68" s="59">
        <f t="shared" ref="EN68:EN131" si="74">EM68+(EE68+EF68)*44/12</f>
        <v>604.60388879329639</v>
      </c>
      <c r="EO68" s="59">
        <f ca="1">AVERAGE(OFFSET($EN$3,0,0,'Données projet'!$E$15+1,1))-AVERAGE(OFFSET($H$3,0,0,'Données projet'!$E$15+1,1))</f>
        <v>331.7059599630698</v>
      </c>
      <c r="EP68" s="59">
        <f t="shared" si="46"/>
        <v>173.19148969173838</v>
      </c>
      <c r="EQ68" s="15">
        <f>IF(ISNA(VLOOKUP(A68,'Données projet'!$A$191:$I$211,3,0)),0,VLOOKUP(A68,'Données projet'!$A$191:$I$211,3,0))</f>
        <v>9</v>
      </c>
      <c r="ER68" s="15">
        <f>IF(ISNA(VLOOKUP(A68,'Données projet'!$A$191:$I$211,4,0)),0,VLOOKUP(A68,'Données projet'!$A$191:$I$211,4,0))</f>
        <v>14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161</v>
      </c>
      <c r="FC68" s="12">
        <f>VLOOKUP(A68,'Données projet'!$A$217:$I$237,9,0)</f>
        <v>5.4</v>
      </c>
      <c r="FD68" s="12">
        <f t="array" ref="FD68">INDEX(FC:FC,MIN(IF(ISNUMBER(FC68:FC264),ROW(FC68:FC264),"")))</f>
        <v>5.4</v>
      </c>
      <c r="FE68" s="12">
        <f>IF('Données projet'!$A$218&gt;35,FE67+FD68-FM67,IF(A68&lt;'Données projet'!$A$218,$FB$205^A68,IF(A68='Données projet'!$A$218,'Données projet'!$B$218,FE67+FD68-FM67)))</f>
        <v>161</v>
      </c>
      <c r="FF68" s="17">
        <f>FE68*VLOOKUP('Données projet'!$B$16,Paramètres!$A$1:$I$89,3,0)*VLOOKUP('Données projet'!$B$16,Paramètres!$A$1:$I$89,5,0)</f>
        <v>173.3004</v>
      </c>
      <c r="FG68" s="13">
        <f t="shared" si="47"/>
        <v>43.82837416766705</v>
      </c>
      <c r="FH68" s="20">
        <f t="shared" ref="FH68:FH131" si="76">(FF68+FG68)*0.475*44/12</f>
        <v>378.1659483420201</v>
      </c>
      <c r="FI68" s="59">
        <f t="shared" ref="FI68:FI131" si="77">FH68+(EZ68+FA68)*44/12</f>
        <v>642.10915445847536</v>
      </c>
      <c r="FJ68" s="59">
        <f ca="1">AVERAGE(OFFSET($FI$3,0,0,'Données projet'!$E$16+1,1))-AVERAGE(OFFSET($H$3,0,0,'Données projet'!$E$16+1,1))</f>
        <v>360.86062459677004</v>
      </c>
      <c r="FK68" s="59">
        <f t="shared" si="48"/>
        <v>186.0840067781198</v>
      </c>
      <c r="FL68" s="15">
        <f>IF(ISNA(VLOOKUP(A68,'Données projet'!$A$217:$I$237,3,0)),0,VLOOKUP(A68,'Données projet'!$A$217:$I$237,3,0))</f>
        <v>9</v>
      </c>
      <c r="FM68" s="15">
        <f>IF(ISNA(VLOOKUP(A68,'Données projet'!$A$217:$I$237,4,0)),0,VLOOKUP(A68,'Données projet'!$A$217:$I$237,4,0))</f>
        <v>14</v>
      </c>
      <c r="FN68" s="16">
        <f>IF(ISNA(VLOOKUP(A68,'Données projet'!$A$217:$I$237,5,0)),0%,VLOOKUP(A68,'Données projet'!$A$217:$I$237,5,0)*VLOOKUP('Données projet'!$B$16,Paramètres!$A$1:$I$89,7,0))</f>
        <v>0.17200000000000001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9.4764811726168841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9.4764811726168841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229</v>
      </c>
      <c r="FX68" s="12">
        <f>VLOOKUP(A68,'Données projet'!$A$243:$I$263,9,0)</f>
        <v>7.2</v>
      </c>
      <c r="FY68" s="12">
        <f t="array" ref="FY68">INDEX(FX:FX,MIN(IF(ISNUMBER(FX68:FX264),ROW(FX68:FX264),"")))</f>
        <v>7.2</v>
      </c>
      <c r="FZ68" s="12">
        <f>IF('Données projet'!$A$244&gt;35,FZ67+FY68-GH67,IF(A68&lt;'Données projet'!$A$244,$FW$205^A68,IF(A68='Données projet'!$A$244,'Données projet'!$B$244,FZ67+FY68-GH67)))</f>
        <v>228.99999999999991</v>
      </c>
      <c r="GA68" s="17">
        <f>FZ68*VLOOKUP('Données projet'!$B$17,Paramètres!$A$1:$I$89,3,0)*VLOOKUP('Données projet'!$B$17,Paramètres!$A$1:$I$89,5,0)</f>
        <v>232.2059999999999</v>
      </c>
      <c r="GB68" s="13">
        <f t="shared" si="49"/>
        <v>56.759404991217522</v>
      </c>
      <c r="GC68" s="20">
        <f t="shared" ref="GC68:GC131" si="79">(GA68+GB68)*0.475*44/12</f>
        <v>503.281413693037</v>
      </c>
      <c r="GD68" s="59">
        <f t="shared" ref="GD68:GD131" si="80">GC68+(FU68+FV68)*44/12</f>
        <v>767.2246198094922</v>
      </c>
      <c r="GE68" s="59">
        <f ca="1">AVERAGE(OFFSET($GD$3,0,0,'Données projet'!$E$17+1,1))-AVERAGE(OFFSET($H$3,0,0,'Données projet'!$E$17+1,1))</f>
        <v>448.73339628506784</v>
      </c>
      <c r="GF68" s="59">
        <f t="shared" si="50"/>
        <v>273.35778700650803</v>
      </c>
      <c r="GG68" s="15">
        <f>IF(ISNA(VLOOKUP(A68,'Données projet'!$A$243:$I$263,3,0)),0,VLOOKUP(A68,'Données projet'!$A$243:$I$263,3,0))</f>
        <v>10</v>
      </c>
      <c r="GH68" s="15">
        <f>IF(ISNA(VLOOKUP(A68,'Données projet'!$A$243:$I$263,4,0)),0,VLOOKUP(A68,'Données projet'!$A$243:$I$263,4,0))</f>
        <v>21</v>
      </c>
      <c r="GI68" s="16">
        <f>IF(ISNA(VLOOKUP(A68,'Données projet'!$A$243:$I$263,5,0)),0%,VLOOKUP(A68,'Données projet'!$A$243:$I$263,5,0)*VLOOKUP('Données projet'!$B$17,Paramètres!$A$1:$I$89,7,0))</f>
        <v>0.17200000000000001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15.059540031473627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15.059540031473627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</v>
      </c>
      <c r="N69" s="13">
        <f>IF('Données projet'!$A$36&gt;35,N68+M69-V68,IF(A69&lt;'Données projet'!$A$36,$K$205^A69,IF(A69='Données projet'!$A$36,'Données projet'!$B$36,N68+M69-V68)))</f>
        <v>214.79999999999993</v>
      </c>
      <c r="O69" s="13">
        <f>N69*VLOOKUP('Données projet'!$B$9,Paramètres!$A$1:$I$89,3,0)*VLOOKUP('Données projet'!$B$9,Paramètres!$A$1:$I$89,5,0)</f>
        <v>194.35103999999993</v>
      </c>
      <c r="P69" s="13">
        <f t="shared" ref="P69:P132" si="87">EXP(-1.0587+0.8836*LN(O69)+0.284)</f>
        <v>48.500634729810159</v>
      </c>
      <c r="Q69" s="20">
        <f t="shared" si="54"/>
        <v>422.96666682108594</v>
      </c>
      <c r="R69" s="59">
        <f t="shared" si="55"/>
        <v>687.41972593827302</v>
      </c>
      <c r="S69" s="59">
        <f ca="1">AVERAGE(OFFSET($R$3,0,0,'Données projet'!$E$9+1,1))-AVERAGE(OFFSET($H$3,0,0,'Données projet'!$E$9+1,1))</f>
        <v>408.51124670343137</v>
      </c>
      <c r="T69" s="59">
        <f t="shared" ref="T69:T132" si="88">$T$3</f>
        <v>250.47702091764884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13.174237460590678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13.174237460590678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3.8</v>
      </c>
      <c r="AI69" s="13">
        <f>IF('Données projet'!$A$62&gt;35,AI68+AH69-AQ68,IF(A69&lt;'Données projet'!$A$62,$AF$205^A69,IF(A69='Données projet'!$A$62,'Données projet'!$B$62,AI68+AH69-AQ68)))</f>
        <v>247.79999999999973</v>
      </c>
      <c r="AJ69" s="13">
        <f>AI69*VLOOKUP('Données projet'!$B$10,Paramètres!$A$1:$I$89,3,0)*VLOOKUP('Données projet'!$B$10,Paramètres!$A$1:$I$89,5,0)</f>
        <v>197.14967999999979</v>
      </c>
      <c r="AK69" s="13">
        <f t="shared" ref="AK69:AK132" si="89">EXP(-1.0587+0.8836*LN(AJ69)+0.284)</f>
        <v>49.11723130862363</v>
      </c>
      <c r="AL69" s="20">
        <f t="shared" si="58"/>
        <v>428.91487052918575</v>
      </c>
      <c r="AM69" s="59">
        <f t="shared" si="59"/>
        <v>693.36792964637289</v>
      </c>
      <c r="AN69" s="59">
        <f ca="1">AVERAGE(OFFSET($AM$3,0,0,'Données projet'!$E$10+1,1))-AVERAGE(OFFSET($H$3,0,0,'Données projet'!$E$10+1,1))</f>
        <v>327.22763817565902</v>
      </c>
      <c r="AO69" s="59">
        <f t="shared" ref="AO69:AO132" si="90">$AO$3</f>
        <v>311.68541696405975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13.183859878468459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13.183859878468459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2.8421709430404007E-14</v>
      </c>
      <c r="BE69" s="13">
        <f>BD69*VLOOKUP('Données projet'!$B$11,Paramètres!$A$1:$I$89,3,0)*VLOOKUP('Données projet'!$B$11,Paramètres!$A$1:$I$89,5,0)</f>
        <v>1.8178525351686402E-14</v>
      </c>
      <c r="BF69" s="13">
        <f t="shared" ref="BF69:BF132" si="91">EXP(-1.0587+0.8836*LN(BE69)+0.284)</f>
        <v>3.3304129621647644E-13</v>
      </c>
      <c r="BG69" s="20">
        <f t="shared" si="61"/>
        <v>6.1170785589788349E-13</v>
      </c>
      <c r="BH69" s="59">
        <f t="shared" si="62"/>
        <v>264.45305911718771</v>
      </c>
      <c r="BI69" s="59">
        <f ca="1">AVERAGE(OFFSET($BH$3,0,0,'Données projet'!$E$11+1,1))-AVERAGE(OFFSET($H$3,0,0,'Données projet'!$E$11+1,1))</f>
        <v>169.46470423366029</v>
      </c>
      <c r="BJ69" s="59">
        <f t="shared" ref="BJ69:BJ132" si="92">$BJ$3</f>
        <v>230.78141128389288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29.704464953621869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29.704464953621869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4.5999999999999996</v>
      </c>
      <c r="BY69" s="12">
        <f>IF('Données projet'!$A$114&gt;35,BY68+BX69-CG68,IF(A69&lt;'Données projet'!$A$114,$BV$205^A69,IF(A69='Données projet'!$A$114,'Données projet'!$B$114,BY68+BX69-CG68)))</f>
        <v>201.59999999999988</v>
      </c>
      <c r="BZ69" s="13">
        <f>BY69*VLOOKUP('Données projet'!$B$12,Paramètres!$A$1:$I$89,3,0)*VLOOKUP('Données projet'!$B$12,Paramètres!$A$1:$I$89,5,0)</f>
        <v>176.11775999999992</v>
      </c>
      <c r="CA69" s="13">
        <f t="shared" ref="CA69:CA132" si="93">EXP(-1.0587+0.8836*LN(BZ69)+0.284)</f>
        <v>44.457366290237204</v>
      </c>
      <c r="CB69" s="20">
        <f t="shared" si="64"/>
        <v>384.16834495549625</v>
      </c>
      <c r="CC69" s="59">
        <f t="shared" si="65"/>
        <v>648.62140407268339</v>
      </c>
      <c r="CD69" s="59">
        <f ca="1">AVERAGE(OFFSET($CC$3,0,0,'Données projet'!$E$12+1,1))-AVERAGE(OFFSET($H$3,0,0,'Données projet'!$E$12+1,1))</f>
        <v>342.79161436526499</v>
      </c>
      <c r="CE69" s="59">
        <f t="shared" ref="CE69:CE132" si="94">$CE$3</f>
        <v>315.50730924873733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16.591244874649714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16.591244874649714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</v>
      </c>
      <c r="CT69" s="12">
        <f>IF('Données projet'!$A$140&gt;35,CT68+CS69-DB68,IF(A69&lt;'Données projet'!$A$140,$CQ$205^A69,IF(A69='Données projet'!$A$140,'Données projet'!$B$140,CT68+CS69-DB68)))</f>
        <v>152</v>
      </c>
      <c r="CU69" s="17">
        <f>CT69*VLOOKUP('Données projet'!$B$13,Paramètres!$A$1:$I$89,3,0)*VLOOKUP('Données projet'!$B$13,Paramètres!$A$1:$I$89,5,0)</f>
        <v>101.9616</v>
      </c>
      <c r="CV69" s="13">
        <f t="shared" ref="CV69:CV132" si="95">EXP(-1.0587+0.8836*LN(CU69)+0.284)</f>
        <v>27.428792032018624</v>
      </c>
      <c r="CW69" s="20">
        <f t="shared" si="67"/>
        <v>225.35493278909914</v>
      </c>
      <c r="CX69" s="59">
        <f t="shared" si="68"/>
        <v>489.80799190628625</v>
      </c>
      <c r="CY69" s="59">
        <f ca="1">AVERAGE(OFFSET($CX$3,0,0,'Données projet'!$E$13+1,1))-AVERAGE(OFFSET($H$3,0,0,'Données projet'!$E$13+1,1))</f>
        <v>201.84651193684252</v>
      </c>
      <c r="CZ69" s="59">
        <f t="shared" ref="CZ69:CZ132" si="96">$CZ$3</f>
        <v>138.00705940844708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7.1362988016803826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7.1362988016803826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1.1368683772161603E-13</v>
      </c>
      <c r="DP69" s="17">
        <f>DO69*VLOOKUP('Données projet'!$B$14,Paramètres!$A$1:$I$89,3,0)*VLOOKUP('Données projet'!$B$14,Paramètres!$A$1:$I$89,5,0)</f>
        <v>8.3355189417488869E-14</v>
      </c>
      <c r="DQ69" s="13">
        <f t="shared" ref="DQ69:DQ132" si="97">EXP(-1.0587+0.8836*LN(DP69)+0.284)</f>
        <v>1.2790518435140618E-12</v>
      </c>
      <c r="DR69" s="20">
        <f t="shared" si="70"/>
        <v>2.3728589156891171E-12</v>
      </c>
      <c r="DS69" s="59">
        <f t="shared" si="71"/>
        <v>264.45305911718947</v>
      </c>
      <c r="DT69" s="59">
        <f ca="1">AVERAGE(OFFSET($DS$3,0,0,'Données projet'!$E$14+1,1))-AVERAGE(OFFSET($H$3,0,0,'Données projet'!$E$14+1,1))</f>
        <v>242.21240859696931</v>
      </c>
      <c r="DU69" s="59">
        <f t="shared" ref="DU69:DU132" si="98">$DU$3</f>
        <v>340.92165104349192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55.980064588728638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55.980064588728638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5</v>
      </c>
      <c r="EJ69" s="12">
        <f>IF('Données projet'!$A$192&gt;35,EJ68+EI69-ER68,IF(A69&lt;'Données projet'!$A$192,$EG$205^A69,IF(A69='Données projet'!$A$192,'Données projet'!$B$192,EJ68+EI69-ER68)))</f>
        <v>152</v>
      </c>
      <c r="EK69" s="17">
        <f>EJ69*VLOOKUP('Données projet'!$B$15,Paramètres!$A$1:$I$89,3,0)*VLOOKUP('Données projet'!$B$15,Paramètres!$A$1:$I$89,5,0)</f>
        <v>147.01439999999999</v>
      </c>
      <c r="EL69" s="13">
        <f t="shared" ref="EL69:EL132" si="99">EXP(-1.0587+0.8836*LN(EK69)+0.284)</f>
        <v>37.899305454176826</v>
      </c>
      <c r="EM69" s="20">
        <f t="shared" si="73"/>
        <v>322.05803699935797</v>
      </c>
      <c r="EN69" s="59">
        <f t="shared" si="74"/>
        <v>586.5110961165451</v>
      </c>
      <c r="EO69" s="59">
        <f ca="1">AVERAGE(OFFSET($EN$3,0,0,'Données projet'!$E$15+1,1))-AVERAGE(OFFSET($H$3,0,0,'Données projet'!$E$15+1,1))</f>
        <v>331.7059599630698</v>
      </c>
      <c r="EP69" s="59">
        <f t="shared" ref="EP69:EP132" si="100">$EP$3</f>
        <v>173.19148969173838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5</v>
      </c>
      <c r="FE69" s="12">
        <f>IF('Données projet'!$A$218&gt;35,FE68+FD69-FM68,IF(A69&lt;'Données projet'!$A$218,$FB$205^A69,IF(A69='Données projet'!$A$218,'Données projet'!$B$218,FE68+FD69-FM68)))</f>
        <v>152</v>
      </c>
      <c r="FF69" s="17">
        <f>FE69*VLOOKUP('Données projet'!$B$16,Paramètres!$A$1:$I$89,3,0)*VLOOKUP('Données projet'!$B$16,Paramètres!$A$1:$I$89,5,0)</f>
        <v>163.61279999999999</v>
      </c>
      <c r="FG69" s="13">
        <f t="shared" ref="FG69:FG132" si="101">EXP(-1.0587+0.8836*LN(FF69)+0.284)</f>
        <v>41.656330547871804</v>
      </c>
      <c r="FH69" s="20">
        <f t="shared" si="76"/>
        <v>357.51040237087665</v>
      </c>
      <c r="FI69" s="59">
        <f t="shared" si="77"/>
        <v>621.96346148806379</v>
      </c>
      <c r="FJ69" s="59">
        <f ca="1">AVERAGE(OFFSET($FI$3,0,0,'Données projet'!$E$16+1,1))-AVERAGE(OFFSET($H$3,0,0,'Données projet'!$E$16+1,1))</f>
        <v>360.86062459677004</v>
      </c>
      <c r="FK69" s="59">
        <f t="shared" ref="FK69:FK132" si="102">$FK$3</f>
        <v>186.0840067781198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9.2906531569046464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9.2906531569046464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6.8</v>
      </c>
      <c r="FZ69" s="12">
        <f>IF('Données projet'!$A$244&gt;35,FZ68+FY69-GH68,IF(A69&lt;'Données projet'!$A$244,$FW$205^A69,IF(A69='Données projet'!$A$244,'Données projet'!$B$244,FZ68+FY69-GH68)))</f>
        <v>214.79999999999993</v>
      </c>
      <c r="GA69" s="17">
        <f>FZ69*VLOOKUP('Données projet'!$B$17,Paramètres!$A$1:$I$89,3,0)*VLOOKUP('Données projet'!$B$17,Paramètres!$A$1:$I$89,5,0)</f>
        <v>217.80719999999994</v>
      </c>
      <c r="GB69" s="13">
        <f t="shared" ref="GB69:GB132" si="103">EXP(-1.0587+0.8836*LN(GA69)+0.284)</f>
        <v>53.638013973813976</v>
      </c>
      <c r="GC69" s="20">
        <f t="shared" si="79"/>
        <v>472.76708100439259</v>
      </c>
      <c r="GD69" s="59">
        <f t="shared" si="80"/>
        <v>737.22014012157967</v>
      </c>
      <c r="GE69" s="59">
        <f ca="1">AVERAGE(OFFSET($GD$3,0,0,'Données projet'!$E$17+1,1))-AVERAGE(OFFSET($H$3,0,0,'Données projet'!$E$17+1,1))</f>
        <v>448.73339628506784</v>
      </c>
      <c r="GF69" s="59">
        <f t="shared" ref="GF69:GF132" si="104">$GF$3</f>
        <v>273.35778700650803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14.764231636868864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14.764231636868864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</v>
      </c>
      <c r="N70" s="13">
        <f>IF('Données projet'!$A$36&gt;35,N69+M70-V69,IF(A70&lt;'Données projet'!$A$36,$K$205^A70,IF(A70='Données projet'!$A$36,'Données projet'!$B$36,N69+M70-V69)))</f>
        <v>221.59999999999994</v>
      </c>
      <c r="O70" s="13">
        <f>N70*VLOOKUP('Données projet'!$B$9,Paramètres!$A$1:$I$89,3,0)*VLOOKUP('Données projet'!$B$9,Paramètres!$A$1:$I$89,5,0)</f>
        <v>200.50367999999995</v>
      </c>
      <c r="P70" s="13">
        <f t="shared" si="87"/>
        <v>49.854845135229887</v>
      </c>
      <c r="Q70" s="20">
        <f t="shared" si="54"/>
        <v>436.04109794385857</v>
      </c>
      <c r="R70" s="59">
        <f t="shared" si="55"/>
        <v>700.99516525207548</v>
      </c>
      <c r="S70" s="59">
        <f ca="1">AVERAGE(OFFSET($R$3,0,0,'Données projet'!$E$9+1,1))-AVERAGE(OFFSET($H$3,0,0,'Données projet'!$E$9+1,1))</f>
        <v>408.51124670343137</v>
      </c>
      <c r="T70" s="59">
        <f t="shared" si="88"/>
        <v>250.47702091764884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12.915898699479907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12.915898699479907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3.8</v>
      </c>
      <c r="AI70" s="13">
        <f>IF('Données projet'!$A$62&gt;35,AI69+AH70-AQ69,IF(A70&lt;'Données projet'!$A$62,$AF$205^A70,IF(A70='Données projet'!$A$62,'Données projet'!$B$62,AI69+AH70-AQ69)))</f>
        <v>251.59999999999974</v>
      </c>
      <c r="AJ70" s="13">
        <f>AI70*VLOOKUP('Données projet'!$B$10,Paramètres!$A$1:$I$89,3,0)*VLOOKUP('Données projet'!$B$10,Paramètres!$A$1:$I$89,5,0)</f>
        <v>200.17295999999979</v>
      </c>
      <c r="AK70" s="13">
        <f t="shared" si="89"/>
        <v>49.782177185855986</v>
      </c>
      <c r="AL70" s="20">
        <f t="shared" si="58"/>
        <v>435.33853059869881</v>
      </c>
      <c r="AM70" s="59">
        <f t="shared" si="59"/>
        <v>700.29259790691572</v>
      </c>
      <c r="AN70" s="59">
        <f ca="1">AVERAGE(OFFSET($AM$3,0,0,'Données projet'!$E$10+1,1))-AVERAGE(OFFSET($H$3,0,0,'Données projet'!$E$10+1,1))</f>
        <v>327.22763817565902</v>
      </c>
      <c r="AO70" s="59">
        <f t="shared" si="90"/>
        <v>311.68541696405975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12.925332427612199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12.925332427612199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2.8421709430404007E-14</v>
      </c>
      <c r="BE70" s="13">
        <f>BD70*VLOOKUP('Données projet'!$B$11,Paramètres!$A$1:$I$89,3,0)*VLOOKUP('Données projet'!$B$11,Paramètres!$A$1:$I$89,5,0)</f>
        <v>1.8178525351686402E-14</v>
      </c>
      <c r="BF70" s="13">
        <f t="shared" si="91"/>
        <v>3.3304129621647644E-13</v>
      </c>
      <c r="BG70" s="20">
        <f t="shared" si="61"/>
        <v>6.1170785589788349E-13</v>
      </c>
      <c r="BH70" s="59">
        <f t="shared" si="62"/>
        <v>264.95406730821753</v>
      </c>
      <c r="BI70" s="59">
        <f ca="1">AVERAGE(OFFSET($BH$3,0,0,'Données projet'!$E$11+1,1))-AVERAGE(OFFSET($H$3,0,0,'Données projet'!$E$11+1,1))</f>
        <v>169.46470423366029</v>
      </c>
      <c r="BJ70" s="59">
        <f t="shared" si="92"/>
        <v>230.78141128389288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29.121978513815968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29.121978513815968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4.5999999999999996</v>
      </c>
      <c r="BY70" s="12">
        <f>IF('Données projet'!$A$114&gt;35,BY69+BX70-CG69,IF(A70&lt;'Données projet'!$A$114,$BV$205^A70,IF(A70='Données projet'!$A$114,'Données projet'!$B$114,BY69+BX70-CG69)))</f>
        <v>206.19999999999987</v>
      </c>
      <c r="BZ70" s="13">
        <f>BY70*VLOOKUP('Données projet'!$B$12,Paramètres!$A$1:$I$89,3,0)*VLOOKUP('Données projet'!$B$12,Paramètres!$A$1:$I$89,5,0)</f>
        <v>180.1363199999999</v>
      </c>
      <c r="CA70" s="13">
        <f t="shared" si="93"/>
        <v>45.352513518602102</v>
      </c>
      <c r="CB70" s="20">
        <f t="shared" si="64"/>
        <v>392.72638504489845</v>
      </c>
      <c r="CC70" s="59">
        <f t="shared" si="65"/>
        <v>657.68045235311536</v>
      </c>
      <c r="CD70" s="59">
        <f ca="1">AVERAGE(OFFSET($CC$3,0,0,'Données projet'!$E$12+1,1))-AVERAGE(OFFSET($H$3,0,0,'Données projet'!$E$12+1,1))</f>
        <v>342.79161436526499</v>
      </c>
      <c r="CE70" s="59">
        <f t="shared" si="94"/>
        <v>315.50730924873733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16.265900682317973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16.265900682317973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</v>
      </c>
      <c r="CT70" s="12">
        <f>IF('Données projet'!$A$140&gt;35,CT69+CS70-DB69,IF(A70&lt;'Données projet'!$A$140,$CQ$205^A70,IF(A70='Données projet'!$A$140,'Données projet'!$B$140,CT69+CS70-DB69)))</f>
        <v>157</v>
      </c>
      <c r="CU70" s="17">
        <f>CT70*VLOOKUP('Données projet'!$B$13,Paramètres!$A$1:$I$89,3,0)*VLOOKUP('Données projet'!$B$13,Paramètres!$A$1:$I$89,5,0)</f>
        <v>105.31560000000002</v>
      </c>
      <c r="CV70" s="13">
        <f t="shared" si="95"/>
        <v>28.224523597756967</v>
      </c>
      <c r="CW70" s="20">
        <f t="shared" si="67"/>
        <v>232.58238193276006</v>
      </c>
      <c r="CX70" s="59">
        <f t="shared" si="68"/>
        <v>497.53644924097694</v>
      </c>
      <c r="CY70" s="59">
        <f ca="1">AVERAGE(OFFSET($CX$3,0,0,'Données projet'!$E$13+1,1))-AVERAGE(OFFSET($H$3,0,0,'Données projet'!$E$13+1,1))</f>
        <v>201.84651193684252</v>
      </c>
      <c r="CZ70" s="59">
        <f t="shared" si="96"/>
        <v>138.00705940844708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6.9963603348919046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6.9963603348919046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1.1368683772161603E-13</v>
      </c>
      <c r="DP70" s="17">
        <f>DO70*VLOOKUP('Données projet'!$B$14,Paramètres!$A$1:$I$89,3,0)*VLOOKUP('Données projet'!$B$14,Paramètres!$A$1:$I$89,5,0)</f>
        <v>8.3355189417488869E-14</v>
      </c>
      <c r="DQ70" s="13">
        <f t="shared" si="97"/>
        <v>1.2790518435140618E-12</v>
      </c>
      <c r="DR70" s="20">
        <f t="shared" si="70"/>
        <v>2.3728589156891171E-12</v>
      </c>
      <c r="DS70" s="59">
        <f t="shared" si="71"/>
        <v>264.95406730821929</v>
      </c>
      <c r="DT70" s="59">
        <f ca="1">AVERAGE(OFFSET($DS$3,0,0,'Données projet'!$E$14+1,1))-AVERAGE(OFFSET($H$3,0,0,'Données projet'!$E$14+1,1))</f>
        <v>242.21240859696931</v>
      </c>
      <c r="DU70" s="59">
        <f t="shared" si="98"/>
        <v>340.92165104349192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54.882329666611582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54.882329666611582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5</v>
      </c>
      <c r="EJ70" s="12">
        <f>IF('Données projet'!$A$192&gt;35,EJ69+EI70-ER69,IF(A70&lt;'Données projet'!$A$192,$EG$205^A70,IF(A70='Données projet'!$A$192,'Données projet'!$B$192,EJ69+EI70-ER69)))</f>
        <v>157</v>
      </c>
      <c r="EK70" s="17">
        <f>EJ70*VLOOKUP('Données projet'!$B$15,Paramètres!$A$1:$I$89,3,0)*VLOOKUP('Données projet'!$B$15,Paramètres!$A$1:$I$89,5,0)</f>
        <v>151.85040000000001</v>
      </c>
      <c r="EL70" s="13">
        <f t="shared" si="99"/>
        <v>38.998795130362446</v>
      </c>
      <c r="EM70" s="20">
        <f t="shared" si="73"/>
        <v>332.39568151871464</v>
      </c>
      <c r="EN70" s="59">
        <f t="shared" si="74"/>
        <v>597.34974882693155</v>
      </c>
      <c r="EO70" s="59">
        <f ca="1">AVERAGE(OFFSET($EN$3,0,0,'Données projet'!$E$15+1,1))-AVERAGE(OFFSET($H$3,0,0,'Données projet'!$E$15+1,1))</f>
        <v>331.7059599630698</v>
      </c>
      <c r="EP70" s="59">
        <f t="shared" si="100"/>
        <v>173.19148969173838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5</v>
      </c>
      <c r="FE70" s="12">
        <f>IF('Données projet'!$A$218&gt;35,FE69+FD70-FM69,IF(A70&lt;'Données projet'!$A$218,$FB$205^A70,IF(A70='Données projet'!$A$218,'Données projet'!$B$218,FE69+FD70-FM69)))</f>
        <v>157</v>
      </c>
      <c r="FF70" s="17">
        <f>FE70*VLOOKUP('Données projet'!$B$16,Paramètres!$A$1:$I$89,3,0)*VLOOKUP('Données projet'!$B$16,Paramètres!$A$1:$I$89,5,0)</f>
        <v>168.9948</v>
      </c>
      <c r="FG70" s="13">
        <f t="shared" si="101"/>
        <v>42.864814577758281</v>
      </c>
      <c r="FH70" s="20">
        <f t="shared" si="76"/>
        <v>368.98882872292899</v>
      </c>
      <c r="FI70" s="59">
        <f t="shared" si="77"/>
        <v>633.94289603114589</v>
      </c>
      <c r="FJ70" s="59">
        <f ca="1">AVERAGE(OFFSET($FI$3,0,0,'Données projet'!$E$16+1,1))-AVERAGE(OFFSET($H$3,0,0,'Données projet'!$E$16+1,1))</f>
        <v>360.86062459677004</v>
      </c>
      <c r="FK70" s="59">
        <f t="shared" si="102"/>
        <v>186.0840067781198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9.1084691152366286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9.1084691152366286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6.8</v>
      </c>
      <c r="FZ70" s="12">
        <f>IF('Données projet'!$A$244&gt;35,FZ69+FY70-GH69,IF(A70&lt;'Données projet'!$A$244,$FW$205^A70,IF(A70='Données projet'!$A$244,'Données projet'!$B$244,FZ69+FY70-GH69)))</f>
        <v>221.59999999999994</v>
      </c>
      <c r="GA70" s="17">
        <f>FZ70*VLOOKUP('Données projet'!$B$17,Paramètres!$A$1:$I$89,3,0)*VLOOKUP('Données projet'!$B$17,Paramètres!$A$1:$I$89,5,0)</f>
        <v>224.70239999999995</v>
      </c>
      <c r="GB70" s="13">
        <f t="shared" si="103"/>
        <v>55.135667706678262</v>
      </c>
      <c r="GC70" s="20">
        <f t="shared" si="79"/>
        <v>487.38463458913128</v>
      </c>
      <c r="GD70" s="59">
        <f t="shared" si="80"/>
        <v>752.33870189734819</v>
      </c>
      <c r="GE70" s="59">
        <f ca="1">AVERAGE(OFFSET($GD$3,0,0,'Données projet'!$E$17+1,1))-AVERAGE(OFFSET($H$3,0,0,'Données projet'!$E$17+1,1))</f>
        <v>448.73339628506784</v>
      </c>
      <c r="GF70" s="59">
        <f t="shared" si="104"/>
        <v>273.35778700650803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14.474714059761965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14.474714059761965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</v>
      </c>
      <c r="N71" s="13">
        <f>IF('Données projet'!$A$36&gt;35,N70+M71-V70,IF(A71&lt;'Données projet'!$A$36,$K$205^A71,IF(A71='Données projet'!$A$36,'Données projet'!$B$36,N70+M71-V70)))</f>
        <v>228.39999999999995</v>
      </c>
      <c r="O71" s="13">
        <f>N71*VLOOKUP('Données projet'!$B$9,Paramètres!$A$1:$I$89,3,0)*VLOOKUP('Données projet'!$B$9,Paramètres!$A$1:$I$89,5,0)</f>
        <v>206.65631999999994</v>
      </c>
      <c r="P71" s="13">
        <f t="shared" si="87"/>
        <v>51.20422634371338</v>
      </c>
      <c r="Q71" s="20">
        <f t="shared" si="54"/>
        <v>449.10711821530072</v>
      </c>
      <c r="R71" s="59">
        <f t="shared" si="55"/>
        <v>714.55350234251955</v>
      </c>
      <c r="S71" s="59">
        <f ca="1">AVERAGE(OFFSET($R$3,0,0,'Données projet'!$E$9+1,1))-AVERAGE(OFFSET($H$3,0,0,'Données projet'!$E$9+1,1))</f>
        <v>408.51124670343137</v>
      </c>
      <c r="T71" s="59">
        <f t="shared" si="88"/>
        <v>250.47702091764884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12.662625803903433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12.662625803903433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3.8</v>
      </c>
      <c r="AI71" s="13">
        <f>IF('Données projet'!$A$62&gt;35,AI70+AH71-AQ70,IF(A71&lt;'Données projet'!$A$62,$AF$205^A71,IF(A71='Données projet'!$A$62,'Données projet'!$B$62,AI70+AH71-AQ70)))</f>
        <v>255.39999999999975</v>
      </c>
      <c r="AJ71" s="13">
        <f>AI71*VLOOKUP('Données projet'!$B$10,Paramètres!$A$1:$I$89,3,0)*VLOOKUP('Données projet'!$B$10,Paramètres!$A$1:$I$89,5,0)</f>
        <v>203.19623999999982</v>
      </c>
      <c r="AK71" s="13">
        <f t="shared" si="89"/>
        <v>50.445955049216174</v>
      </c>
      <c r="AL71" s="20">
        <f t="shared" si="58"/>
        <v>441.76015637738448</v>
      </c>
      <c r="AM71" s="59">
        <f t="shared" si="59"/>
        <v>707.20654050460325</v>
      </c>
      <c r="AN71" s="59">
        <f ca="1">AVERAGE(OFFSET($AM$3,0,0,'Données projet'!$E$10+1,1))-AVERAGE(OFFSET($H$3,0,0,'Données projet'!$E$10+1,1))</f>
        <v>327.22763817565902</v>
      </c>
      <c r="AO71" s="59">
        <f t="shared" si="90"/>
        <v>311.68541696405975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12.671874542381056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12.671874542381056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2.8421709430404007E-14</v>
      </c>
      <c r="BE71" s="13">
        <f>BD71*VLOOKUP('Données projet'!$B$11,Paramètres!$A$1:$I$89,3,0)*VLOOKUP('Données projet'!$B$11,Paramètres!$A$1:$I$89,5,0)</f>
        <v>1.8178525351686402E-14</v>
      </c>
      <c r="BF71" s="13">
        <f t="shared" si="91"/>
        <v>3.3304129621647644E-13</v>
      </c>
      <c r="BG71" s="20">
        <f t="shared" si="61"/>
        <v>6.1170785589788349E-13</v>
      </c>
      <c r="BH71" s="59">
        <f t="shared" si="62"/>
        <v>265.44638412721946</v>
      </c>
      <c r="BI71" s="59">
        <f ca="1">AVERAGE(OFFSET($BH$3,0,0,'Données projet'!$E$11+1,1))-AVERAGE(OFFSET($H$3,0,0,'Données projet'!$E$11+1,1))</f>
        <v>169.46470423366029</v>
      </c>
      <c r="BJ71" s="59">
        <f t="shared" si="92"/>
        <v>230.78141128389288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28.550914277813014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28.550914277813014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4.5999999999999996</v>
      </c>
      <c r="BY71" s="12">
        <f>IF('Données projet'!$A$114&gt;35,BY70+BX71-CG70,IF(A71&lt;'Données projet'!$A$114,$BV$205^A71,IF(A71='Données projet'!$A$114,'Données projet'!$B$114,BY70+BX71-CG70)))</f>
        <v>210.79999999999987</v>
      </c>
      <c r="BZ71" s="13">
        <f>BY71*VLOOKUP('Données projet'!$B$12,Paramètres!$A$1:$I$89,3,0)*VLOOKUP('Données projet'!$B$12,Paramètres!$A$1:$I$89,5,0)</f>
        <v>184.15487999999993</v>
      </c>
      <c r="CA71" s="13">
        <f t="shared" si="93"/>
        <v>46.245339127946259</v>
      </c>
      <c r="CB71" s="20">
        <f t="shared" si="64"/>
        <v>401.28038164783965</v>
      </c>
      <c r="CC71" s="59">
        <f t="shared" si="65"/>
        <v>666.72676577505854</v>
      </c>
      <c r="CD71" s="59">
        <f ca="1">AVERAGE(OFFSET($CC$3,0,0,'Données projet'!$E$12+1,1))-AVERAGE(OFFSET($H$3,0,0,'Données projet'!$E$12+1,1))</f>
        <v>342.79161436526499</v>
      </c>
      <c r="CE71" s="59">
        <f t="shared" si="94"/>
        <v>315.50730924873733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15.946936291157495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15.946936291157495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</v>
      </c>
      <c r="CT71" s="12">
        <f>IF('Données projet'!$A$140&gt;35,CT70+CS71-DB70,IF(A71&lt;'Données projet'!$A$140,$CQ$205^A71,IF(A71='Données projet'!$A$140,'Données projet'!$B$140,CT70+CS71-DB70)))</f>
        <v>162</v>
      </c>
      <c r="CU71" s="17">
        <f>CT71*VLOOKUP('Données projet'!$B$13,Paramètres!$A$1:$I$89,3,0)*VLOOKUP('Données projet'!$B$13,Paramètres!$A$1:$I$89,5,0)</f>
        <v>108.6696</v>
      </c>
      <c r="CV71" s="13">
        <f t="shared" si="95"/>
        <v>29.017310316271104</v>
      </c>
      <c r="CW71" s="20">
        <f t="shared" si="67"/>
        <v>239.8047021341722</v>
      </c>
      <c r="CX71" s="59">
        <f t="shared" si="68"/>
        <v>505.25108626139104</v>
      </c>
      <c r="CY71" s="59">
        <f ca="1">AVERAGE(OFFSET($CX$3,0,0,'Données projet'!$E$13+1,1))-AVERAGE(OFFSET($H$3,0,0,'Données projet'!$E$13+1,1))</f>
        <v>201.84651193684252</v>
      </c>
      <c r="CZ71" s="59">
        <f t="shared" si="96"/>
        <v>138.00705940844708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6.8591659760831121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6.8591659760831121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1.1368683772161603E-13</v>
      </c>
      <c r="DP71" s="17">
        <f>DO71*VLOOKUP('Données projet'!$B$14,Paramètres!$A$1:$I$89,3,0)*VLOOKUP('Données projet'!$B$14,Paramètres!$A$1:$I$89,5,0)</f>
        <v>8.3355189417488869E-14</v>
      </c>
      <c r="DQ71" s="13">
        <f t="shared" si="97"/>
        <v>1.2790518435140618E-12</v>
      </c>
      <c r="DR71" s="20">
        <f t="shared" si="70"/>
        <v>2.3728589156891171E-12</v>
      </c>
      <c r="DS71" s="59">
        <f t="shared" si="71"/>
        <v>265.44638412722122</v>
      </c>
      <c r="DT71" s="59">
        <f ca="1">AVERAGE(OFFSET($DS$3,0,0,'Données projet'!$E$14+1,1))-AVERAGE(OFFSET($H$3,0,0,'Données projet'!$E$14+1,1))</f>
        <v>242.21240859696931</v>
      </c>
      <c r="DU71" s="59">
        <f t="shared" si="98"/>
        <v>340.92165104349192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53.806120656765053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53.806120656765053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5</v>
      </c>
      <c r="EJ71" s="12">
        <f>IF('Données projet'!$A$192&gt;35,EJ70+EI71-ER70,IF(A71&lt;'Données projet'!$A$192,$EG$205^A71,IF(A71='Données projet'!$A$192,'Données projet'!$B$192,EJ70+EI71-ER70)))</f>
        <v>162</v>
      </c>
      <c r="EK71" s="17">
        <f>EJ71*VLOOKUP('Données projet'!$B$15,Paramètres!$A$1:$I$89,3,0)*VLOOKUP('Données projet'!$B$15,Paramètres!$A$1:$I$89,5,0)</f>
        <v>156.68639999999999</v>
      </c>
      <c r="EL71" s="13">
        <f t="shared" si="99"/>
        <v>40.094215809840712</v>
      </c>
      <c r="EM71" s="20">
        <f t="shared" si="73"/>
        <v>342.7262392021392</v>
      </c>
      <c r="EN71" s="59">
        <f t="shared" si="74"/>
        <v>608.17262332935798</v>
      </c>
      <c r="EO71" s="59">
        <f ca="1">AVERAGE(OFFSET($EN$3,0,0,'Données projet'!$E$15+1,1))-AVERAGE(OFFSET($H$3,0,0,'Données projet'!$E$15+1,1))</f>
        <v>331.7059599630698</v>
      </c>
      <c r="EP71" s="59">
        <f t="shared" si="100"/>
        <v>173.19148969173838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5</v>
      </c>
      <c r="FE71" s="12">
        <f>IF('Données projet'!$A$218&gt;35,FE70+FD71-FM70,IF(A71&lt;'Données projet'!$A$218,$FB$205^A71,IF(A71='Données projet'!$A$218,'Données projet'!$B$218,FE70+FD71-FM70)))</f>
        <v>162</v>
      </c>
      <c r="FF71" s="17">
        <f>FE71*VLOOKUP('Données projet'!$B$16,Paramètres!$A$1:$I$89,3,0)*VLOOKUP('Données projet'!$B$16,Paramètres!$A$1:$I$89,5,0)</f>
        <v>174.37679999999997</v>
      </c>
      <c r="FG71" s="13">
        <f t="shared" si="101"/>
        <v>44.06882624410639</v>
      </c>
      <c r="FH71" s="20">
        <f t="shared" si="76"/>
        <v>380.45946570848531</v>
      </c>
      <c r="FI71" s="59">
        <f t="shared" si="77"/>
        <v>645.9058498357042</v>
      </c>
      <c r="FJ71" s="59">
        <f ca="1">AVERAGE(OFFSET($FI$3,0,0,'Données projet'!$E$16+1,1))-AVERAGE(OFFSET($H$3,0,0,'Données projet'!$E$16+1,1))</f>
        <v>360.86062459677004</v>
      </c>
      <c r="FK71" s="59">
        <f t="shared" si="102"/>
        <v>186.0840067781198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8.9298575915044278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8.9298575915044278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6.8</v>
      </c>
      <c r="FZ71" s="12">
        <f>IF('Données projet'!$A$244&gt;35,FZ70+FY71-GH70,IF(A71&lt;'Données projet'!$A$244,$FW$205^A71,IF(A71='Données projet'!$A$244,'Données projet'!$B$244,FZ70+FY71-GH70)))</f>
        <v>228.39999999999995</v>
      </c>
      <c r="GA71" s="17">
        <f>FZ71*VLOOKUP('Données projet'!$B$17,Paramètres!$A$1:$I$89,3,0)*VLOOKUP('Données projet'!$B$17,Paramètres!$A$1:$I$89,5,0)</f>
        <v>231.59759999999997</v>
      </c>
      <c r="GB71" s="13">
        <f t="shared" si="103"/>
        <v>56.627980714948151</v>
      </c>
      <c r="GC71" s="20">
        <f t="shared" si="79"/>
        <v>501.99288641186791</v>
      </c>
      <c r="GD71" s="59">
        <f t="shared" si="80"/>
        <v>767.43927053908669</v>
      </c>
      <c r="GE71" s="59">
        <f ca="1">AVERAGE(OFFSET($GD$3,0,0,'Données projet'!$E$17+1,1))-AVERAGE(OFFSET($H$3,0,0,'Données projet'!$E$17+1,1))</f>
        <v>448.73339628506784</v>
      </c>
      <c r="GF71" s="59">
        <f t="shared" si="104"/>
        <v>273.35778700650803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14.190873745753848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14.190873745753848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6.8</v>
      </c>
      <c r="N72" s="13">
        <f>IF('Données projet'!$A$36&gt;35,N71+M72-V71,IF(A72&lt;'Données projet'!$A$36,$K$205^A72,IF(A72='Données projet'!$A$36,'Données projet'!$B$36,N71+M72-V71)))</f>
        <v>235.19999999999996</v>
      </c>
      <c r="O72" s="13">
        <f>N72*VLOOKUP('Données projet'!$B$9,Paramètres!$A$1:$I$89,3,0)*VLOOKUP('Données projet'!$B$9,Paramètres!$A$1:$I$89,5,0)</f>
        <v>212.80895999999996</v>
      </c>
      <c r="P72" s="13">
        <f t="shared" si="87"/>
        <v>52.548938637485847</v>
      </c>
      <c r="Q72" s="20">
        <f t="shared" si="54"/>
        <v>462.16500679362099</v>
      </c>
      <c r="R72" s="59">
        <f t="shared" si="55"/>
        <v>728.0951671436876</v>
      </c>
      <c r="S72" s="59">
        <f ca="1">AVERAGE(OFFSET($R$3,0,0,'Données projet'!$E$9+1,1))-AVERAGE(OFFSET($H$3,0,0,'Données projet'!$E$9+1,1))</f>
        <v>408.51124670343137</v>
      </c>
      <c r="T72" s="59">
        <f t="shared" si="88"/>
        <v>250.47702091764884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12.414319435328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12.414319435328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3.8</v>
      </c>
      <c r="AI72" s="13">
        <f>IF('Données projet'!$A$62&gt;35,AI71+AH72-AQ71,IF(A72&lt;'Données projet'!$A$62,$AF$205^A72,IF(A72='Données projet'!$A$62,'Données projet'!$B$62,AI71+AH72-AQ71)))</f>
        <v>259.19999999999976</v>
      </c>
      <c r="AJ72" s="13">
        <f>AI72*VLOOKUP('Données projet'!$B$10,Paramètres!$A$1:$I$89,3,0)*VLOOKUP('Données projet'!$B$10,Paramètres!$A$1:$I$89,5,0)</f>
        <v>206.21951999999985</v>
      </c>
      <c r="AK72" s="13">
        <f t="shared" si="89"/>
        <v>51.10858428464028</v>
      </c>
      <c r="AL72" s="20">
        <f t="shared" si="58"/>
        <v>448.17978162908145</v>
      </c>
      <c r="AM72" s="59">
        <f t="shared" si="59"/>
        <v>714.10994197914806</v>
      </c>
      <c r="AN72" s="59">
        <f ca="1">AVERAGE(OFFSET($AM$3,0,0,'Données projet'!$E$10+1,1))-AVERAGE(OFFSET($H$3,0,0,'Données projet'!$E$10+1,1))</f>
        <v>327.22763817565902</v>
      </c>
      <c r="AO72" s="59">
        <f t="shared" si="90"/>
        <v>311.68541696405975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12.423386811685251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12.423386811685251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2.8421709430404007E-14</v>
      </c>
      <c r="BE72" s="13">
        <f>BD72*VLOOKUP('Données projet'!$B$11,Paramètres!$A$1:$I$89,3,0)*VLOOKUP('Données projet'!$B$11,Paramètres!$A$1:$I$89,5,0)</f>
        <v>1.8178525351686402E-14</v>
      </c>
      <c r="BF72" s="13">
        <f t="shared" si="91"/>
        <v>3.3304129621647644E-13</v>
      </c>
      <c r="BG72" s="20">
        <f t="shared" si="61"/>
        <v>6.1170785589788349E-13</v>
      </c>
      <c r="BH72" s="59">
        <f t="shared" si="62"/>
        <v>265.93016035006718</v>
      </c>
      <c r="BI72" s="59">
        <f ca="1">AVERAGE(OFFSET($BH$3,0,0,'Données projet'!$E$11+1,1))-AVERAGE(OFFSET($H$3,0,0,'Données projet'!$E$11+1,1))</f>
        <v>169.46470423366029</v>
      </c>
      <c r="BJ72" s="59">
        <f t="shared" si="92"/>
        <v>230.78141128389288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27.991048263163286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27.991048263163286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4.5999999999999996</v>
      </c>
      <c r="BY72" s="12">
        <f>IF('Données projet'!$A$114&gt;35,BY71+BX72-CG71,IF(A72&lt;'Données projet'!$A$114,$BV$205^A72,IF(A72='Données projet'!$A$114,'Données projet'!$B$114,BY71+BX72-CG71)))</f>
        <v>215.39999999999986</v>
      </c>
      <c r="BZ72" s="13">
        <f>BY72*VLOOKUP('Données projet'!$B$12,Paramètres!$A$1:$I$89,3,0)*VLOOKUP('Données projet'!$B$12,Paramètres!$A$1:$I$89,5,0)</f>
        <v>188.17343999999991</v>
      </c>
      <c r="CA72" s="13">
        <f t="shared" si="93"/>
        <v>47.135899614073118</v>
      </c>
      <c r="CB72" s="20">
        <f t="shared" si="64"/>
        <v>409.83043316117715</v>
      </c>
      <c r="CC72" s="59">
        <f t="shared" si="65"/>
        <v>675.76059351124377</v>
      </c>
      <c r="CD72" s="59">
        <f ca="1">AVERAGE(OFFSET($CC$3,0,0,'Données projet'!$E$12+1,1))-AVERAGE(OFFSET($H$3,0,0,'Données projet'!$E$12+1,1))</f>
        <v>342.79161436526499</v>
      </c>
      <c r="CE72" s="59">
        <f t="shared" si="94"/>
        <v>315.50730924873733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15.634226597158605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15.634226597158605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</v>
      </c>
      <c r="CT72" s="12">
        <f>IF('Données projet'!$A$140&gt;35,CT71+CS72-DB71,IF(A72&lt;'Données projet'!$A$140,$CQ$205^A72,IF(A72='Données projet'!$A$140,'Données projet'!$B$140,CT71+CS72-DB71)))</f>
        <v>167</v>
      </c>
      <c r="CU72" s="17">
        <f>CT72*VLOOKUP('Données projet'!$B$13,Paramètres!$A$1:$I$89,3,0)*VLOOKUP('Données projet'!$B$13,Paramètres!$A$1:$I$89,5,0)</f>
        <v>112.0236</v>
      </c>
      <c r="CV72" s="13">
        <f t="shared" si="95"/>
        <v>29.807253508126326</v>
      </c>
      <c r="CW72" s="20">
        <f t="shared" si="67"/>
        <v>247.02206985998669</v>
      </c>
      <c r="CX72" s="59">
        <f t="shared" si="68"/>
        <v>512.95223021005324</v>
      </c>
      <c r="CY72" s="59">
        <f ca="1">AVERAGE(OFFSET($CX$3,0,0,'Données projet'!$E$13+1,1))-AVERAGE(OFFSET($H$3,0,0,'Données projet'!$E$13+1,1))</f>
        <v>201.84651193684252</v>
      </c>
      <c r="CZ72" s="59">
        <f t="shared" si="96"/>
        <v>138.00705940844708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6.7246619149702633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6.7246619149702633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1.1368683772161603E-13</v>
      </c>
      <c r="DP72" s="17">
        <f>DO72*VLOOKUP('Données projet'!$B$14,Paramètres!$A$1:$I$89,3,0)*VLOOKUP('Données projet'!$B$14,Paramètres!$A$1:$I$89,5,0)</f>
        <v>8.3355189417488869E-14</v>
      </c>
      <c r="DQ72" s="13">
        <f t="shared" si="97"/>
        <v>1.2790518435140618E-12</v>
      </c>
      <c r="DR72" s="20">
        <f t="shared" si="70"/>
        <v>2.3728589156891171E-12</v>
      </c>
      <c r="DS72" s="59">
        <f t="shared" si="71"/>
        <v>265.93016035006895</v>
      </c>
      <c r="DT72" s="59">
        <f ca="1">AVERAGE(OFFSET($DS$3,0,0,'Données projet'!$E$14+1,1))-AVERAGE(OFFSET($H$3,0,0,'Données projet'!$E$14+1,1))</f>
        <v>242.21240859696931</v>
      </c>
      <c r="DU72" s="59">
        <f t="shared" si="98"/>
        <v>340.92165104349192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52.751015449178936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52.751015449178936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5</v>
      </c>
      <c r="EJ72" s="12">
        <f>IF('Données projet'!$A$192&gt;35,EJ71+EI72-ER71,IF(A72&lt;'Données projet'!$A$192,$EG$205^A72,IF(A72='Données projet'!$A$192,'Données projet'!$B$192,EJ71+EI72-ER71)))</f>
        <v>167</v>
      </c>
      <c r="EK72" s="17">
        <f>EJ72*VLOOKUP('Données projet'!$B$15,Paramètres!$A$1:$I$89,3,0)*VLOOKUP('Données projet'!$B$15,Paramètres!$A$1:$I$89,5,0)</f>
        <v>161.5224</v>
      </c>
      <c r="EL72" s="13">
        <f t="shared" si="99"/>
        <v>41.185707490721896</v>
      </c>
      <c r="EM72" s="20">
        <f t="shared" si="73"/>
        <v>353.04995387967392</v>
      </c>
      <c r="EN72" s="59">
        <f t="shared" si="74"/>
        <v>618.98011422974048</v>
      </c>
      <c r="EO72" s="59">
        <f ca="1">AVERAGE(OFFSET($EN$3,0,0,'Données projet'!$E$15+1,1))-AVERAGE(OFFSET($H$3,0,0,'Données projet'!$E$15+1,1))</f>
        <v>331.7059599630698</v>
      </c>
      <c r="EP72" s="59">
        <f t="shared" si="100"/>
        <v>173.19148969173838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5</v>
      </c>
      <c r="FE72" s="12">
        <f>IF('Données projet'!$A$218&gt;35,FE71+FD72-FM71,IF(A72&lt;'Données projet'!$A$218,$FB$205^A72,IF(A72='Données projet'!$A$218,'Données projet'!$B$218,FE71+FD72-FM71)))</f>
        <v>167</v>
      </c>
      <c r="FF72" s="17">
        <f>FE72*VLOOKUP('Données projet'!$B$16,Paramètres!$A$1:$I$89,3,0)*VLOOKUP('Données projet'!$B$16,Paramètres!$A$1:$I$89,5,0)</f>
        <v>179.75879999999998</v>
      </c>
      <c r="FG72" s="13">
        <f t="shared" si="101"/>
        <v>45.268519423286527</v>
      </c>
      <c r="FH72" s="20">
        <f t="shared" si="76"/>
        <v>391.92258132889066</v>
      </c>
      <c r="FI72" s="59">
        <f t="shared" si="77"/>
        <v>657.85274167895727</v>
      </c>
      <c r="FJ72" s="59">
        <f ca="1">AVERAGE(OFFSET($FI$3,0,0,'Données projet'!$E$16+1,1))-AVERAGE(OFFSET($H$3,0,0,'Données projet'!$E$16+1,1))</f>
        <v>360.86062459677004</v>
      </c>
      <c r="FK72" s="59">
        <f t="shared" si="102"/>
        <v>186.0840067781198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8.7547485308103425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8.7547485308103425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6.8</v>
      </c>
      <c r="FZ72" s="12">
        <f>IF('Données projet'!$A$244&gt;35,FZ71+FY72-GH71,IF(A72&lt;'Données projet'!$A$244,$FW$205^A72,IF(A72='Données projet'!$A$244,'Données projet'!$B$244,FZ71+FY72-GH71)))</f>
        <v>235.19999999999996</v>
      </c>
      <c r="GA72" s="17">
        <f>FZ72*VLOOKUP('Données projet'!$B$17,Paramètres!$A$1:$I$89,3,0)*VLOOKUP('Données projet'!$B$17,Paramètres!$A$1:$I$89,5,0)</f>
        <v>238.49279999999996</v>
      </c>
      <c r="GB72" s="13">
        <f t="shared" si="103"/>
        <v>58.115130258576542</v>
      </c>
      <c r="GC72" s="20">
        <f t="shared" si="79"/>
        <v>516.59214520035414</v>
      </c>
      <c r="GD72" s="59">
        <f t="shared" si="80"/>
        <v>782.5223055504207</v>
      </c>
      <c r="GE72" s="59">
        <f ca="1">AVERAGE(OFFSET($GD$3,0,0,'Données projet'!$E$17+1,1))-AVERAGE(OFFSET($H$3,0,0,'Données projet'!$E$17+1,1))</f>
        <v>448.73339628506784</v>
      </c>
      <c r="GF72" s="59">
        <f t="shared" si="104"/>
        <v>273.35778700650803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13.912599367177933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13.912599367177933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242</v>
      </c>
      <c r="L73" s="12">
        <f>VLOOKUP(A73,'Données projet'!$A$35:$I$55,9,0)</f>
        <v>6.8</v>
      </c>
      <c r="M73" s="12">
        <f t="array" ref="M73">INDEX(L:L,MIN(IF(ISNUMBER(L73:L269),ROW(L73:L269),"")))</f>
        <v>6.8</v>
      </c>
      <c r="N73" s="13">
        <f>IF('Données projet'!$A$36&gt;35,N72+M73-V72,IF(A73&lt;'Données projet'!$A$36,$K$205^A73,IF(A73='Données projet'!$A$36,'Données projet'!$B$36,N72+M73-V72)))</f>
        <v>241.99999999999997</v>
      </c>
      <c r="O73" s="13">
        <f>N73*VLOOKUP('Données projet'!$B$9,Paramètres!$A$1:$I$89,3,0)*VLOOKUP('Données projet'!$B$9,Paramètres!$A$1:$I$89,5,0)</f>
        <v>218.96159999999998</v>
      </c>
      <c r="P73" s="13">
        <f t="shared" si="87"/>
        <v>53.88913250370743</v>
      </c>
      <c r="Q73" s="20">
        <f t="shared" si="54"/>
        <v>475.21502577729035</v>
      </c>
      <c r="R73" s="59">
        <f t="shared" si="55"/>
        <v>741.62056991429984</v>
      </c>
      <c r="S73" s="59">
        <f ca="1">AVERAGE(OFFSET($R$3,0,0,'Données projet'!$E$9+1,1))-AVERAGE(OFFSET($H$3,0,0,'Données projet'!$E$9+1,1))</f>
        <v>408.51124670343137</v>
      </c>
      <c r="T73" s="59">
        <f t="shared" si="88"/>
        <v>250.47702091764884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0.215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16.686918844485781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16.686918844485781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3.8</v>
      </c>
      <c r="AH73" s="12">
        <f t="array" ref="AH73">INDEX(AG:AG,MIN(IF(ISNUMBER(AG73:AG269),ROW(AG73:AG269),"")))</f>
        <v>3.8</v>
      </c>
      <c r="AI73" s="13">
        <f>IF('Données projet'!$A$62&gt;35,AI72+AH73-AQ72,IF(A73&lt;'Données projet'!$A$62,$AF$205^A73,IF(A73='Données projet'!$A$62,'Données projet'!$B$62,AI72+AH73-AQ72)))</f>
        <v>262.99999999999977</v>
      </c>
      <c r="AJ73" s="13">
        <f>AI73*VLOOKUP('Données projet'!$B$10,Paramètres!$A$1:$I$89,3,0)*VLOOKUP('Données projet'!$B$10,Paramètres!$A$1:$I$89,5,0)</f>
        <v>209.24279999999982</v>
      </c>
      <c r="AK73" s="13">
        <f t="shared" si="89"/>
        <v>51.770083677016764</v>
      </c>
      <c r="AL73" s="20">
        <f t="shared" si="58"/>
        <v>454.59743907080389</v>
      </c>
      <c r="AM73" s="59">
        <f t="shared" si="59"/>
        <v>721.00298320781337</v>
      </c>
      <c r="AN73" s="59">
        <f ca="1">AVERAGE(OFFSET($AM$3,0,0,'Données projet'!$E$10+1,1))-AVERAGE(OFFSET($H$3,0,0,'Données projet'!$E$10+1,1))</f>
        <v>327.22763817565902</v>
      </c>
      <c r="AO73" s="59">
        <f t="shared" si="90"/>
        <v>311.68541696405975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10</v>
      </c>
      <c r="AR73" s="16">
        <f>IF(ISNA(VLOOKUP(A73,'Données projet'!$A$61:$I$81,5,0)),0%,VLOOKUP(A73,'Données projet'!$A$61:$I$81,5,0)*VLOOKUP('Données projet'!$B$10,Paramètres!$A$1:$I$89,7,0))</f>
        <v>0.26500000000000001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14.510479193810342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14.510479193810342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2.8421709430404007E-14</v>
      </c>
      <c r="BE73" s="13">
        <f>BD73*VLOOKUP('Données projet'!$B$11,Paramètres!$A$1:$I$89,3,0)*VLOOKUP('Données projet'!$B$11,Paramètres!$A$1:$I$89,5,0)</f>
        <v>1.8178525351686402E-14</v>
      </c>
      <c r="BF73" s="13">
        <f t="shared" si="91"/>
        <v>3.3304129621647644E-13</v>
      </c>
      <c r="BG73" s="20">
        <f t="shared" si="61"/>
        <v>6.1170785589788349E-13</v>
      </c>
      <c r="BH73" s="59">
        <f t="shared" si="62"/>
        <v>266.40554413701011</v>
      </c>
      <c r="BI73" s="59">
        <f ca="1">AVERAGE(OFFSET($BH$3,0,0,'Données projet'!$E$11+1,1))-AVERAGE(OFFSET($H$3,0,0,'Données projet'!$E$11+1,1))</f>
        <v>169.46470423366029</v>
      </c>
      <c r="BJ73" s="59">
        <f t="shared" si="92"/>
        <v>230.78141128389288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27.442160879576289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27.442160879576289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220</v>
      </c>
      <c r="BW73" s="12">
        <f>VLOOKUP(A73,'Données projet'!$A$113:$I$133,9,0)</f>
        <v>4.5999999999999996</v>
      </c>
      <c r="BX73" s="12">
        <f t="array" ref="BX73">INDEX(BW:BW,MIN(IF(ISNUMBER(BW73:BW269),ROW(BW73:BW269),"")))</f>
        <v>4.5999999999999996</v>
      </c>
      <c r="BY73" s="12">
        <f>IF('Données projet'!$A$114&gt;35,BY72+BX73-CG72,IF(A73&lt;'Données projet'!$A$114,$BV$205^A73,IF(A73='Données projet'!$A$114,'Données projet'!$B$114,BY72+BX73-CG72)))</f>
        <v>219.99999999999986</v>
      </c>
      <c r="BZ73" s="13">
        <f>BY73*VLOOKUP('Données projet'!$B$12,Paramètres!$A$1:$I$89,3,0)*VLOOKUP('Données projet'!$B$12,Paramètres!$A$1:$I$89,5,0)</f>
        <v>192.19199999999989</v>
      </c>
      <c r="CA73" s="13">
        <f t="shared" si="93"/>
        <v>48.024248921932397</v>
      </c>
      <c r="CB73" s="20">
        <f t="shared" si="64"/>
        <v>418.37663353903207</v>
      </c>
      <c r="CC73" s="59">
        <f t="shared" si="65"/>
        <v>684.78217767604156</v>
      </c>
      <c r="CD73" s="59">
        <f ca="1">AVERAGE(OFFSET($CC$3,0,0,'Données projet'!$E$12+1,1))-AVERAGE(OFFSET($H$3,0,0,'Données projet'!$E$12+1,1))</f>
        <v>342.79161436526499</v>
      </c>
      <c r="CE73" s="59">
        <f t="shared" si="94"/>
        <v>315.50730924873733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16</v>
      </c>
      <c r="CH73" s="16">
        <f>IF(ISNA(VLOOKUP(A73,'Données projet'!$A$113:$I$133,5,0)),0%,VLOOKUP(A73,'Données projet'!$A$113:$I$133,5,0)*VLOOKUP('Données projet'!$B$12,Paramètres!$A$1:$I$89,7,0))</f>
        <v>0.25800000000000001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19.314219225980573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19.314219225980573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172</v>
      </c>
      <c r="CR73" s="12">
        <f>VLOOKUP(A73,'Données projet'!$A$139:$I$159,9,0)</f>
        <v>5</v>
      </c>
      <c r="CS73" s="12">
        <f t="array" ref="CS73">INDEX(CR:CR,MIN(IF(ISNUMBER(CR73:CR269),ROW(CR73:CR269),"")))</f>
        <v>5</v>
      </c>
      <c r="CT73" s="12">
        <f>IF('Données projet'!$A$140&gt;35,CT72+CS73-DB72,IF(A73&lt;'Données projet'!$A$140,$CQ$205^A73,IF(A73='Données projet'!$A$140,'Données projet'!$B$140,CT72+CS73-DB72)))</f>
        <v>172</v>
      </c>
      <c r="CU73" s="17">
        <f>CT73*VLOOKUP('Données projet'!$B$13,Paramètres!$A$1:$I$89,3,0)*VLOOKUP('Données projet'!$B$13,Paramètres!$A$1:$I$89,5,0)</f>
        <v>115.3776</v>
      </c>
      <c r="CV73" s="13">
        <f t="shared" si="95"/>
        <v>30.59444808195472</v>
      </c>
      <c r="CW73" s="20">
        <f t="shared" si="67"/>
        <v>254.23465040940445</v>
      </c>
      <c r="CX73" s="59">
        <f t="shared" si="68"/>
        <v>520.64019454641391</v>
      </c>
      <c r="CY73" s="59">
        <f ca="1">AVERAGE(OFFSET($CX$3,0,0,'Données projet'!$E$13+1,1))-AVERAGE(OFFSET($H$3,0,0,'Données projet'!$E$13+1,1))</f>
        <v>201.84651193684252</v>
      </c>
      <c r="CZ73" s="59">
        <f t="shared" si="96"/>
        <v>138.00705940844708</v>
      </c>
      <c r="DA73" s="15">
        <f>IF(ISNA(VLOOKUP(A73,'Données projet'!$A$139:$I$159,3,0)),0,VLOOKUP(A73,'Données projet'!$A$139:$I$159,3,0))</f>
        <v>10</v>
      </c>
      <c r="DB73" s="15">
        <f>IF(ISNA(VLOOKUP(A73,'Données projet'!$A$139:$I$159,4,0)),0,VLOOKUP(A73,'Données projet'!$A$139:$I$159,4,0))</f>
        <v>14</v>
      </c>
      <c r="DC73" s="16">
        <f>IF(ISNA(VLOOKUP(A73,'Données projet'!$A$139:$I$159,5,0)),0%,VLOOKUP(A73,'Données projet'!$A$139:$I$159,5,0)*VLOOKUP('Données projet'!$B$13,Paramètres!$A$1:$I$89,7,0))</f>
        <v>0.26500000000000001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9.3439441549479696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9.3439441549479696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1.1368683772161603E-13</v>
      </c>
      <c r="DP73" s="17">
        <f>DO73*VLOOKUP('Données projet'!$B$14,Paramètres!$A$1:$I$89,3,0)*VLOOKUP('Données projet'!$B$14,Paramètres!$A$1:$I$89,5,0)</f>
        <v>8.3355189417488869E-14</v>
      </c>
      <c r="DQ73" s="13">
        <f t="shared" si="97"/>
        <v>1.2790518435140618E-12</v>
      </c>
      <c r="DR73" s="20">
        <f t="shared" si="70"/>
        <v>2.3728589156891171E-12</v>
      </c>
      <c r="DS73" s="59">
        <f t="shared" si="71"/>
        <v>266.40554413701187</v>
      </c>
      <c r="DT73" s="59">
        <f ca="1">AVERAGE(OFFSET($DS$3,0,0,'Données projet'!$E$14+1,1))-AVERAGE(OFFSET($H$3,0,0,'Données projet'!$E$14+1,1))</f>
        <v>242.21240859696931</v>
      </c>
      <c r="DU73" s="59">
        <f t="shared" si="98"/>
        <v>340.92165104349192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51.716600211162948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51.716600211162948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172</v>
      </c>
      <c r="EH73" s="12">
        <f>VLOOKUP(A73,'Données projet'!$A$191:$I$211,9,0)</f>
        <v>5</v>
      </c>
      <c r="EI73" s="12">
        <f t="array" ref="EI73">INDEX(EH:EH,MIN(IF(ISNUMBER(EH73:EH269),ROW(EH73:EH269),"")))</f>
        <v>5</v>
      </c>
      <c r="EJ73" s="12">
        <f>IF('Données projet'!$A$192&gt;35,EJ72+EI73-ER72,IF(A73&lt;'Données projet'!$A$192,$EG$205^A73,IF(A73='Données projet'!$A$192,'Données projet'!$B$192,EJ72+EI73-ER72)))</f>
        <v>172</v>
      </c>
      <c r="EK73" s="17">
        <f>EJ73*VLOOKUP('Données projet'!$B$15,Paramètres!$A$1:$I$89,3,0)*VLOOKUP('Données projet'!$B$15,Paramètres!$A$1:$I$89,5,0)</f>
        <v>166.35840000000002</v>
      </c>
      <c r="EL73" s="13">
        <f t="shared" si="99"/>
        <v>42.27340131152765</v>
      </c>
      <c r="EM73" s="20">
        <f t="shared" si="73"/>
        <v>363.3670539509107</v>
      </c>
      <c r="EN73" s="59">
        <f t="shared" si="74"/>
        <v>629.77259808792019</v>
      </c>
      <c r="EO73" s="59">
        <f ca="1">AVERAGE(OFFSET($EN$3,0,0,'Données projet'!$E$15+1,1))-AVERAGE(OFFSET($H$3,0,0,'Données projet'!$E$15+1,1))</f>
        <v>331.7059599630698</v>
      </c>
      <c r="EP73" s="59">
        <f t="shared" si="100"/>
        <v>173.19148969173838</v>
      </c>
      <c r="EQ73" s="15">
        <f>IF(ISNA(VLOOKUP(A73,'Données projet'!$A$191:$I$211,3,0)),0,VLOOKUP(A73,'Données projet'!$A$191:$I$211,3,0))</f>
        <v>10</v>
      </c>
      <c r="ER73" s="15">
        <f>IF(ISNA(VLOOKUP(A73,'Données projet'!$A$191:$I$211,4,0)),0,VLOOKUP(A73,'Données projet'!$A$191:$I$211,4,0))</f>
        <v>14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172</v>
      </c>
      <c r="FC73" s="12">
        <f>VLOOKUP(A73,'Données projet'!$A$217:$I$237,9,0)</f>
        <v>5</v>
      </c>
      <c r="FD73" s="12">
        <f t="array" ref="FD73">INDEX(FC:FC,MIN(IF(ISNUMBER(FC73:FC269),ROW(FC73:FC269),"")))</f>
        <v>5</v>
      </c>
      <c r="FE73" s="12">
        <f>IF('Données projet'!$A$218&gt;35,FE72+FD73-FM72,IF(A73&lt;'Données projet'!$A$218,$FB$205^A73,IF(A73='Données projet'!$A$218,'Données projet'!$B$218,FE72+FD73-FM72)))</f>
        <v>172</v>
      </c>
      <c r="FF73" s="17">
        <f>FE73*VLOOKUP('Données projet'!$B$16,Paramètres!$A$1:$I$89,3,0)*VLOOKUP('Données projet'!$B$16,Paramètres!$A$1:$I$89,5,0)</f>
        <v>185.14079999999998</v>
      </c>
      <c r="FG73" s="13">
        <f t="shared" si="101"/>
        <v>46.464038253813506</v>
      </c>
      <c r="FH73" s="20">
        <f t="shared" si="76"/>
        <v>403.3784266253918</v>
      </c>
      <c r="FI73" s="59">
        <f t="shared" si="77"/>
        <v>669.78397076240128</v>
      </c>
      <c r="FJ73" s="59">
        <f ca="1">AVERAGE(OFFSET($FI$3,0,0,'Données projet'!$E$16+1,1))-AVERAGE(OFFSET($H$3,0,0,'Données projet'!$E$16+1,1))</f>
        <v>360.86062459677004</v>
      </c>
      <c r="FK73" s="59">
        <f t="shared" si="102"/>
        <v>186.0840067781198</v>
      </c>
      <c r="FL73" s="15">
        <f>IF(ISNA(VLOOKUP(A73,'Données projet'!$A$217:$I$237,3,0)),0,VLOOKUP(A73,'Données projet'!$A$217:$I$237,3,0))</f>
        <v>10</v>
      </c>
      <c r="FM73" s="15">
        <f>IF(ISNA(VLOOKUP(A73,'Données projet'!$A$217:$I$237,4,0)),0,VLOOKUP(A73,'Données projet'!$A$217:$I$237,4,0))</f>
        <v>14</v>
      </c>
      <c r="FN73" s="16">
        <f>IF(ISNA(VLOOKUP(A73,'Données projet'!$A$217:$I$237,5,0)),0%,VLOOKUP(A73,'Données projet'!$A$217:$I$237,5,0)*VLOOKUP('Données projet'!$B$16,Paramètres!$A$1:$I$89,7,0))</f>
        <v>0.17200000000000001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11.448420638192964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11.448420638192964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242</v>
      </c>
      <c r="FX73" s="12">
        <f>VLOOKUP(A73,'Données projet'!$A$243:$I$263,9,0)</f>
        <v>6.8</v>
      </c>
      <c r="FY73" s="12">
        <f t="array" ref="FY73">INDEX(FX:FX,MIN(IF(ISNUMBER(FX73:FX269),ROW(FX73:FX269),"")))</f>
        <v>6.8</v>
      </c>
      <c r="FZ73" s="12">
        <f>IF('Données projet'!$A$244&gt;35,FZ72+FY73-GH72,IF(A73&lt;'Données projet'!$A$244,$FW$205^A73,IF(A73='Données projet'!$A$244,'Données projet'!$B$244,FZ72+FY73-GH72)))</f>
        <v>241.99999999999997</v>
      </c>
      <c r="GA73" s="17">
        <f>FZ73*VLOOKUP('Données projet'!$B$17,Paramètres!$A$1:$I$89,3,0)*VLOOKUP('Données projet'!$B$17,Paramètres!$A$1:$I$89,5,0)</f>
        <v>245.38799999999998</v>
      </c>
      <c r="GB73" s="13">
        <f t="shared" si="103"/>
        <v>59.597282764919569</v>
      </c>
      <c r="GC73" s="20">
        <f t="shared" si="79"/>
        <v>531.18270081556818</v>
      </c>
      <c r="GD73" s="59">
        <f t="shared" si="80"/>
        <v>797.58824495257772</v>
      </c>
      <c r="GE73" s="59">
        <f ca="1">AVERAGE(OFFSET($GD$3,0,0,'Données projet'!$E$17+1,1))-AVERAGE(OFFSET($H$3,0,0,'Données projet'!$E$17+1,1))</f>
        <v>448.73339628506784</v>
      </c>
      <c r="GF73" s="59">
        <f t="shared" si="104"/>
        <v>273.35778700650803</v>
      </c>
      <c r="GG73" s="15">
        <f>IF(ISNA(VLOOKUP(A73,'Données projet'!$A$243:$I$263,3,0)),0,VLOOKUP(A73,'Données projet'!$A$243:$I$263,3,0))</f>
        <v>11</v>
      </c>
      <c r="GH73" s="15">
        <f>IF(ISNA(VLOOKUP(A73,'Données projet'!$A$243:$I$263,4,0)),0,VLOOKUP(A73,'Données projet'!$A$243:$I$263,4,0))</f>
        <v>21</v>
      </c>
      <c r="GI73" s="16">
        <f>IF(ISNA(VLOOKUP(A73,'Données projet'!$A$243:$I$263,5,0)),0%,VLOOKUP(A73,'Données projet'!$A$243:$I$263,5,0)*VLOOKUP('Données projet'!$B$17,Paramètres!$A$1:$I$89,7,0))</f>
        <v>0.215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18.700857325716829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18.700857325716829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6.2</v>
      </c>
      <c r="N74" s="13">
        <f>IF('Données projet'!$A$36&gt;35,N73+M74-V73,IF(A74&lt;'Données projet'!$A$36,$K$205^A74,IF(A74='Données projet'!$A$36,'Données projet'!$B$36,N73+M74-V73)))</f>
        <v>227.19999999999996</v>
      </c>
      <c r="O74" s="13">
        <f>N74*VLOOKUP('Données projet'!$B$9,Paramètres!$A$1:$I$89,3,0)*VLOOKUP('Données projet'!$B$9,Paramètres!$A$1:$I$89,5,0)</f>
        <v>205.57055999999997</v>
      </c>
      <c r="P74" s="13">
        <f t="shared" si="87"/>
        <v>50.966443946767392</v>
      </c>
      <c r="Q74" s="20">
        <f t="shared" si="54"/>
        <v>446.80194854061978</v>
      </c>
      <c r="R74" s="59">
        <f t="shared" si="55"/>
        <v>713.67462961866772</v>
      </c>
      <c r="S74" s="59">
        <f ca="1">AVERAGE(OFFSET($R$3,0,0,'Données projet'!$E$9+1,1))-AVERAGE(OFFSET($H$3,0,0,'Données projet'!$E$9+1,1))</f>
        <v>408.51124670343137</v>
      </c>
      <c r="T74" s="59">
        <f t="shared" si="88"/>
        <v>250.47702091764884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16.359698543960913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16.359698543960913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3.4</v>
      </c>
      <c r="AI74" s="13">
        <f>IF('Données projet'!$A$62&gt;35,AI73+AH74-AQ73,IF(A74&lt;'Données projet'!$A$62,$AF$205^A74,IF(A74='Données projet'!$A$62,'Données projet'!$B$62,AI73+AH74-AQ73)))</f>
        <v>256.39999999999975</v>
      </c>
      <c r="AJ74" s="13">
        <f>AI74*VLOOKUP('Données projet'!$B$10,Paramètres!$A$1:$I$89,3,0)*VLOOKUP('Données projet'!$B$10,Paramètres!$A$1:$I$89,5,0)</f>
        <v>203.9918399999998</v>
      </c>
      <c r="AK74" s="13">
        <f t="shared" si="89"/>
        <v>50.620441749347997</v>
      </c>
      <c r="AL74" s="20">
        <f t="shared" si="58"/>
        <v>443.44972404678077</v>
      </c>
      <c r="AM74" s="59">
        <f t="shared" si="59"/>
        <v>710.32240512482872</v>
      </c>
      <c r="AN74" s="59">
        <f ca="1">AVERAGE(OFFSET($AM$3,0,0,'Données projet'!$E$10+1,1))-AVERAGE(OFFSET($H$3,0,0,'Données projet'!$E$10+1,1))</f>
        <v>327.22763817565902</v>
      </c>
      <c r="AO74" s="59">
        <f t="shared" si="90"/>
        <v>311.68541696405975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14.225937547338113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14.225937547338113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2.8421709430404007E-14</v>
      </c>
      <c r="BE74" s="13">
        <f>BD74*VLOOKUP('Données projet'!$B$11,Paramètres!$A$1:$I$89,3,0)*VLOOKUP('Données projet'!$B$11,Paramètres!$A$1:$I$89,5,0)</f>
        <v>1.8178525351686402E-14</v>
      </c>
      <c r="BF74" s="13">
        <f t="shared" si="91"/>
        <v>3.3304129621647644E-13</v>
      </c>
      <c r="BG74" s="20">
        <f t="shared" si="61"/>
        <v>6.1170785589788349E-13</v>
      </c>
      <c r="BH74" s="59">
        <f t="shared" si="62"/>
        <v>266.87268107804857</v>
      </c>
      <c r="BI74" s="59">
        <f ca="1">AVERAGE(OFFSET($BH$3,0,0,'Données projet'!$E$11+1,1))-AVERAGE(OFFSET($H$3,0,0,'Données projet'!$E$11+1,1))</f>
        <v>169.46470423366029</v>
      </c>
      <c r="BJ74" s="59">
        <f t="shared" si="92"/>
        <v>230.78141128389288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26.904036842793186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26.904036842793186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3.8</v>
      </c>
      <c r="BY74" s="12">
        <f>IF('Données projet'!$A$114&gt;35,BY73+BX74-CG73,IF(A74&lt;'Données projet'!$A$114,$BV$205^A74,IF(A74='Données projet'!$A$114,'Données projet'!$B$114,BY73+BX74-CG73)))</f>
        <v>207.79999999999987</v>
      </c>
      <c r="BZ74" s="13">
        <f>BY74*VLOOKUP('Données projet'!$B$12,Paramètres!$A$1:$I$89,3,0)*VLOOKUP('Données projet'!$B$12,Paramètres!$A$1:$I$89,5,0)</f>
        <v>181.5340799999999</v>
      </c>
      <c r="CA74" s="13">
        <f t="shared" si="93"/>
        <v>45.663321943731859</v>
      </c>
      <c r="CB74" s="20">
        <f t="shared" si="64"/>
        <v>395.70214171866616</v>
      </c>
      <c r="CC74" s="59">
        <f t="shared" si="65"/>
        <v>662.5748227967141</v>
      </c>
      <c r="CD74" s="59">
        <f ca="1">AVERAGE(OFFSET($CC$3,0,0,'Données projet'!$E$12+1,1))-AVERAGE(OFFSET($H$3,0,0,'Données projet'!$E$12+1,1))</f>
        <v>342.79161436526499</v>
      </c>
      <c r="CE74" s="59">
        <f t="shared" si="94"/>
        <v>315.50730924873733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18.935479167469591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18.935479167469591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5</v>
      </c>
      <c r="CT74" s="12">
        <f>IF('Données projet'!$A$140&gt;35,CT73+CS74-DB73,IF(A74&lt;'Données projet'!$A$140,$CQ$205^A74,IF(A74='Données projet'!$A$140,'Données projet'!$B$140,CT73+CS74-DB73)))</f>
        <v>163</v>
      </c>
      <c r="CU74" s="17">
        <f>CT74*VLOOKUP('Données projet'!$B$13,Paramètres!$A$1:$I$89,3,0)*VLOOKUP('Données projet'!$B$13,Paramètres!$A$1:$I$89,5,0)</f>
        <v>109.3404</v>
      </c>
      <c r="CV74" s="13">
        <f t="shared" si="95"/>
        <v>29.175523311259294</v>
      </c>
      <c r="CW74" s="20">
        <f t="shared" si="67"/>
        <v>241.24856643377657</v>
      </c>
      <c r="CX74" s="59">
        <f t="shared" si="68"/>
        <v>508.12124751182455</v>
      </c>
      <c r="CY74" s="59">
        <f ca="1">AVERAGE(OFFSET($CX$3,0,0,'Données projet'!$E$13+1,1))-AVERAGE(OFFSET($H$3,0,0,'Données projet'!$E$13+1,1))</f>
        <v>201.84651193684252</v>
      </c>
      <c r="CZ74" s="59">
        <f t="shared" si="96"/>
        <v>138.00705940844708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9.1607151093126209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9.1607151093126209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1.1368683772161603E-13</v>
      </c>
      <c r="DP74" s="17">
        <f>DO74*VLOOKUP('Données projet'!$B$14,Paramètres!$A$1:$I$89,3,0)*VLOOKUP('Données projet'!$B$14,Paramètres!$A$1:$I$89,5,0)</f>
        <v>8.3355189417488869E-14</v>
      </c>
      <c r="DQ74" s="13">
        <f t="shared" si="97"/>
        <v>1.2790518435140618E-12</v>
      </c>
      <c r="DR74" s="20">
        <f t="shared" si="70"/>
        <v>2.3728589156891171E-12</v>
      </c>
      <c r="DS74" s="59">
        <f t="shared" si="71"/>
        <v>266.87268107805033</v>
      </c>
      <c r="DT74" s="59">
        <f ca="1">AVERAGE(OFFSET($DS$3,0,0,'Données projet'!$E$14+1,1))-AVERAGE(OFFSET($H$3,0,0,'Données projet'!$E$14+1,1))</f>
        <v>242.21240859696931</v>
      </c>
      <c r="DU74" s="59">
        <f t="shared" si="98"/>
        <v>340.92165104349192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50.702469225033461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50.702469225033461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5</v>
      </c>
      <c r="EJ74" s="12">
        <f>IF('Données projet'!$A$192&gt;35,EJ73+EI74-ER73,IF(A74&lt;'Données projet'!$A$192,$EG$205^A74,IF(A74='Données projet'!$A$192,'Données projet'!$B$192,EJ73+EI74-ER73)))</f>
        <v>163</v>
      </c>
      <c r="EK74" s="17">
        <f>EJ74*VLOOKUP('Données projet'!$B$15,Paramètres!$A$1:$I$89,3,0)*VLOOKUP('Données projet'!$B$15,Paramètres!$A$1:$I$89,5,0)</f>
        <v>157.65360000000001</v>
      </c>
      <c r="EL74" s="13">
        <f t="shared" si="99"/>
        <v>40.31282414727238</v>
      </c>
      <c r="EM74" s="20">
        <f t="shared" si="73"/>
        <v>344.79152205649939</v>
      </c>
      <c r="EN74" s="59">
        <f t="shared" si="74"/>
        <v>611.66420313454728</v>
      </c>
      <c r="EO74" s="59">
        <f ca="1">AVERAGE(OFFSET($EN$3,0,0,'Données projet'!$E$15+1,1))-AVERAGE(OFFSET($H$3,0,0,'Données projet'!$E$15+1,1))</f>
        <v>331.7059599630698</v>
      </c>
      <c r="EP74" s="59">
        <f t="shared" si="100"/>
        <v>173.19148969173838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5</v>
      </c>
      <c r="FE74" s="12">
        <f>IF('Données projet'!$A$218&gt;35,FE73+FD74-FM73,IF(A74&lt;'Données projet'!$A$218,$FB$205^A74,IF(A74='Données projet'!$A$218,'Données projet'!$B$218,FE73+FD74-FM73)))</f>
        <v>163</v>
      </c>
      <c r="FF74" s="17">
        <f>FE74*VLOOKUP('Données projet'!$B$16,Paramètres!$A$1:$I$89,3,0)*VLOOKUP('Données projet'!$B$16,Paramètres!$A$1:$I$89,5,0)</f>
        <v>175.45319999999998</v>
      </c>
      <c r="FG74" s="13">
        <f t="shared" si="101"/>
        <v>44.309105612169866</v>
      </c>
      <c r="FH74" s="20">
        <f t="shared" si="76"/>
        <v>382.75268227452915</v>
      </c>
      <c r="FI74" s="59">
        <f t="shared" si="77"/>
        <v>649.6253633525771</v>
      </c>
      <c r="FJ74" s="59">
        <f ca="1">AVERAGE(OFFSET($FI$3,0,0,'Données projet'!$E$16+1,1))-AVERAGE(OFFSET($H$3,0,0,'Données projet'!$E$16+1,1))</f>
        <v>360.86062459677004</v>
      </c>
      <c r="FK74" s="59">
        <f t="shared" si="102"/>
        <v>186.0840067781198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11.22392409232509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11.22392409232509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6.2</v>
      </c>
      <c r="FZ74" s="12">
        <f>IF('Données projet'!$A$244&gt;35,FZ73+FY74-GH73,IF(A74&lt;'Données projet'!$A$244,$FW$205^A74,IF(A74='Données projet'!$A$244,'Données projet'!$B$244,FZ73+FY74-GH73)))</f>
        <v>227.19999999999996</v>
      </c>
      <c r="GA74" s="17">
        <f>FZ74*VLOOKUP('Données projet'!$B$17,Paramètres!$A$1:$I$89,3,0)*VLOOKUP('Données projet'!$B$17,Paramètres!$A$1:$I$89,5,0)</f>
        <v>230.38079999999997</v>
      </c>
      <c r="GB74" s="13">
        <f t="shared" si="103"/>
        <v>56.365011465139979</v>
      </c>
      <c r="GC74" s="20">
        <f t="shared" si="79"/>
        <v>499.41562163511867</v>
      </c>
      <c r="GD74" s="59">
        <f t="shared" si="80"/>
        <v>766.28830271316656</v>
      </c>
      <c r="GE74" s="59">
        <f ca="1">AVERAGE(OFFSET($GD$3,0,0,'Données projet'!$E$17+1,1))-AVERAGE(OFFSET($H$3,0,0,'Données projet'!$E$17+1,1))</f>
        <v>448.73339628506784</v>
      </c>
      <c r="GF74" s="59">
        <f t="shared" si="104"/>
        <v>273.35778700650803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18.334144919956202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18.334144919956202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6.2</v>
      </c>
      <c r="N75" s="13">
        <f>IF('Données projet'!$A$36&gt;35,N74+M75-V74,IF(A75&lt;'Données projet'!$A$36,$K$205^A75,IF(A75='Données projet'!$A$36,'Données projet'!$B$36,N74+M75-V74)))</f>
        <v>233.39999999999995</v>
      </c>
      <c r="O75" s="13">
        <f>N75*VLOOKUP('Données projet'!$B$9,Paramètres!$A$1:$I$89,3,0)*VLOOKUP('Données projet'!$B$9,Paramètres!$A$1:$I$89,5,0)</f>
        <v>211.18031999999994</v>
      </c>
      <c r="P75" s="13">
        <f t="shared" si="87"/>
        <v>52.193431117443019</v>
      </c>
      <c r="Q75" s="20">
        <f t="shared" si="54"/>
        <v>458.70928319621316</v>
      </c>
      <c r="R75" s="59">
        <f t="shared" si="55"/>
        <v>726.04099743373422</v>
      </c>
      <c r="S75" s="59">
        <f ca="1">AVERAGE(OFFSET($R$3,0,0,'Données projet'!$E$9+1,1))-AVERAGE(OFFSET($H$3,0,0,'Données projet'!$E$9+1,1))</f>
        <v>408.51124670343137</v>
      </c>
      <c r="T75" s="59">
        <f t="shared" si="88"/>
        <v>250.47702091764884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16.038894833944664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16.038894833944664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3.4</v>
      </c>
      <c r="AI75" s="13">
        <f>IF('Données projet'!$A$62&gt;35,AI74+AH75-AQ74,IF(A75&lt;'Données projet'!$A$62,$AF$205^A75,IF(A75='Données projet'!$A$62,'Données projet'!$B$62,AI74+AH75-AQ74)))</f>
        <v>259.79999999999973</v>
      </c>
      <c r="AJ75" s="13">
        <f>AI75*VLOOKUP('Données projet'!$B$10,Paramètres!$A$1:$I$89,3,0)*VLOOKUP('Données projet'!$B$10,Paramètres!$A$1:$I$89,5,0)</f>
        <v>206.69687999999982</v>
      </c>
      <c r="AK75" s="13">
        <f t="shared" si="89"/>
        <v>51.213106197404386</v>
      </c>
      <c r="AL75" s="20">
        <f t="shared" si="58"/>
        <v>449.19322596047908</v>
      </c>
      <c r="AM75" s="59">
        <f t="shared" si="59"/>
        <v>716.52494019800019</v>
      </c>
      <c r="AN75" s="59">
        <f ca="1">AVERAGE(OFFSET($AM$3,0,0,'Données projet'!$E$10+1,1))-AVERAGE(OFFSET($H$3,0,0,'Données projet'!$E$10+1,1))</f>
        <v>327.22763817565902</v>
      </c>
      <c r="AO75" s="59">
        <f t="shared" si="90"/>
        <v>311.68541696405975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13.946975588999937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13.946975588999937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2.8421709430404007E-14</v>
      </c>
      <c r="BE75" s="13">
        <f>BD75*VLOOKUP('Données projet'!$B$11,Paramètres!$A$1:$I$89,3,0)*VLOOKUP('Données projet'!$B$11,Paramètres!$A$1:$I$89,5,0)</f>
        <v>1.8178525351686402E-14</v>
      </c>
      <c r="BF75" s="13">
        <f t="shared" si="91"/>
        <v>3.3304129621647644E-13</v>
      </c>
      <c r="BG75" s="20">
        <f t="shared" si="61"/>
        <v>6.1170785589788349E-13</v>
      </c>
      <c r="BH75" s="59">
        <f t="shared" si="62"/>
        <v>267.33171423752174</v>
      </c>
      <c r="BI75" s="59">
        <f ca="1">AVERAGE(OFFSET($BH$3,0,0,'Données projet'!$E$11+1,1))-AVERAGE(OFFSET($H$3,0,0,'Données projet'!$E$11+1,1))</f>
        <v>169.46470423366029</v>
      </c>
      <c r="BJ75" s="59">
        <f t="shared" si="92"/>
        <v>230.78141128389288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26.376465090148148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26.376465090148148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3.8</v>
      </c>
      <c r="BY75" s="12">
        <f>IF('Données projet'!$A$114&gt;35,BY74+BX75-CG74,IF(A75&lt;'Données projet'!$A$114,$BV$205^A75,IF(A75='Données projet'!$A$114,'Données projet'!$B$114,BY74+BX75-CG74)))</f>
        <v>211.59999999999988</v>
      </c>
      <c r="BZ75" s="13">
        <f>BY75*VLOOKUP('Données projet'!$B$12,Paramètres!$A$1:$I$89,3,0)*VLOOKUP('Données projet'!$B$12,Paramètres!$A$1:$I$89,5,0)</f>
        <v>184.85375999999991</v>
      </c>
      <c r="CA75" s="13">
        <f t="shared" si="93"/>
        <v>46.400380376458166</v>
      </c>
      <c r="CB75" s="20">
        <f t="shared" si="64"/>
        <v>402.76762782233112</v>
      </c>
      <c r="CC75" s="59">
        <f t="shared" si="65"/>
        <v>670.09934205985223</v>
      </c>
      <c r="CD75" s="59">
        <f ca="1">AVERAGE(OFFSET($CC$3,0,0,'Données projet'!$E$12+1,1))-AVERAGE(OFFSET($H$3,0,0,'Données projet'!$E$12+1,1))</f>
        <v>342.79161436526499</v>
      </c>
      <c r="CE75" s="59">
        <f t="shared" si="94"/>
        <v>315.50730924873733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18.564165970497385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18.564165970497385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5</v>
      </c>
      <c r="CT75" s="12">
        <f>IF('Données projet'!$A$140&gt;35,CT74+CS75-DB74,IF(A75&lt;'Données projet'!$A$140,$CQ$205^A75,IF(A75='Données projet'!$A$140,'Données projet'!$B$140,CT74+CS75-DB74)))</f>
        <v>168</v>
      </c>
      <c r="CU75" s="17">
        <f>CT75*VLOOKUP('Données projet'!$B$13,Paramètres!$A$1:$I$89,3,0)*VLOOKUP('Données projet'!$B$13,Paramètres!$A$1:$I$89,5,0)</f>
        <v>112.6944</v>
      </c>
      <c r="CV75" s="13">
        <f t="shared" si="95"/>
        <v>29.964909381330632</v>
      </c>
      <c r="CW75" s="20">
        <f t="shared" si="67"/>
        <v>248.46496383915087</v>
      </c>
      <c r="CX75" s="59">
        <f t="shared" si="68"/>
        <v>515.79667807667192</v>
      </c>
      <c r="CY75" s="59">
        <f ca="1">AVERAGE(OFFSET($CX$3,0,0,'Données projet'!$E$13+1,1))-AVERAGE(OFFSET($H$3,0,0,'Données projet'!$E$13+1,1))</f>
        <v>201.84651193684252</v>
      </c>
      <c r="CZ75" s="59">
        <f t="shared" si="96"/>
        <v>138.00705940844708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8.9810790735034995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8.9810790735034995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1.1368683772161603E-13</v>
      </c>
      <c r="DP75" s="17">
        <f>DO75*VLOOKUP('Données projet'!$B$14,Paramètres!$A$1:$I$89,3,0)*VLOOKUP('Données projet'!$B$14,Paramètres!$A$1:$I$89,5,0)</f>
        <v>8.3355189417488869E-14</v>
      </c>
      <c r="DQ75" s="13">
        <f t="shared" si="97"/>
        <v>1.2790518435140618E-12</v>
      </c>
      <c r="DR75" s="20">
        <f t="shared" si="70"/>
        <v>2.3728589156891171E-12</v>
      </c>
      <c r="DS75" s="59">
        <f t="shared" si="71"/>
        <v>267.3317142375235</v>
      </c>
      <c r="DT75" s="59">
        <f ca="1">AVERAGE(OFFSET($DS$3,0,0,'Données projet'!$E$14+1,1))-AVERAGE(OFFSET($H$3,0,0,'Données projet'!$E$14+1,1))</f>
        <v>242.21240859696931</v>
      </c>
      <c r="DU75" s="59">
        <f t="shared" si="98"/>
        <v>340.92165104349192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49.708224728983147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49.708224728983147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5</v>
      </c>
      <c r="EJ75" s="12">
        <f>IF('Données projet'!$A$192&gt;35,EJ74+EI75-ER74,IF(A75&lt;'Données projet'!$A$192,$EG$205^A75,IF(A75='Données projet'!$A$192,'Données projet'!$B$192,EJ74+EI75-ER74)))</f>
        <v>168</v>
      </c>
      <c r="EK75" s="17">
        <f>EJ75*VLOOKUP('Données projet'!$B$15,Paramètres!$A$1:$I$89,3,0)*VLOOKUP('Données projet'!$B$15,Paramètres!$A$1:$I$89,5,0)</f>
        <v>162.4896</v>
      </c>
      <c r="EL75" s="13">
        <f t="shared" si="99"/>
        <v>41.403546033820696</v>
      </c>
      <c r="EM75" s="20">
        <f t="shared" si="73"/>
        <v>355.11389600890431</v>
      </c>
      <c r="EN75" s="59">
        <f t="shared" si="74"/>
        <v>622.44561024642542</v>
      </c>
      <c r="EO75" s="59">
        <f ca="1">AVERAGE(OFFSET($EN$3,0,0,'Données projet'!$E$15+1,1))-AVERAGE(OFFSET($H$3,0,0,'Données projet'!$E$15+1,1))</f>
        <v>331.7059599630698</v>
      </c>
      <c r="EP75" s="59">
        <f t="shared" si="100"/>
        <v>173.19148969173838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5</v>
      </c>
      <c r="FE75" s="12">
        <f>IF('Données projet'!$A$218&gt;35,FE74+FD75-FM74,IF(A75&lt;'Données projet'!$A$218,$FB$205^A75,IF(A75='Données projet'!$A$218,'Données projet'!$B$218,FE74+FD75-FM74)))</f>
        <v>168</v>
      </c>
      <c r="FF75" s="17">
        <f>FE75*VLOOKUP('Données projet'!$B$16,Paramètres!$A$1:$I$89,3,0)*VLOOKUP('Données projet'!$B$16,Paramètres!$A$1:$I$89,5,0)</f>
        <v>180.83519999999999</v>
      </c>
      <c r="FG75" s="13">
        <f t="shared" si="101"/>
        <v>45.507952685945142</v>
      </c>
      <c r="FH75" s="20">
        <f t="shared" si="76"/>
        <v>394.21432426135442</v>
      </c>
      <c r="FI75" s="59">
        <f t="shared" si="77"/>
        <v>661.54603849887553</v>
      </c>
      <c r="FJ75" s="59">
        <f ca="1">AVERAGE(OFFSET($FI$3,0,0,'Données projet'!$E$16+1,1))-AVERAGE(OFFSET($H$3,0,0,'Données projet'!$E$16+1,1))</f>
        <v>360.86062459677004</v>
      </c>
      <c r="FK75" s="59">
        <f t="shared" si="102"/>
        <v>186.0840067781198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11.003829786792313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11.003829786792313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6.2</v>
      </c>
      <c r="FZ75" s="12">
        <f>IF('Données projet'!$A$244&gt;35,FZ74+FY75-GH74,IF(A75&lt;'Données projet'!$A$244,$FW$205^A75,IF(A75='Données projet'!$A$244,'Données projet'!$B$244,FZ74+FY75-GH74)))</f>
        <v>233.39999999999995</v>
      </c>
      <c r="GA75" s="17">
        <f>FZ75*VLOOKUP('Données projet'!$B$17,Paramètres!$A$1:$I$89,3,0)*VLOOKUP('Données projet'!$B$17,Paramètres!$A$1:$I$89,5,0)</f>
        <v>236.66759999999996</v>
      </c>
      <c r="GB75" s="13">
        <f t="shared" si="103"/>
        <v>57.721965974560838</v>
      </c>
      <c r="GC75" s="20">
        <f t="shared" si="79"/>
        <v>512.72849407236004</v>
      </c>
      <c r="GD75" s="59">
        <f t="shared" si="80"/>
        <v>780.06020830988109</v>
      </c>
      <c r="GE75" s="59">
        <f ca="1">AVERAGE(OFFSET($GD$3,0,0,'Données projet'!$E$17+1,1))-AVERAGE(OFFSET($H$3,0,0,'Données projet'!$E$17+1,1))</f>
        <v>448.73339628506784</v>
      </c>
      <c r="GF75" s="59">
        <f t="shared" si="104"/>
        <v>273.35778700650803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17.974623520800058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17.974623520800058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6.2</v>
      </c>
      <c r="N76" s="13">
        <f>IF('Données projet'!$A$36&gt;35,N75+M76-V75,IF(A76&lt;'Données projet'!$A$36,$K$205^A76,IF(A76='Données projet'!$A$36,'Données projet'!$B$36,N75+M76-V75)))</f>
        <v>239.59999999999994</v>
      </c>
      <c r="O76" s="13">
        <f>N76*VLOOKUP('Données projet'!$B$9,Paramètres!$A$1:$I$89,3,0)*VLOOKUP('Données projet'!$B$9,Paramètres!$A$1:$I$89,5,0)</f>
        <v>216.79007999999996</v>
      </c>
      <c r="P76" s="13">
        <f t="shared" si="87"/>
        <v>53.416629794462551</v>
      </c>
      <c r="Q76" s="20">
        <f t="shared" si="54"/>
        <v>470.61001955868886</v>
      </c>
      <c r="R76" s="59">
        <f t="shared" si="55"/>
        <v>738.39280375661065</v>
      </c>
      <c r="S76" s="59">
        <f ca="1">AVERAGE(OFFSET($R$3,0,0,'Données projet'!$E$9+1,1))-AVERAGE(OFFSET($H$3,0,0,'Données projet'!$E$9+1,1))</f>
        <v>408.51124670343137</v>
      </c>
      <c r="T76" s="59">
        <f t="shared" si="88"/>
        <v>250.47702091764884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15.724381889010891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15.724381889010891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3.4</v>
      </c>
      <c r="AI76" s="13">
        <f>IF('Données projet'!$A$62&gt;35,AI75+AH76-AQ75,IF(A76&lt;'Données projet'!$A$62,$AF$205^A76,IF(A76='Données projet'!$A$62,'Données projet'!$B$62,AI75+AH76-AQ75)))</f>
        <v>263.1999999999997</v>
      </c>
      <c r="AJ76" s="13">
        <f>AI76*VLOOKUP('Données projet'!$B$10,Paramètres!$A$1:$I$89,3,0)*VLOOKUP('Données projet'!$B$10,Paramètres!$A$1:$I$89,5,0)</f>
        <v>209.40191999999979</v>
      </c>
      <c r="AK76" s="13">
        <f t="shared" si="89"/>
        <v>51.804868484578996</v>
      </c>
      <c r="AL76" s="20">
        <f t="shared" si="58"/>
        <v>454.9351566106414</v>
      </c>
      <c r="AM76" s="59">
        <f t="shared" si="59"/>
        <v>722.71794080856318</v>
      </c>
      <c r="AN76" s="59">
        <f ca="1">AVERAGE(OFFSET($AM$3,0,0,'Données projet'!$E$10+1,1))-AVERAGE(OFFSET($H$3,0,0,'Données projet'!$E$10+1,1))</f>
        <v>327.22763817565902</v>
      </c>
      <c r="AO76" s="59">
        <f t="shared" si="90"/>
        <v>311.68541696405975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13.673483904514779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13.673483904514779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2.8421709430404007E-14</v>
      </c>
      <c r="BE76" s="13">
        <f>BD76*VLOOKUP('Données projet'!$B$11,Paramètres!$A$1:$I$89,3,0)*VLOOKUP('Données projet'!$B$11,Paramètres!$A$1:$I$89,5,0)</f>
        <v>1.8178525351686402E-14</v>
      </c>
      <c r="BF76" s="13">
        <f t="shared" si="91"/>
        <v>3.3304129621647644E-13</v>
      </c>
      <c r="BG76" s="20">
        <f t="shared" si="61"/>
        <v>6.1170785589788349E-13</v>
      </c>
      <c r="BH76" s="59">
        <f t="shared" si="62"/>
        <v>267.78278419792241</v>
      </c>
      <c r="BI76" s="59">
        <f ca="1">AVERAGE(OFFSET($BH$3,0,0,'Données projet'!$E$11+1,1))-AVERAGE(OFFSET($H$3,0,0,'Données projet'!$E$11+1,1))</f>
        <v>169.46470423366029</v>
      </c>
      <c r="BJ76" s="59">
        <f t="shared" si="92"/>
        <v>230.78141128389288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25.859238697785486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25.859238697785486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3.8</v>
      </c>
      <c r="BY76" s="12">
        <f>IF('Données projet'!$A$114&gt;35,BY75+BX76-CG75,IF(A76&lt;'Données projet'!$A$114,$BV$205^A76,IF(A76='Données projet'!$A$114,'Données projet'!$B$114,BY75+BX76-CG75)))</f>
        <v>215.39999999999989</v>
      </c>
      <c r="BZ76" s="13">
        <f>BY76*VLOOKUP('Données projet'!$B$12,Paramètres!$A$1:$I$89,3,0)*VLOOKUP('Données projet'!$B$12,Paramètres!$A$1:$I$89,5,0)</f>
        <v>188.17343999999994</v>
      </c>
      <c r="CA76" s="13">
        <f t="shared" si="93"/>
        <v>47.135899614073118</v>
      </c>
      <c r="CB76" s="20">
        <f t="shared" si="64"/>
        <v>409.83043316117727</v>
      </c>
      <c r="CC76" s="59">
        <f t="shared" si="65"/>
        <v>677.61321735909905</v>
      </c>
      <c r="CD76" s="59">
        <f ca="1">AVERAGE(OFFSET($CC$3,0,0,'Données projet'!$E$12+1,1))-AVERAGE(OFFSET($H$3,0,0,'Données projet'!$E$12+1,1))</f>
        <v>342.79161436526499</v>
      </c>
      <c r="CE76" s="59">
        <f t="shared" si="94"/>
        <v>315.50730924873733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18.200133998839117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18.200133998839117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5</v>
      </c>
      <c r="CT76" s="12">
        <f>IF('Données projet'!$A$140&gt;35,CT75+CS76-DB75,IF(A76&lt;'Données projet'!$A$140,$CQ$205^A76,IF(A76='Données projet'!$A$140,'Données projet'!$B$140,CT75+CS76-DB75)))</f>
        <v>173</v>
      </c>
      <c r="CU76" s="17">
        <f>CT76*VLOOKUP('Données projet'!$B$13,Paramètres!$A$1:$I$89,3,0)*VLOOKUP('Données projet'!$B$13,Paramètres!$A$1:$I$89,5,0)</f>
        <v>116.0484</v>
      </c>
      <c r="CV76" s="13">
        <f t="shared" si="95"/>
        <v>30.751565097980826</v>
      </c>
      <c r="CW76" s="20">
        <f t="shared" si="67"/>
        <v>255.67660587898322</v>
      </c>
      <c r="CX76" s="59">
        <f t="shared" si="68"/>
        <v>523.45939007690504</v>
      </c>
      <c r="CY76" s="59">
        <f ca="1">AVERAGE(OFFSET($CX$3,0,0,'Données projet'!$E$13+1,1))-AVERAGE(OFFSET($H$3,0,0,'Données projet'!$E$13+1,1))</f>
        <v>201.84651193684252</v>
      </c>
      <c r="CZ76" s="59">
        <f t="shared" si="96"/>
        <v>138.00705940844708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8.8049655907894309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8.8049655907894309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1.1368683772161603E-13</v>
      </c>
      <c r="DP76" s="17">
        <f>DO76*VLOOKUP('Données projet'!$B$14,Paramètres!$A$1:$I$89,3,0)*VLOOKUP('Données projet'!$B$14,Paramètres!$A$1:$I$89,5,0)</f>
        <v>8.3355189417488869E-14</v>
      </c>
      <c r="DQ76" s="13">
        <f t="shared" si="97"/>
        <v>1.2790518435140618E-12</v>
      </c>
      <c r="DR76" s="20">
        <f t="shared" si="70"/>
        <v>2.3728589156891171E-12</v>
      </c>
      <c r="DS76" s="59">
        <f t="shared" si="71"/>
        <v>267.78278419792417</v>
      </c>
      <c r="DT76" s="59">
        <f ca="1">AVERAGE(OFFSET($DS$3,0,0,'Données projet'!$E$14+1,1))-AVERAGE(OFFSET($H$3,0,0,'Données projet'!$E$14+1,1))</f>
        <v>242.21240859696931</v>
      </c>
      <c r="DU76" s="59">
        <f t="shared" si="98"/>
        <v>340.92165104349192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48.733476761071117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48.733476761071117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5</v>
      </c>
      <c r="EJ76" s="12">
        <f>IF('Données projet'!$A$192&gt;35,EJ75+EI76-ER75,IF(A76&lt;'Données projet'!$A$192,$EG$205^A76,IF(A76='Données projet'!$A$192,'Données projet'!$B$192,EJ75+EI76-ER75)))</f>
        <v>173</v>
      </c>
      <c r="EK76" s="17">
        <f>EJ76*VLOOKUP('Données projet'!$B$15,Paramètres!$A$1:$I$89,3,0)*VLOOKUP('Données projet'!$B$15,Paramètres!$A$1:$I$89,5,0)</f>
        <v>167.32560000000001</v>
      </c>
      <c r="EL76" s="13">
        <f t="shared" si="99"/>
        <v>42.490495297127609</v>
      </c>
      <c r="EM76" s="20">
        <f t="shared" si="73"/>
        <v>365.42969930916388</v>
      </c>
      <c r="EN76" s="59">
        <f t="shared" si="74"/>
        <v>633.21248350708561</v>
      </c>
      <c r="EO76" s="59">
        <f ca="1">AVERAGE(OFFSET($EN$3,0,0,'Données projet'!$E$15+1,1))-AVERAGE(OFFSET($H$3,0,0,'Données projet'!$E$15+1,1))</f>
        <v>331.7059599630698</v>
      </c>
      <c r="EP76" s="59">
        <f t="shared" si="100"/>
        <v>173.19148969173838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5</v>
      </c>
      <c r="FE76" s="12">
        <f>IF('Données projet'!$A$218&gt;35,FE75+FD76-FM75,IF(A76&lt;'Données projet'!$A$218,$FB$205^A76,IF(A76='Données projet'!$A$218,'Données projet'!$B$218,FE75+FD76-FM75)))</f>
        <v>173</v>
      </c>
      <c r="FF76" s="17">
        <f>FE76*VLOOKUP('Données projet'!$B$16,Paramètres!$A$1:$I$89,3,0)*VLOOKUP('Données projet'!$B$16,Paramètres!$A$1:$I$89,5,0)</f>
        <v>186.21719999999999</v>
      </c>
      <c r="FG76" s="13">
        <f t="shared" si="101"/>
        <v>46.702653149673253</v>
      </c>
      <c r="FH76" s="20">
        <f t="shared" si="76"/>
        <v>405.66874423568089</v>
      </c>
      <c r="FI76" s="59">
        <f t="shared" si="77"/>
        <v>673.45152843360268</v>
      </c>
      <c r="FJ76" s="59">
        <f ca="1">AVERAGE(OFFSET($FI$3,0,0,'Données projet'!$E$16+1,1))-AVERAGE(OFFSET($H$3,0,0,'Données projet'!$E$16+1,1))</f>
        <v>360.86062459677004</v>
      </c>
      <c r="FK76" s="59">
        <f t="shared" si="102"/>
        <v>186.0840067781198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10.788051396346763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10.788051396346763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6.2</v>
      </c>
      <c r="FZ76" s="12">
        <f>IF('Données projet'!$A$244&gt;35,FZ75+FY76-GH75,IF(A76&lt;'Données projet'!$A$244,$FW$205^A76,IF(A76='Données projet'!$A$244,'Données projet'!$B$244,FZ75+FY76-GH75)))</f>
        <v>239.59999999999994</v>
      </c>
      <c r="GA76" s="17">
        <f>FZ76*VLOOKUP('Données projet'!$B$17,Paramètres!$A$1:$I$89,3,0)*VLOOKUP('Données projet'!$B$17,Paramètres!$A$1:$I$89,5,0)</f>
        <v>242.95439999999994</v>
      </c>
      <c r="GB76" s="13">
        <f t="shared" si="103"/>
        <v>59.074730698078945</v>
      </c>
      <c r="GC76" s="20">
        <f t="shared" si="79"/>
        <v>526.034069299154</v>
      </c>
      <c r="GD76" s="59">
        <f t="shared" si="80"/>
        <v>793.81685349707573</v>
      </c>
      <c r="GE76" s="59">
        <f ca="1">AVERAGE(OFFSET($GD$3,0,0,'Données projet'!$E$17+1,1))-AVERAGE(OFFSET($H$3,0,0,'Données projet'!$E$17+1,1))</f>
        <v>448.73339628506784</v>
      </c>
      <c r="GF76" s="59">
        <f t="shared" si="104"/>
        <v>273.35778700650803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17.622152116994968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17.622152116994968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6.2</v>
      </c>
      <c r="N77" s="13">
        <f>IF('Données projet'!$A$36&gt;35,N76+M77-V76,IF(A77&lt;'Données projet'!$A$36,$K$205^A77,IF(A77='Données projet'!$A$36,'Données projet'!$B$36,N76+M77-V76)))</f>
        <v>245.79999999999993</v>
      </c>
      <c r="O77" s="13">
        <f>N77*VLOOKUP('Données projet'!$B$9,Paramètres!$A$1:$I$89,3,0)*VLOOKUP('Données projet'!$B$9,Paramètres!$A$1:$I$89,5,0)</f>
        <v>222.3998399999999</v>
      </c>
      <c r="P77" s="13">
        <f t="shared" si="87"/>
        <v>54.636149281681448</v>
      </c>
      <c r="Q77" s="20">
        <f t="shared" si="54"/>
        <v>482.50434799892832</v>
      </c>
      <c r="R77" s="59">
        <f t="shared" si="55"/>
        <v>750.73037710187918</v>
      </c>
      <c r="S77" s="59">
        <f ca="1">AVERAGE(OFFSET($R$3,0,0,'Données projet'!$E$9+1,1))-AVERAGE(OFFSET($H$3,0,0,'Données projet'!$E$9+1,1))</f>
        <v>408.51124670343137</v>
      </c>
      <c r="T77" s="59">
        <f t="shared" si="88"/>
        <v>250.47702091764884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15.416036351093314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15.416036351093314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3.4</v>
      </c>
      <c r="AI77" s="13">
        <f>IF('Données projet'!$A$62&gt;35,AI76+AH77-AQ76,IF(A77&lt;'Données projet'!$A$62,$AF$205^A77,IF(A77='Données projet'!$A$62,'Données projet'!$B$62,AI76+AH77-AQ76)))</f>
        <v>266.59999999999968</v>
      </c>
      <c r="AJ77" s="13">
        <f>AI77*VLOOKUP('Données projet'!$B$10,Paramètres!$A$1:$I$89,3,0)*VLOOKUP('Données projet'!$B$10,Paramètres!$A$1:$I$89,5,0)</f>
        <v>212.10695999999976</v>
      </c>
      <c r="AK77" s="13">
        <f t="shared" si="89"/>
        <v>52.395741612408194</v>
      </c>
      <c r="AL77" s="20">
        <f t="shared" si="58"/>
        <v>460.6755386416105</v>
      </c>
      <c r="AM77" s="59">
        <f t="shared" si="59"/>
        <v>728.90156774456136</v>
      </c>
      <c r="AN77" s="59">
        <f ca="1">AVERAGE(OFFSET($AM$3,0,0,'Données projet'!$E$10+1,1))-AVERAGE(OFFSET($H$3,0,0,'Données projet'!$E$10+1,1))</f>
        <v>327.22763817565902</v>
      </c>
      <c r="AO77" s="59">
        <f t="shared" si="90"/>
        <v>311.68541696405975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13.405355225148918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13.405355225148918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2.8421709430404007E-14</v>
      </c>
      <c r="BE77" s="13">
        <f>BD77*VLOOKUP('Données projet'!$B$11,Paramètres!$A$1:$I$89,3,0)*VLOOKUP('Données projet'!$B$11,Paramètres!$A$1:$I$89,5,0)</f>
        <v>1.8178525351686402E-14</v>
      </c>
      <c r="BF77" s="13">
        <f t="shared" si="91"/>
        <v>3.3304129621647644E-13</v>
      </c>
      <c r="BG77" s="20">
        <f t="shared" si="61"/>
        <v>6.1170785589788349E-13</v>
      </c>
      <c r="BH77" s="59">
        <f t="shared" si="62"/>
        <v>268.22602910295149</v>
      </c>
      <c r="BI77" s="59">
        <f ca="1">AVERAGE(OFFSET($BH$3,0,0,'Données projet'!$E$11+1,1))-AVERAGE(OFFSET($H$3,0,0,'Données projet'!$E$11+1,1))</f>
        <v>169.46470423366029</v>
      </c>
      <c r="BJ77" s="59">
        <f t="shared" si="92"/>
        <v>230.78141128389288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25.352154799500106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25.352154799500106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3.8</v>
      </c>
      <c r="BY77" s="12">
        <f>IF('Données projet'!$A$114&gt;35,BY76+BX77-CG76,IF(A77&lt;'Données projet'!$A$114,$BV$205^A77,IF(A77='Données projet'!$A$114,'Données projet'!$B$114,BY76+BX77-CG76)))</f>
        <v>219.1999999999999</v>
      </c>
      <c r="BZ77" s="13">
        <f>BY77*VLOOKUP('Données projet'!$B$12,Paramètres!$A$1:$I$89,3,0)*VLOOKUP('Données projet'!$B$12,Paramètres!$A$1:$I$89,5,0)</f>
        <v>191.49311999999992</v>
      </c>
      <c r="CA77" s="13">
        <f t="shared" si="93"/>
        <v>47.86990994320918</v>
      </c>
      <c r="CB77" s="20">
        <f t="shared" si="64"/>
        <v>416.89061048442244</v>
      </c>
      <c r="CC77" s="59">
        <f t="shared" si="65"/>
        <v>685.11663958737336</v>
      </c>
      <c r="CD77" s="59">
        <f ca="1">AVERAGE(OFFSET($CC$3,0,0,'Données projet'!$E$12+1,1))-AVERAGE(OFFSET($H$3,0,0,'Données projet'!$E$12+1,1))</f>
        <v>342.79161436526499</v>
      </c>
      <c r="CE77" s="59">
        <f t="shared" si="94"/>
        <v>315.50730924873733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17.843240472107489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17.843240472107489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5</v>
      </c>
      <c r="CT77" s="12">
        <f>IF('Données projet'!$A$140&gt;35,CT76+CS77-DB76,IF(A77&lt;'Données projet'!$A$140,$CQ$205^A77,IF(A77='Données projet'!$A$140,'Données projet'!$B$140,CT76+CS77-DB76)))</f>
        <v>178</v>
      </c>
      <c r="CU77" s="17">
        <f>CT77*VLOOKUP('Données projet'!$B$13,Paramètres!$A$1:$I$89,3,0)*VLOOKUP('Données projet'!$B$13,Paramètres!$A$1:$I$89,5,0)</f>
        <v>119.40239999999999</v>
      </c>
      <c r="CV77" s="13">
        <f t="shared" si="95"/>
        <v>31.535578435312072</v>
      </c>
      <c r="CW77" s="20">
        <f t="shared" si="67"/>
        <v>262.8836457748352</v>
      </c>
      <c r="CX77" s="59">
        <f t="shared" si="68"/>
        <v>531.10967487778612</v>
      </c>
      <c r="CY77" s="59">
        <f ca="1">AVERAGE(OFFSET($CX$3,0,0,'Données projet'!$E$13+1,1))-AVERAGE(OFFSET($H$3,0,0,'Données projet'!$E$13+1,1))</f>
        <v>201.84651193684252</v>
      </c>
      <c r="CZ77" s="59">
        <f t="shared" si="96"/>
        <v>138.00705940844708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8.6323055860527678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8.6323055860527678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1.1368683772161603E-13</v>
      </c>
      <c r="DP77" s="17">
        <f>DO77*VLOOKUP('Données projet'!$B$14,Paramètres!$A$1:$I$89,3,0)*VLOOKUP('Données projet'!$B$14,Paramètres!$A$1:$I$89,5,0)</f>
        <v>8.3355189417488869E-14</v>
      </c>
      <c r="DQ77" s="13">
        <f t="shared" si="97"/>
        <v>1.2790518435140618E-12</v>
      </c>
      <c r="DR77" s="20">
        <f t="shared" si="70"/>
        <v>2.3728589156891171E-12</v>
      </c>
      <c r="DS77" s="59">
        <f t="shared" si="71"/>
        <v>268.22602910295325</v>
      </c>
      <c r="DT77" s="59">
        <f ca="1">AVERAGE(OFFSET($DS$3,0,0,'Données projet'!$E$14+1,1))-AVERAGE(OFFSET($H$3,0,0,'Données projet'!$E$14+1,1))</f>
        <v>242.21240859696931</v>
      </c>
      <c r="DU77" s="59">
        <f t="shared" si="98"/>
        <v>340.92165104349192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47.777843006272285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47.777843006272285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5</v>
      </c>
      <c r="EJ77" s="12">
        <f>IF('Données projet'!$A$192&gt;35,EJ76+EI77-ER76,IF(A77&lt;'Données projet'!$A$192,$EG$205^A77,IF(A77='Données projet'!$A$192,'Données projet'!$B$192,EJ76+EI77-ER76)))</f>
        <v>178</v>
      </c>
      <c r="EK77" s="17">
        <f>EJ77*VLOOKUP('Données projet'!$B$15,Paramètres!$A$1:$I$89,3,0)*VLOOKUP('Données projet'!$B$15,Paramètres!$A$1:$I$89,5,0)</f>
        <v>172.16159999999999</v>
      </c>
      <c r="EL77" s="13">
        <f t="shared" si="99"/>
        <v>43.57379349403616</v>
      </c>
      <c r="EM77" s="20">
        <f t="shared" si="73"/>
        <v>375.7391436687796</v>
      </c>
      <c r="EN77" s="59">
        <f t="shared" si="74"/>
        <v>643.96517277173052</v>
      </c>
      <c r="EO77" s="59">
        <f ca="1">AVERAGE(OFFSET($EN$3,0,0,'Données projet'!$E$15+1,1))-AVERAGE(OFFSET($H$3,0,0,'Données projet'!$E$15+1,1))</f>
        <v>331.7059599630698</v>
      </c>
      <c r="EP77" s="59">
        <f t="shared" si="100"/>
        <v>173.19148969173838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5</v>
      </c>
      <c r="FE77" s="12">
        <f>IF('Données projet'!$A$218&gt;35,FE76+FD77-FM76,IF(A77&lt;'Données projet'!$A$218,$FB$205^A77,IF(A77='Données projet'!$A$218,'Données projet'!$B$218,FE76+FD77-FM76)))</f>
        <v>178</v>
      </c>
      <c r="FF77" s="17">
        <f>FE77*VLOOKUP('Données projet'!$B$16,Paramètres!$A$1:$I$89,3,0)*VLOOKUP('Données projet'!$B$16,Paramètres!$A$1:$I$89,5,0)</f>
        <v>191.5992</v>
      </c>
      <c r="FG77" s="13">
        <f t="shared" si="101"/>
        <v>47.893340610341859</v>
      </c>
      <c r="FH77" s="20">
        <f t="shared" si="76"/>
        <v>417.1161748963454</v>
      </c>
      <c r="FI77" s="59">
        <f t="shared" si="77"/>
        <v>685.34220399929632</v>
      </c>
      <c r="FJ77" s="59">
        <f ca="1">AVERAGE(OFFSET($FI$3,0,0,'Données projet'!$E$16+1,1))-AVERAGE(OFFSET($H$3,0,0,'Données projet'!$E$16+1,1))</f>
        <v>360.86062459677004</v>
      </c>
      <c r="FK77" s="59">
        <f t="shared" si="102"/>
        <v>186.0840067781198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10.576504288526028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10.576504288526028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6.2</v>
      </c>
      <c r="FZ77" s="12">
        <f>IF('Données projet'!$A$244&gt;35,FZ76+FY77-GH76,IF(A77&lt;'Données projet'!$A$244,$FW$205^A77,IF(A77='Données projet'!$A$244,'Données projet'!$B$244,FZ76+FY77-GH76)))</f>
        <v>245.79999999999993</v>
      </c>
      <c r="GA77" s="17">
        <f>FZ77*VLOOKUP('Données projet'!$B$17,Paramètres!$A$1:$I$89,3,0)*VLOOKUP('Données projet'!$B$17,Paramètres!$A$1:$I$89,5,0)</f>
        <v>249.24119999999994</v>
      </c>
      <c r="GB77" s="13">
        <f t="shared" si="103"/>
        <v>60.42342651744692</v>
      </c>
      <c r="GC77" s="20">
        <f t="shared" si="79"/>
        <v>539.33255785121992</v>
      </c>
      <c r="GD77" s="59">
        <f t="shared" si="80"/>
        <v>807.55858695417078</v>
      </c>
      <c r="GE77" s="59">
        <f ca="1">AVERAGE(OFFSET($GD$3,0,0,'Données projet'!$E$17+1,1))-AVERAGE(OFFSET($H$3,0,0,'Données projet'!$E$17+1,1))</f>
        <v>448.73339628506784</v>
      </c>
      <c r="GF77" s="59">
        <f t="shared" si="104"/>
        <v>273.35778700650803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17.276592462432166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17.276592462432166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252</v>
      </c>
      <c r="L78" s="12">
        <f>VLOOKUP(A78,'Données projet'!$A$35:$I$55,9,0)</f>
        <v>6.2</v>
      </c>
      <c r="M78" s="12">
        <f t="array" ref="M78">INDEX(L:L,MIN(IF(ISNUMBER(L78:L274),ROW(L78:L274),"")))</f>
        <v>6.2</v>
      </c>
      <c r="N78" s="13">
        <f>IF('Données projet'!$A$36&gt;35,N77+M78-V77,IF(A78&lt;'Données projet'!$A$36,$K$205^A78,IF(A78='Données projet'!$A$36,'Données projet'!$B$36,N77+M78-V77)))</f>
        <v>251.99999999999991</v>
      </c>
      <c r="O78" s="13">
        <f>N78*VLOOKUP('Données projet'!$B$9,Paramètres!$A$1:$I$89,3,0)*VLOOKUP('Données projet'!$B$9,Paramètres!$A$1:$I$89,5,0)</f>
        <v>228.00959999999992</v>
      </c>
      <c r="P78" s="13">
        <f t="shared" si="87"/>
        <v>55.852093054619829</v>
      </c>
      <c r="Q78" s="20">
        <f t="shared" si="54"/>
        <v>494.3924487367961</v>
      </c>
      <c r="R78" s="59">
        <f t="shared" si="55"/>
        <v>763.0540334366209</v>
      </c>
      <c r="S78" s="59">
        <f ca="1">AVERAGE(OFFSET($R$3,0,0,'Données projet'!$E$9+1,1))-AVERAGE(OFFSET($H$3,0,0,'Données projet'!$E$9+1,1))</f>
        <v>408.51124670343137</v>
      </c>
      <c r="T78" s="59">
        <f t="shared" si="88"/>
        <v>250.47702091764884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21</v>
      </c>
      <c r="W78" s="16">
        <f>IF(ISNA(VLOOKUP(A78,'Données projet'!$A$35:$I$55,5,0)),0%,VLOOKUP(A78,'Données projet'!$A$35:$I$55,5,0)*VLOOKUP('Données projet'!$B$9,Paramètres!$A$1:$I$89,7,0))</f>
        <v>0.215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19.629773922399476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19.629773922399476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270</v>
      </c>
      <c r="AG78" s="12">
        <f>VLOOKUP(A78,'Données projet'!$A$61:$I$81,9,0)</f>
        <v>3.4</v>
      </c>
      <c r="AH78" s="12">
        <f t="array" ref="AH78">INDEX(AG:AG,MIN(IF(ISNUMBER(AG78:AG274),ROW(AG78:AG274),"")))</f>
        <v>3.4</v>
      </c>
      <c r="AI78" s="13">
        <f>IF('Données projet'!$A$62&gt;35,AI77+AH78-AQ77,IF(A78&lt;'Données projet'!$A$62,$AF$205^A78,IF(A78='Données projet'!$A$62,'Données projet'!$B$62,AI77+AH78-AQ77)))</f>
        <v>269.99999999999966</v>
      </c>
      <c r="AJ78" s="13">
        <f>AI78*VLOOKUP('Données projet'!$B$10,Paramètres!$A$1:$I$89,3,0)*VLOOKUP('Données projet'!$B$10,Paramètres!$A$1:$I$89,5,0)</f>
        <v>214.81199999999973</v>
      </c>
      <c r="AK78" s="13">
        <f t="shared" si="89"/>
        <v>52.985738231738011</v>
      </c>
      <c r="AL78" s="20">
        <f t="shared" si="58"/>
        <v>466.41439408694322</v>
      </c>
      <c r="AM78" s="59">
        <f t="shared" si="59"/>
        <v>735.07597878676802</v>
      </c>
      <c r="AN78" s="59">
        <f ca="1">AVERAGE(OFFSET($AM$3,0,0,'Données projet'!$E$10+1,1))-AVERAGE(OFFSET($H$3,0,0,'Données projet'!$E$10+1,1))</f>
        <v>327.22763817565902</v>
      </c>
      <c r="AO78" s="59">
        <f t="shared" si="90"/>
        <v>311.68541696405975</v>
      </c>
      <c r="AP78" s="15">
        <f>IF(ISNA(VLOOKUP(A78,'Données projet'!$A$61:$I$81,3,0)),0,VLOOKUP(A78,'Données projet'!$A$61:$I$81,3,0))</f>
        <v>13</v>
      </c>
      <c r="AQ78" s="15">
        <f>IF(ISNA(VLOOKUP(A78,'Données projet'!$A$61:$I$81,4,0)),0,VLOOKUP(A78,'Données projet'!$A$61:$I$81,4,0))</f>
        <v>9</v>
      </c>
      <c r="AR78" s="16">
        <f>IF(ISNA(VLOOKUP(A78,'Données projet'!$A$61:$I$81,5,0)),0%,VLOOKUP(A78,'Données projet'!$A$61:$I$81,5,0)*VLOOKUP('Données projet'!$B$10,Paramètres!$A$1:$I$89,7,0))</f>
        <v>0.318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15.659648399226336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15.659648399226336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2.8421709430404007E-14</v>
      </c>
      <c r="BE78" s="13">
        <f>BD78*VLOOKUP('Données projet'!$B$11,Paramètres!$A$1:$I$89,3,0)*VLOOKUP('Données projet'!$B$11,Paramètres!$A$1:$I$89,5,0)</f>
        <v>1.8178525351686402E-14</v>
      </c>
      <c r="BF78" s="13">
        <f t="shared" si="91"/>
        <v>3.3304129621647644E-13</v>
      </c>
      <c r="BG78" s="20">
        <f t="shared" si="61"/>
        <v>6.1170785589788349E-13</v>
      </c>
      <c r="BH78" s="59">
        <f t="shared" si="62"/>
        <v>268.66158469982543</v>
      </c>
      <c r="BI78" s="59">
        <f ca="1">AVERAGE(OFFSET($BH$3,0,0,'Données projet'!$E$11+1,1))-AVERAGE(OFFSET($H$3,0,0,'Données projet'!$E$11+1,1))</f>
        <v>169.46470423366029</v>
      </c>
      <c r="BJ78" s="59">
        <f t="shared" si="92"/>
        <v>230.78141128389288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24.855014507169464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24.855014507169464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223</v>
      </c>
      <c r="BW78" s="12">
        <f>VLOOKUP(A78,'Données projet'!$A$113:$I$133,9,0)</f>
        <v>3.8</v>
      </c>
      <c r="BX78" s="12">
        <f t="array" ref="BX78">INDEX(BW:BW,MIN(IF(ISNUMBER(BW78:BW274),ROW(BW78:BW274),"")))</f>
        <v>3.8</v>
      </c>
      <c r="BY78" s="12">
        <f>IF('Données projet'!$A$114&gt;35,BY77+BX78-CG77,IF(A78&lt;'Données projet'!$A$114,$BV$205^A78,IF(A78='Données projet'!$A$114,'Données projet'!$B$114,BY77+BX78-CG77)))</f>
        <v>222.99999999999991</v>
      </c>
      <c r="BZ78" s="13">
        <f>BY78*VLOOKUP('Données projet'!$B$12,Paramètres!$A$1:$I$89,3,0)*VLOOKUP('Données projet'!$B$12,Paramètres!$A$1:$I$89,5,0)</f>
        <v>194.81279999999995</v>
      </c>
      <c r="CA78" s="13">
        <f t="shared" si="93"/>
        <v>48.602440540253852</v>
      </c>
      <c r="CB78" s="20">
        <f t="shared" si="64"/>
        <v>423.9482106076087</v>
      </c>
      <c r="CC78" s="59">
        <f t="shared" si="65"/>
        <v>692.6097953074335</v>
      </c>
      <c r="CD78" s="59">
        <f ca="1">AVERAGE(OFFSET($CC$3,0,0,'Données projet'!$E$12+1,1))-AVERAGE(OFFSET($H$3,0,0,'Données projet'!$E$12+1,1))</f>
        <v>342.79161436526499</v>
      </c>
      <c r="CE78" s="59">
        <f t="shared" si="94"/>
        <v>315.50730924873733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14</v>
      </c>
      <c r="CH78" s="16">
        <f>IF(ISNA(VLOOKUP(A78,'Données projet'!$A$113:$I$133,5,0)),0%,VLOOKUP(A78,'Données projet'!$A$113:$I$133,5,0)*VLOOKUP('Données projet'!$B$12,Paramètres!$A$1:$I$89,7,0))</f>
        <v>0.25800000000000001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20.981594401650177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20.981594401650177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183</v>
      </c>
      <c r="CR78" s="12">
        <f>VLOOKUP(A78,'Données projet'!$A$139:$I$159,9,0)</f>
        <v>5</v>
      </c>
      <c r="CS78" s="12">
        <f t="array" ref="CS78">INDEX(CR:CR,MIN(IF(ISNUMBER(CR78:CR274),ROW(CR78:CR274),"")))</f>
        <v>5</v>
      </c>
      <c r="CT78" s="12">
        <f>IF('Données projet'!$A$140&gt;35,CT77+CS78-DB77,IF(A78&lt;'Données projet'!$A$140,$CQ$205^A78,IF(A78='Données projet'!$A$140,'Données projet'!$B$140,CT77+CS78-DB77)))</f>
        <v>183</v>
      </c>
      <c r="CU78" s="17">
        <f>CT78*VLOOKUP('Données projet'!$B$13,Paramètres!$A$1:$I$89,3,0)*VLOOKUP('Données projet'!$B$13,Paramètres!$A$1:$I$89,5,0)</f>
        <v>122.7564</v>
      </c>
      <c r="CV78" s="13">
        <f t="shared" si="95"/>
        <v>32.317032143878919</v>
      </c>
      <c r="CW78" s="20">
        <f t="shared" si="67"/>
        <v>270.08622765058908</v>
      </c>
      <c r="CX78" s="59">
        <f t="shared" si="68"/>
        <v>538.74781235041382</v>
      </c>
      <c r="CY78" s="59">
        <f ca="1">AVERAGE(OFFSET($CX$3,0,0,'Données projet'!$E$13+1,1))-AVERAGE(OFFSET($H$3,0,0,'Données projet'!$E$13+1,1))</f>
        <v>201.84651193684252</v>
      </c>
      <c r="CZ78" s="59">
        <f t="shared" si="96"/>
        <v>138.00705940844708</v>
      </c>
      <c r="DA78" s="15">
        <f>IF(ISNA(VLOOKUP(A78,'Données projet'!$A$139:$I$159,3,0)),0,VLOOKUP(A78,'Données projet'!$A$139:$I$159,3,0))</f>
        <v>11</v>
      </c>
      <c r="DB78" s="15">
        <f>IF(ISNA(VLOOKUP(A78,'Données projet'!$A$139:$I$159,4,0)),0,VLOOKUP(A78,'Données projet'!$A$139:$I$159,4,0))</f>
        <v>14</v>
      </c>
      <c r="DC78" s="16">
        <f>IF(ISNA(VLOOKUP(A78,'Données projet'!$A$139:$I$159,5,0)),0%,VLOOKUP(A78,'Données projet'!$A$139:$I$159,5,0)*VLOOKUP('Données projet'!$B$13,Paramètres!$A$1:$I$89,7,0))</f>
        <v>0.318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11.764409848886597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11.764409848886597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1.1368683772161603E-13</v>
      </c>
      <c r="DP78" s="17">
        <f>DO78*VLOOKUP('Données projet'!$B$14,Paramètres!$A$1:$I$89,3,0)*VLOOKUP('Données projet'!$B$14,Paramètres!$A$1:$I$89,5,0)</f>
        <v>8.3355189417488869E-14</v>
      </c>
      <c r="DQ78" s="13">
        <f t="shared" si="97"/>
        <v>1.2790518435140618E-12</v>
      </c>
      <c r="DR78" s="20">
        <f t="shared" si="70"/>
        <v>2.3728589156891171E-12</v>
      </c>
      <c r="DS78" s="59">
        <f t="shared" si="71"/>
        <v>268.66158469982719</v>
      </c>
      <c r="DT78" s="59">
        <f ca="1">AVERAGE(OFFSET($DS$3,0,0,'Données projet'!$E$14+1,1))-AVERAGE(OFFSET($H$3,0,0,'Données projet'!$E$14+1,1))</f>
        <v>242.21240859696931</v>
      </c>
      <c r="DU78" s="59">
        <f t="shared" si="98"/>
        <v>340.92165104349192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46.840948646526023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46.840948646526023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183</v>
      </c>
      <c r="EH78" s="12">
        <f>VLOOKUP(A78,'Données projet'!$A$191:$I$211,9,0)</f>
        <v>5</v>
      </c>
      <c r="EI78" s="12">
        <f t="array" ref="EI78">INDEX(EH:EH,MIN(IF(ISNUMBER(EH78:EH274),ROW(EH78:EH274),"")))</f>
        <v>5</v>
      </c>
      <c r="EJ78" s="12">
        <f>IF('Données projet'!$A$192&gt;35,EJ77+EI78-ER77,IF(A78&lt;'Données projet'!$A$192,$EG$205^A78,IF(A78='Données projet'!$A$192,'Données projet'!$B$192,EJ77+EI78-ER77)))</f>
        <v>183</v>
      </c>
      <c r="EK78" s="17">
        <f>EJ78*VLOOKUP('Données projet'!$B$15,Paramètres!$A$1:$I$89,3,0)*VLOOKUP('Données projet'!$B$15,Paramètres!$A$1:$I$89,5,0)</f>
        <v>176.99760000000001</v>
      </c>
      <c r="EL78" s="13">
        <f t="shared" si="99"/>
        <v>44.653554963834047</v>
      </c>
      <c r="EM78" s="20">
        <f t="shared" si="73"/>
        <v>386.04242822867764</v>
      </c>
      <c r="EN78" s="59">
        <f t="shared" si="74"/>
        <v>654.70401292850238</v>
      </c>
      <c r="EO78" s="59">
        <f ca="1">AVERAGE(OFFSET($EN$3,0,0,'Données projet'!$E$15+1,1))-AVERAGE(OFFSET($H$3,0,0,'Données projet'!$E$15+1,1))</f>
        <v>331.7059599630698</v>
      </c>
      <c r="EP78" s="59">
        <f t="shared" si="100"/>
        <v>173.19148969173838</v>
      </c>
      <c r="EQ78" s="15">
        <f>IF(ISNA(VLOOKUP(A78,'Données projet'!$A$191:$I$211,3,0)),0,VLOOKUP(A78,'Données projet'!$A$191:$I$211,3,0))</f>
        <v>11</v>
      </c>
      <c r="ER78" s="15">
        <f>IF(ISNA(VLOOKUP(A78,'Données projet'!$A$191:$I$211,4,0)),0,VLOOKUP(A78,'Données projet'!$A$191:$I$211,4,0))</f>
        <v>14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183</v>
      </c>
      <c r="FC78" s="12">
        <f>VLOOKUP(A78,'Données projet'!$A$217:$I$237,9,0)</f>
        <v>5</v>
      </c>
      <c r="FD78" s="12">
        <f t="array" ref="FD78">INDEX(FC:FC,MIN(IF(ISNUMBER(FC78:FC274),ROW(FC78:FC274),"")))</f>
        <v>5</v>
      </c>
      <c r="FE78" s="12">
        <f>IF('Données projet'!$A$218&gt;35,FE77+FD78-FM77,IF(A78&lt;'Données projet'!$A$218,$FB$205^A78,IF(A78='Données projet'!$A$218,'Données projet'!$B$218,FE77+FD78-FM77)))</f>
        <v>183</v>
      </c>
      <c r="FF78" s="17">
        <f>FE78*VLOOKUP('Données projet'!$B$16,Paramètres!$A$1:$I$89,3,0)*VLOOKUP('Données projet'!$B$16,Paramètres!$A$1:$I$89,5,0)</f>
        <v>196.9812</v>
      </c>
      <c r="FG78" s="13">
        <f t="shared" si="101"/>
        <v>49.080140741894134</v>
      </c>
      <c r="FH78" s="20">
        <f t="shared" si="76"/>
        <v>428.55683512546557</v>
      </c>
      <c r="FI78" s="59">
        <f t="shared" si="77"/>
        <v>697.21841982529031</v>
      </c>
      <c r="FJ78" s="59">
        <f ca="1">AVERAGE(OFFSET($FI$3,0,0,'Données projet'!$E$16+1,1))-AVERAGE(OFFSET($H$3,0,0,'Données projet'!$E$16+1,1))</f>
        <v>360.86062459677004</v>
      </c>
      <c r="FK78" s="59">
        <f t="shared" si="102"/>
        <v>186.0840067781198</v>
      </c>
      <c r="FL78" s="15">
        <f>IF(ISNA(VLOOKUP(A78,'Données projet'!$A$217:$I$237,3,0)),0,VLOOKUP(A78,'Données projet'!$A$217:$I$237,3,0))</f>
        <v>11</v>
      </c>
      <c r="FM78" s="15">
        <f>IF(ISNA(VLOOKUP(A78,'Données projet'!$A$217:$I$237,4,0)),0,VLOOKUP(A78,'Données projet'!$A$217:$I$237,4,0))</f>
        <v>14</v>
      </c>
      <c r="FN78" s="16">
        <f>IF(ISNA(VLOOKUP(A78,'Données projet'!$A$217:$I$237,5,0)),0%,VLOOKUP(A78,'Données projet'!$A$217:$I$237,5,0)*VLOOKUP('Données projet'!$B$16,Paramètres!$A$1:$I$89,7,0))</f>
        <v>0.215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13.950789723211756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13.950789723211756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252</v>
      </c>
      <c r="FX78" s="12">
        <f>VLOOKUP(A78,'Données projet'!$A$243:$I$263,9,0)</f>
        <v>6.2</v>
      </c>
      <c r="FY78" s="12">
        <f t="array" ref="FY78">INDEX(FX:FX,MIN(IF(ISNUMBER(FX78:FX274),ROW(FX78:FX274),"")))</f>
        <v>6.2</v>
      </c>
      <c r="FZ78" s="12">
        <f>IF('Données projet'!$A$244&gt;35,FZ77+FY78-GH77,IF(A78&lt;'Données projet'!$A$244,$FW$205^A78,IF(A78='Données projet'!$A$244,'Données projet'!$B$244,FZ77+FY78-GH77)))</f>
        <v>251.99999999999991</v>
      </c>
      <c r="GA78" s="17">
        <f>FZ78*VLOOKUP('Données projet'!$B$17,Paramètres!$A$1:$I$89,3,0)*VLOOKUP('Données projet'!$B$17,Paramètres!$A$1:$I$89,5,0)</f>
        <v>255.52799999999993</v>
      </c>
      <c r="GB78" s="13">
        <f t="shared" si="103"/>
        <v>61.768167868721477</v>
      </c>
      <c r="GC78" s="20">
        <f t="shared" si="79"/>
        <v>552.62415903802309</v>
      </c>
      <c r="GD78" s="59">
        <f t="shared" si="80"/>
        <v>821.28574373784795</v>
      </c>
      <c r="GE78" s="59">
        <f ca="1">AVERAGE(OFFSET($GD$3,0,0,'Données projet'!$E$17+1,1))-AVERAGE(OFFSET($H$3,0,0,'Données projet'!$E$17+1,1))</f>
        <v>448.73339628506784</v>
      </c>
      <c r="GF78" s="59">
        <f t="shared" si="104"/>
        <v>273.35778700650803</v>
      </c>
      <c r="GG78" s="15">
        <f>IF(ISNA(VLOOKUP(A78,'Données projet'!$A$243:$I$263,3,0)),0,VLOOKUP(A78,'Données projet'!$A$243:$I$263,3,0))</f>
        <v>12</v>
      </c>
      <c r="GH78" s="15">
        <f>IF(ISNA(VLOOKUP(A78,'Données projet'!$A$243:$I$263,4,0)),0,VLOOKUP(A78,'Données projet'!$A$243:$I$263,4,0))</f>
        <v>21</v>
      </c>
      <c r="GI78" s="16">
        <f>IF(ISNA(VLOOKUP(A78,'Données projet'!$A$243:$I$263,5,0)),0%,VLOOKUP(A78,'Données projet'!$A$243:$I$263,5,0)*VLOOKUP('Données projet'!$B$17,Paramètres!$A$1:$I$89,7,0))</f>
        <v>0.215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21.998884568206311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21.998884568206311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</v>
      </c>
      <c r="N79" s="13">
        <f>IF('Données projet'!$A$36&gt;35,N78+M79-V78,IF(A79&lt;'Données projet'!$A$36,$K$205^A79,IF(A79='Données projet'!$A$36,'Données projet'!$B$36,N78+M79-V78)))</f>
        <v>236.99999999999989</v>
      </c>
      <c r="O79" s="13">
        <f>N79*VLOOKUP('Données projet'!$B$9,Paramètres!$A$1:$I$89,3,0)*VLOOKUP('Données projet'!$B$9,Paramètres!$A$1:$I$89,5,0)</f>
        <v>214.43759999999989</v>
      </c>
      <c r="P79" s="13">
        <f t="shared" si="87"/>
        <v>52.904129603372375</v>
      </c>
      <c r="Q79" s="20">
        <f t="shared" si="54"/>
        <v>465.62017905920658</v>
      </c>
      <c r="R79" s="59">
        <f t="shared" si="55"/>
        <v>734.70976344005601</v>
      </c>
      <c r="S79" s="59">
        <f ca="1">AVERAGE(OFFSET($R$3,0,0,'Données projet'!$E$9+1,1))-AVERAGE(OFFSET($H$3,0,0,'Données projet'!$E$9+1,1))</f>
        <v>408.51124670343137</v>
      </c>
      <c r="T79" s="59">
        <f t="shared" si="88"/>
        <v>250.47702091764884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19.244846028761081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19.244846028761081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2.8</v>
      </c>
      <c r="AI79" s="13">
        <f>IF('Données projet'!$A$62&gt;35,AI78+AH79-AQ78,IF(A79&lt;'Données projet'!$A$62,$AF$205^A79,IF(A79='Données projet'!$A$62,'Données projet'!$B$62,AI78+AH79-AQ78)))</f>
        <v>263.79999999999967</v>
      </c>
      <c r="AJ79" s="13">
        <f>AI79*VLOOKUP('Données projet'!$B$10,Paramètres!$A$1:$I$89,3,0)*VLOOKUP('Données projet'!$B$10,Paramètres!$A$1:$I$89,5,0)</f>
        <v>209.87927999999977</v>
      </c>
      <c r="AK79" s="13">
        <f t="shared" si="89"/>
        <v>51.909204458241717</v>
      </c>
      <c r="AL79" s="20">
        <f t="shared" si="58"/>
        <v>455.94827709810392</v>
      </c>
      <c r="AM79" s="59">
        <f t="shared" si="59"/>
        <v>725.03786147895335</v>
      </c>
      <c r="AN79" s="59">
        <f ca="1">AVERAGE(OFFSET($AM$3,0,0,'Données projet'!$E$10+1,1))-AVERAGE(OFFSET($H$3,0,0,'Données projet'!$E$10+1,1))</f>
        <v>327.22763817565902</v>
      </c>
      <c r="AO79" s="59">
        <f t="shared" si="90"/>
        <v>311.68541696405975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15.352572245559905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15.352572245559905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2.8421709430404007E-14</v>
      </c>
      <c r="BE79" s="13">
        <f>BD79*VLOOKUP('Données projet'!$B$11,Paramètres!$A$1:$I$89,3,0)*VLOOKUP('Données projet'!$B$11,Paramètres!$A$1:$I$89,5,0)</f>
        <v>1.8178525351686402E-14</v>
      </c>
      <c r="BF79" s="13">
        <f t="shared" si="91"/>
        <v>3.3304129621647644E-13</v>
      </c>
      <c r="BG79" s="20">
        <f t="shared" si="61"/>
        <v>6.1170785589788349E-13</v>
      </c>
      <c r="BH79" s="59">
        <f t="shared" si="62"/>
        <v>269.08958438085006</v>
      </c>
      <c r="BI79" s="59">
        <f ca="1">AVERAGE(OFFSET($BH$3,0,0,'Données projet'!$E$11+1,1))-AVERAGE(OFFSET($H$3,0,0,'Données projet'!$E$11+1,1))</f>
        <v>169.46470423366029</v>
      </c>
      <c r="BJ79" s="59">
        <f t="shared" si="92"/>
        <v>230.78141128389288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24.367622832745788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24.367622832745788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3.6</v>
      </c>
      <c r="BY79" s="12">
        <f>IF('Données projet'!$A$114&gt;35,BY78+BX79-CG78,IF(A79&lt;'Données projet'!$A$114,$BV$205^A79,IF(A79='Données projet'!$A$114,'Données projet'!$B$114,BY78+BX79-CG78)))</f>
        <v>212.59999999999991</v>
      </c>
      <c r="BZ79" s="13">
        <f>BY79*VLOOKUP('Données projet'!$B$12,Paramètres!$A$1:$I$89,3,0)*VLOOKUP('Données projet'!$B$12,Paramètres!$A$1:$I$89,5,0)</f>
        <v>185.72735999999995</v>
      </c>
      <c r="CA79" s="13">
        <f t="shared" si="93"/>
        <v>46.59408604336376</v>
      </c>
      <c r="CB79" s="20">
        <f t="shared" si="64"/>
        <v>404.62651852552517</v>
      </c>
      <c r="CC79" s="59">
        <f t="shared" si="65"/>
        <v>673.71610290637454</v>
      </c>
      <c r="CD79" s="59">
        <f ca="1">AVERAGE(OFFSET($CC$3,0,0,'Données projet'!$E$12+1,1))-AVERAGE(OFFSET($H$3,0,0,'Données projet'!$E$12+1,1))</f>
        <v>342.79161436526499</v>
      </c>
      <c r="CE79" s="59">
        <f t="shared" si="94"/>
        <v>315.50730924873733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20.570158132942755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20.570158132942755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4.5999999999999996</v>
      </c>
      <c r="CT79" s="12">
        <f>IF('Données projet'!$A$140&gt;35,CT78+CS79-DB78,IF(A79&lt;'Données projet'!$A$140,$CQ$205^A79,IF(A79='Données projet'!$A$140,'Données projet'!$B$140,CT78+CS79-DB78)))</f>
        <v>173.6</v>
      </c>
      <c r="CU79" s="17">
        <f>CT79*VLOOKUP('Données projet'!$B$13,Paramètres!$A$1:$I$89,3,0)*VLOOKUP('Données projet'!$B$13,Paramètres!$A$1:$I$89,5,0)</f>
        <v>116.45088</v>
      </c>
      <c r="CV79" s="13">
        <f t="shared" si="95"/>
        <v>30.845784538359737</v>
      </c>
      <c r="CW79" s="20">
        <f t="shared" si="67"/>
        <v>256.54169073764314</v>
      </c>
      <c r="CX79" s="59">
        <f t="shared" si="68"/>
        <v>525.63127511849257</v>
      </c>
      <c r="CY79" s="59">
        <f ca="1">AVERAGE(OFFSET($CX$3,0,0,'Données projet'!$E$13+1,1))-AVERAGE(OFFSET($H$3,0,0,'Données projet'!$E$13+1,1))</f>
        <v>201.84651193684252</v>
      </c>
      <c r="CZ79" s="59">
        <f t="shared" si="96"/>
        <v>138.00705940844708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11.53371694733141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11.53371694733141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1.1368683772161603E-13</v>
      </c>
      <c r="DP79" s="17">
        <f>DO79*VLOOKUP('Données projet'!$B$14,Paramètres!$A$1:$I$89,3,0)*VLOOKUP('Données projet'!$B$14,Paramètres!$A$1:$I$89,5,0)</f>
        <v>8.3355189417488869E-14</v>
      </c>
      <c r="DQ79" s="13">
        <f t="shared" si="97"/>
        <v>1.2790518435140618E-12</v>
      </c>
      <c r="DR79" s="20">
        <f t="shared" si="70"/>
        <v>2.3728589156891171E-12</v>
      </c>
      <c r="DS79" s="59">
        <f t="shared" si="71"/>
        <v>269.08958438085182</v>
      </c>
      <c r="DT79" s="59">
        <f ca="1">AVERAGE(OFFSET($DS$3,0,0,'Données projet'!$E$14+1,1))-AVERAGE(OFFSET($H$3,0,0,'Données projet'!$E$14+1,1))</f>
        <v>242.21240859696931</v>
      </c>
      <c r="DU79" s="59">
        <f t="shared" si="98"/>
        <v>340.92165104349192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45.922426213725252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45.922426213725252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4.5999999999999996</v>
      </c>
      <c r="EJ79" s="12">
        <f>IF('Données projet'!$A$192&gt;35,EJ78+EI79-ER78,IF(A79&lt;'Données projet'!$A$192,$EG$205^A79,IF(A79='Données projet'!$A$192,'Données projet'!$B$192,EJ78+EI79-ER78)))</f>
        <v>173.6</v>
      </c>
      <c r="EK79" s="17">
        <f>EJ79*VLOOKUP('Données projet'!$B$15,Paramètres!$A$1:$I$89,3,0)*VLOOKUP('Données projet'!$B$15,Paramètres!$A$1:$I$89,5,0)</f>
        <v>167.90591999999998</v>
      </c>
      <c r="EL79" s="13">
        <f t="shared" si="99"/>
        <v>42.620681538886721</v>
      </c>
      <c r="EM79" s="20">
        <f t="shared" si="73"/>
        <v>366.66716434689437</v>
      </c>
      <c r="EN79" s="59">
        <f t="shared" si="74"/>
        <v>635.7567487277438</v>
      </c>
      <c r="EO79" s="59">
        <f ca="1">AVERAGE(OFFSET($EN$3,0,0,'Données projet'!$E$15+1,1))-AVERAGE(OFFSET($H$3,0,0,'Données projet'!$E$15+1,1))</f>
        <v>331.7059599630698</v>
      </c>
      <c r="EP79" s="59">
        <f t="shared" si="100"/>
        <v>173.19148969173838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4.5999999999999996</v>
      </c>
      <c r="FE79" s="12">
        <f>IF('Données projet'!$A$218&gt;35,FE78+FD79-FM78,IF(A79&lt;'Données projet'!$A$218,$FB$205^A79,IF(A79='Données projet'!$A$218,'Données projet'!$B$218,FE78+FD79-FM78)))</f>
        <v>173.6</v>
      </c>
      <c r="FF79" s="17">
        <f>FE79*VLOOKUP('Données projet'!$B$16,Paramètres!$A$1:$I$89,3,0)*VLOOKUP('Données projet'!$B$16,Paramètres!$A$1:$I$89,5,0)</f>
        <v>186.86303999999998</v>
      </c>
      <c r="FG79" s="13">
        <f t="shared" si="101"/>
        <v>46.845744983534466</v>
      </c>
      <c r="FH79" s="20">
        <f t="shared" si="76"/>
        <v>407.04280051298912</v>
      </c>
      <c r="FI79" s="59">
        <f t="shared" si="77"/>
        <v>676.13238489383855</v>
      </c>
      <c r="FJ79" s="59">
        <f ca="1">AVERAGE(OFFSET($FI$3,0,0,'Données projet'!$E$16+1,1))-AVERAGE(OFFSET($H$3,0,0,'Données projet'!$E$16+1,1))</f>
        <v>360.86062459677004</v>
      </c>
      <c r="FK79" s="59">
        <f t="shared" si="102"/>
        <v>186.0840067781198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13.677223245881097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13.677223245881097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6</v>
      </c>
      <c r="FZ79" s="12">
        <f>IF('Données projet'!$A$244&gt;35,FZ78+FY79-GH78,IF(A79&lt;'Données projet'!$A$244,$FW$205^A79,IF(A79='Données projet'!$A$244,'Données projet'!$B$244,FZ78+FY79-GH78)))</f>
        <v>236.99999999999989</v>
      </c>
      <c r="GA79" s="17">
        <f>FZ79*VLOOKUP('Données projet'!$B$17,Paramètres!$A$1:$I$89,3,0)*VLOOKUP('Données projet'!$B$17,Paramètres!$A$1:$I$89,5,0)</f>
        <v>240.3179999999999</v>
      </c>
      <c r="GB79" s="13">
        <f t="shared" si="103"/>
        <v>58.507944457766484</v>
      </c>
      <c r="GC79" s="20">
        <f t="shared" si="79"/>
        <v>520.45518659727634</v>
      </c>
      <c r="GD79" s="59">
        <f t="shared" si="80"/>
        <v>789.54477097812583</v>
      </c>
      <c r="GE79" s="59">
        <f ca="1">AVERAGE(OFFSET($GD$3,0,0,'Données projet'!$E$17+1,1))-AVERAGE(OFFSET($H$3,0,0,'Données projet'!$E$17+1,1))</f>
        <v>448.73339628506784</v>
      </c>
      <c r="GF79" s="59">
        <f t="shared" si="104"/>
        <v>273.35778700650803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21.567499859818454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21.567499859818454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</v>
      </c>
      <c r="N80" s="13">
        <f>IF('Données projet'!$A$36&gt;35,N79+M80-V79,IF(A80&lt;'Données projet'!$A$36,$K$205^A80,IF(A80='Données projet'!$A$36,'Données projet'!$B$36,N79+M80-V79)))</f>
        <v>242.99999999999989</v>
      </c>
      <c r="O80" s="13">
        <f>N80*VLOOKUP('Données projet'!$B$9,Paramètres!$A$1:$I$89,3,0)*VLOOKUP('Données projet'!$B$9,Paramètres!$A$1:$I$89,5,0)</f>
        <v>219.86639999999989</v>
      </c>
      <c r="P80" s="13">
        <f t="shared" si="87"/>
        <v>54.085847394182416</v>
      </c>
      <c r="Q80" s="20">
        <f t="shared" si="54"/>
        <v>477.13349754486745</v>
      </c>
      <c r="R80" s="59">
        <f t="shared" si="55"/>
        <v>746.64365676913974</v>
      </c>
      <c r="S80" s="59">
        <f ca="1">AVERAGE(OFFSET($R$3,0,0,'Données projet'!$E$9+1,1))-AVERAGE(OFFSET($H$3,0,0,'Données projet'!$E$9+1,1))</f>
        <v>408.51124670343137</v>
      </c>
      <c r="T80" s="59">
        <f t="shared" si="88"/>
        <v>250.47702091764884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18.867466336334104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18.867466336334104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2.8</v>
      </c>
      <c r="AI80" s="13">
        <f>IF('Données projet'!$A$62&gt;35,AI79+AH80-AQ79,IF(A80&lt;'Données projet'!$A$62,$AF$205^A80,IF(A80='Données projet'!$A$62,'Données projet'!$B$62,AI79+AH80-AQ79)))</f>
        <v>266.59999999999968</v>
      </c>
      <c r="AJ80" s="13">
        <f>AI80*VLOOKUP('Données projet'!$B$10,Paramètres!$A$1:$I$89,3,0)*VLOOKUP('Données projet'!$B$10,Paramètres!$A$1:$I$89,5,0)</f>
        <v>212.10695999999976</v>
      </c>
      <c r="AK80" s="13">
        <f t="shared" si="89"/>
        <v>52.395741612408194</v>
      </c>
      <c r="AL80" s="20">
        <f t="shared" si="58"/>
        <v>460.6755386416105</v>
      </c>
      <c r="AM80" s="59">
        <f t="shared" si="59"/>
        <v>730.18569786588273</v>
      </c>
      <c r="AN80" s="59">
        <f ca="1">AVERAGE(OFFSET($AM$3,0,0,'Données projet'!$E$10+1,1))-AVERAGE(OFFSET($H$3,0,0,'Données projet'!$E$10+1,1))</f>
        <v>327.22763817565902</v>
      </c>
      <c r="AO80" s="59">
        <f t="shared" si="90"/>
        <v>311.68541696405975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15.051517667968913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15.051517667968913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2.8421709430404007E-14</v>
      </c>
      <c r="BE80" s="13">
        <f>BD80*VLOOKUP('Données projet'!$B$11,Paramètres!$A$1:$I$89,3,0)*VLOOKUP('Données projet'!$B$11,Paramètres!$A$1:$I$89,5,0)</f>
        <v>1.8178525351686402E-14</v>
      </c>
      <c r="BF80" s="13">
        <f t="shared" si="91"/>
        <v>3.3304129621647644E-13</v>
      </c>
      <c r="BG80" s="20">
        <f t="shared" si="61"/>
        <v>6.1170785589788349E-13</v>
      </c>
      <c r="BH80" s="59">
        <f t="shared" si="62"/>
        <v>269.51015922427291</v>
      </c>
      <c r="BI80" s="59">
        <f ca="1">AVERAGE(OFFSET($BH$3,0,0,'Données projet'!$E$11+1,1))-AVERAGE(OFFSET($H$3,0,0,'Données projet'!$E$11+1,1))</f>
        <v>169.46470423366029</v>
      </c>
      <c r="BJ80" s="59">
        <f t="shared" si="92"/>
        <v>230.78141128389288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23.889788611777995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23.889788611777995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3.6</v>
      </c>
      <c r="BY80" s="12">
        <f>IF('Données projet'!$A$114&gt;35,BY79+BX80-CG79,IF(A80&lt;'Données projet'!$A$114,$BV$205^A80,IF(A80='Données projet'!$A$114,'Données projet'!$B$114,BY79+BX80-CG79)))</f>
        <v>216.1999999999999</v>
      </c>
      <c r="BZ80" s="13">
        <f>BY80*VLOOKUP('Données projet'!$B$12,Paramètres!$A$1:$I$89,3,0)*VLOOKUP('Données projet'!$B$12,Paramètres!$A$1:$I$89,5,0)</f>
        <v>188.87231999999995</v>
      </c>
      <c r="CA80" s="13">
        <f t="shared" si="93"/>
        <v>47.290552503862848</v>
      </c>
      <c r="CB80" s="20">
        <f t="shared" si="64"/>
        <v>411.31700294422768</v>
      </c>
      <c r="CC80" s="59">
        <f t="shared" si="65"/>
        <v>680.82716216849997</v>
      </c>
      <c r="CD80" s="59">
        <f ca="1">AVERAGE(OFFSET($CC$3,0,0,'Données projet'!$E$12+1,1))-AVERAGE(OFFSET($H$3,0,0,'Données projet'!$E$12+1,1))</f>
        <v>342.79161436526499</v>
      </c>
      <c r="CE80" s="59">
        <f t="shared" si="94"/>
        <v>315.50730924873733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20.166789878513338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20.166789878513338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4.5999999999999996</v>
      </c>
      <c r="CT80" s="12">
        <f>IF('Données projet'!$A$140&gt;35,CT79+CS80-DB79,IF(A80&lt;'Données projet'!$A$140,$CQ$205^A80,IF(A80='Données projet'!$A$140,'Données projet'!$B$140,CT79+CS80-DB79)))</f>
        <v>178.2</v>
      </c>
      <c r="CU80" s="17">
        <f>CT80*VLOOKUP('Données projet'!$B$13,Paramètres!$A$1:$I$89,3,0)*VLOOKUP('Données projet'!$B$13,Paramètres!$A$1:$I$89,5,0)</f>
        <v>119.53655999999999</v>
      </c>
      <c r="CV80" s="13">
        <f t="shared" si="95"/>
        <v>31.566885194519276</v>
      </c>
      <c r="CW80" s="20">
        <f t="shared" si="67"/>
        <v>263.17183371378775</v>
      </c>
      <c r="CX80" s="59">
        <f t="shared" si="68"/>
        <v>532.68199293806003</v>
      </c>
      <c r="CY80" s="59">
        <f ca="1">AVERAGE(OFFSET($CX$3,0,0,'Données projet'!$E$13+1,1))-AVERAGE(OFFSET($H$3,0,0,'Données projet'!$E$13+1,1))</f>
        <v>201.84651193684252</v>
      </c>
      <c r="CZ80" s="59">
        <f t="shared" si="96"/>
        <v>138.00705940844708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11.307547792866943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11.307547792866943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1.1368683772161603E-13</v>
      </c>
      <c r="DP80" s="17">
        <f>DO80*VLOOKUP('Données projet'!$B$14,Paramètres!$A$1:$I$89,3,0)*VLOOKUP('Données projet'!$B$14,Paramètres!$A$1:$I$89,5,0)</f>
        <v>8.3355189417488869E-14</v>
      </c>
      <c r="DQ80" s="13">
        <f t="shared" si="97"/>
        <v>1.2790518435140618E-12</v>
      </c>
      <c r="DR80" s="20">
        <f t="shared" si="70"/>
        <v>2.3728589156891171E-12</v>
      </c>
      <c r="DS80" s="59">
        <f t="shared" si="71"/>
        <v>269.51015922427467</v>
      </c>
      <c r="DT80" s="59">
        <f ca="1">AVERAGE(OFFSET($DS$3,0,0,'Données projet'!$E$14+1,1))-AVERAGE(OFFSET($H$3,0,0,'Données projet'!$E$14+1,1))</f>
        <v>242.21240859696931</v>
      </c>
      <c r="DU80" s="59">
        <f t="shared" si="98"/>
        <v>340.92165104349192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45.021915445588341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45.021915445588341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4.5999999999999996</v>
      </c>
      <c r="EJ80" s="12">
        <f>IF('Données projet'!$A$192&gt;35,EJ79+EI80-ER79,IF(A80&lt;'Données projet'!$A$192,$EG$205^A80,IF(A80='Données projet'!$A$192,'Données projet'!$B$192,EJ79+EI80-ER79)))</f>
        <v>178.2</v>
      </c>
      <c r="EK80" s="17">
        <f>EJ80*VLOOKUP('Données projet'!$B$15,Paramètres!$A$1:$I$89,3,0)*VLOOKUP('Données projet'!$B$15,Paramètres!$A$1:$I$89,5,0)</f>
        <v>172.35504</v>
      </c>
      <c r="EL80" s="13">
        <f t="shared" si="99"/>
        <v>43.617051120131691</v>
      </c>
      <c r="EM80" s="20">
        <f t="shared" si="73"/>
        <v>376.15139203422933</v>
      </c>
      <c r="EN80" s="59">
        <f t="shared" si="74"/>
        <v>645.66155125850162</v>
      </c>
      <c r="EO80" s="59">
        <f ca="1">AVERAGE(OFFSET($EN$3,0,0,'Données projet'!$E$15+1,1))-AVERAGE(OFFSET($H$3,0,0,'Données projet'!$E$15+1,1))</f>
        <v>331.7059599630698</v>
      </c>
      <c r="EP80" s="59">
        <f t="shared" si="100"/>
        <v>173.19148969173838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4.5999999999999996</v>
      </c>
      <c r="FE80" s="12">
        <f>IF('Données projet'!$A$218&gt;35,FE79+FD80-FM79,IF(A80&lt;'Données projet'!$A$218,$FB$205^A80,IF(A80='Données projet'!$A$218,'Données projet'!$B$218,FE79+FD80-FM79)))</f>
        <v>178.2</v>
      </c>
      <c r="FF80" s="17">
        <f>FE80*VLOOKUP('Données projet'!$B$16,Paramètres!$A$1:$I$89,3,0)*VLOOKUP('Données projet'!$B$16,Paramètres!$A$1:$I$89,5,0)</f>
        <v>191.81447999999997</v>
      </c>
      <c r="FG80" s="13">
        <f t="shared" si="101"/>
        <v>47.940886441320977</v>
      </c>
      <c r="FH80" s="20">
        <f t="shared" si="76"/>
        <v>417.57392988530063</v>
      </c>
      <c r="FI80" s="59">
        <f t="shared" si="77"/>
        <v>687.08408910957291</v>
      </c>
      <c r="FJ80" s="59">
        <f ca="1">AVERAGE(OFFSET($FI$3,0,0,'Données projet'!$E$16+1,1))-AVERAGE(OFFSET($H$3,0,0,'Données projet'!$E$16+1,1))</f>
        <v>360.86062459677004</v>
      </c>
      <c r="FK80" s="59">
        <f t="shared" si="102"/>
        <v>186.0840067781198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13.409021240311816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13.409021240311816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6</v>
      </c>
      <c r="FZ80" s="12">
        <f>IF('Données projet'!$A$244&gt;35,FZ79+FY80-GH79,IF(A80&lt;'Données projet'!$A$244,$FW$205^A80,IF(A80='Données projet'!$A$244,'Données projet'!$B$244,FZ79+FY80-GH79)))</f>
        <v>242.99999999999989</v>
      </c>
      <c r="GA80" s="17">
        <f>FZ80*VLOOKUP('Données projet'!$B$17,Paramètres!$A$1:$I$89,3,0)*VLOOKUP('Données projet'!$B$17,Paramètres!$A$1:$I$89,5,0)</f>
        <v>246.4019999999999</v>
      </c>
      <c r="GB80" s="13">
        <f t="shared" si="103"/>
        <v>59.814834475385474</v>
      </c>
      <c r="GC80" s="20">
        <f t="shared" si="79"/>
        <v>533.32765337796286</v>
      </c>
      <c r="GD80" s="59">
        <f t="shared" si="80"/>
        <v>802.83781260223509</v>
      </c>
      <c r="GE80" s="59">
        <f ca="1">AVERAGE(OFFSET($GD$3,0,0,'Données projet'!$E$17+1,1))-AVERAGE(OFFSET($H$3,0,0,'Données projet'!$E$17+1,1))</f>
        <v>448.73339628506784</v>
      </c>
      <c r="GF80" s="59">
        <f t="shared" si="104"/>
        <v>273.35778700650803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21.144574342443391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21.144574342443391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</v>
      </c>
      <c r="N81" s="13">
        <f>IF('Données projet'!$A$36&gt;35,N80+M81-V80,IF(A81&lt;'Données projet'!$A$36,$K$205^A81,IF(A81='Données projet'!$A$36,'Données projet'!$B$36,N80+M81-V80)))</f>
        <v>248.99999999999989</v>
      </c>
      <c r="O81" s="13">
        <f>N81*VLOOKUP('Données projet'!$B$9,Paramètres!$A$1:$I$89,3,0)*VLOOKUP('Données projet'!$B$9,Paramètres!$A$1:$I$89,5,0)</f>
        <v>225.29519999999991</v>
      </c>
      <c r="P81" s="13">
        <f t="shared" si="87"/>
        <v>55.264173352293078</v>
      </c>
      <c r="Q81" s="20">
        <f t="shared" si="54"/>
        <v>488.64090858857691</v>
      </c>
      <c r="R81" s="59">
        <f t="shared" si="55"/>
        <v>758.56434662300308</v>
      </c>
      <c r="S81" s="59">
        <f ca="1">AVERAGE(OFFSET($R$3,0,0,'Données projet'!$E$9+1,1))-AVERAGE(OFFSET($H$3,0,0,'Données projet'!$E$9+1,1))</f>
        <v>408.51124670343137</v>
      </c>
      <c r="T81" s="59">
        <f t="shared" si="88"/>
        <v>250.47702091764884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18.497486829496737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18.497486829496737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2.8</v>
      </c>
      <c r="AI81" s="13">
        <f>IF('Données projet'!$A$62&gt;35,AI80+AH81-AQ80,IF(A81&lt;'Données projet'!$A$62,$AF$205^A81,IF(A81='Données projet'!$A$62,'Données projet'!$B$62,AI80+AH81-AQ80)))</f>
        <v>269.39999999999969</v>
      </c>
      <c r="AJ81" s="13">
        <f>AI81*VLOOKUP('Données projet'!$B$10,Paramètres!$A$1:$I$89,3,0)*VLOOKUP('Données projet'!$B$10,Paramètres!$A$1:$I$89,5,0)</f>
        <v>214.33463999999975</v>
      </c>
      <c r="AK81" s="13">
        <f t="shared" si="89"/>
        <v>52.881684324030282</v>
      </c>
      <c r="AL81" s="20">
        <f t="shared" si="58"/>
        <v>465.40176486435229</v>
      </c>
      <c r="AM81" s="59">
        <f t="shared" si="59"/>
        <v>735.32520289877857</v>
      </c>
      <c r="AN81" s="59">
        <f ca="1">AVERAGE(OFFSET($AM$3,0,0,'Données projet'!$E$10+1,1))-AVERAGE(OFFSET($H$3,0,0,'Données projet'!$E$10+1,1))</f>
        <v>327.22763817565902</v>
      </c>
      <c r="AO81" s="59">
        <f t="shared" si="90"/>
        <v>311.68541696405975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14.756366587019318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14.756366587019318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2.8421709430404007E-14</v>
      </c>
      <c r="BE81" s="13">
        <f>BD81*VLOOKUP('Données projet'!$B$11,Paramètres!$A$1:$I$89,3,0)*VLOOKUP('Données projet'!$B$11,Paramètres!$A$1:$I$89,5,0)</f>
        <v>1.8178525351686402E-14</v>
      </c>
      <c r="BF81" s="13">
        <f t="shared" si="91"/>
        <v>3.3304129621647644E-13</v>
      </c>
      <c r="BG81" s="20">
        <f t="shared" si="61"/>
        <v>6.1170785589788349E-13</v>
      </c>
      <c r="BH81" s="59">
        <f t="shared" si="62"/>
        <v>269.92343803442685</v>
      </c>
      <c r="BI81" s="59">
        <f ca="1">AVERAGE(OFFSET($BH$3,0,0,'Données projet'!$E$11+1,1))-AVERAGE(OFFSET($H$3,0,0,'Données projet'!$E$11+1,1))</f>
        <v>169.46470423366029</v>
      </c>
      <c r="BJ81" s="59">
        <f t="shared" si="92"/>
        <v>230.78141128389288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23.42132442843328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23.42132442843328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3.6</v>
      </c>
      <c r="BY81" s="12">
        <f>IF('Données projet'!$A$114&gt;35,BY80+BX81-CG80,IF(A81&lt;'Données projet'!$A$114,$BV$205^A81,IF(A81='Données projet'!$A$114,'Données projet'!$B$114,BY80+BX81-CG80)))</f>
        <v>219.7999999999999</v>
      </c>
      <c r="BZ81" s="13">
        <f>BY81*VLOOKUP('Données projet'!$B$12,Paramètres!$A$1:$I$89,3,0)*VLOOKUP('Données projet'!$B$12,Paramètres!$A$1:$I$89,5,0)</f>
        <v>192.01727999999994</v>
      </c>
      <c r="CA81" s="13">
        <f t="shared" si="93"/>
        <v>47.985670310783661</v>
      </c>
      <c r="CB81" s="20">
        <f t="shared" si="64"/>
        <v>418.00513845794808</v>
      </c>
      <c r="CC81" s="59">
        <f t="shared" si="65"/>
        <v>687.9285764923743</v>
      </c>
      <c r="CD81" s="59">
        <f ca="1">AVERAGE(OFFSET($CC$3,0,0,'Données projet'!$E$12+1,1))-AVERAGE(OFFSET($H$3,0,0,'Données projet'!$E$12+1,1))</f>
        <v>342.79161436526499</v>
      </c>
      <c r="CE81" s="59">
        <f t="shared" si="94"/>
        <v>315.50730924873733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19.771331429522942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19.771331429522942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4.5999999999999996</v>
      </c>
      <c r="CT81" s="12">
        <f>IF('Données projet'!$A$140&gt;35,CT80+CS81-DB80,IF(A81&lt;'Données projet'!$A$140,$CQ$205^A81,IF(A81='Données projet'!$A$140,'Données projet'!$B$140,CT80+CS81-DB80)))</f>
        <v>182.79999999999998</v>
      </c>
      <c r="CU81" s="17">
        <f>CT81*VLOOKUP('Données projet'!$B$13,Paramètres!$A$1:$I$89,3,0)*VLOOKUP('Données projet'!$B$13,Paramètres!$A$1:$I$89,5,0)</f>
        <v>122.62223999999998</v>
      </c>
      <c r="CV81" s="13">
        <f t="shared" si="95"/>
        <v>32.285822147542667</v>
      </c>
      <c r="CW81" s="20">
        <f t="shared" si="67"/>
        <v>269.79820824030338</v>
      </c>
      <c r="CX81" s="59">
        <f t="shared" si="68"/>
        <v>539.72164627472966</v>
      </c>
      <c r="CY81" s="59">
        <f ca="1">AVERAGE(OFFSET($CX$3,0,0,'Données projet'!$E$13+1,1))-AVERAGE(OFFSET($H$3,0,0,'Données projet'!$E$13+1,1))</f>
        <v>201.84651193684252</v>
      </c>
      <c r="CZ81" s="59">
        <f t="shared" si="96"/>
        <v>138.00705940844708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11.085813677571961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11.085813677571961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1.1368683772161603E-13</v>
      </c>
      <c r="DP81" s="17">
        <f>DO81*VLOOKUP('Données projet'!$B$14,Paramètres!$A$1:$I$89,3,0)*VLOOKUP('Données projet'!$B$14,Paramètres!$A$1:$I$89,5,0)</f>
        <v>8.3355189417488869E-14</v>
      </c>
      <c r="DQ81" s="13">
        <f t="shared" si="97"/>
        <v>1.2790518435140618E-12</v>
      </c>
      <c r="DR81" s="20">
        <f t="shared" si="70"/>
        <v>2.3728589156891171E-12</v>
      </c>
      <c r="DS81" s="59">
        <f t="shared" si="71"/>
        <v>269.92343803442861</v>
      </c>
      <c r="DT81" s="59">
        <f ca="1">AVERAGE(OFFSET($DS$3,0,0,'Données projet'!$E$14+1,1))-AVERAGE(OFFSET($H$3,0,0,'Données projet'!$E$14+1,1))</f>
        <v>242.21240859696931</v>
      </c>
      <c r="DU81" s="59">
        <f t="shared" si="98"/>
        <v>340.92165104349192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44.139063144357259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44.139063144357259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4.5999999999999996</v>
      </c>
      <c r="EJ81" s="12">
        <f>IF('Données projet'!$A$192&gt;35,EJ80+EI81-ER80,IF(A81&lt;'Données projet'!$A$192,$EG$205^A81,IF(A81='Données projet'!$A$192,'Données projet'!$B$192,EJ80+EI81-ER80)))</f>
        <v>182.79999999999998</v>
      </c>
      <c r="EK81" s="17">
        <f>EJ81*VLOOKUP('Données projet'!$B$15,Paramètres!$A$1:$I$89,3,0)*VLOOKUP('Données projet'!$B$15,Paramètres!$A$1:$I$89,5,0)</f>
        <v>176.80415999999997</v>
      </c>
      <c r="EL81" s="13">
        <f t="shared" si="99"/>
        <v>44.610431038325757</v>
      </c>
      <c r="EM81" s="20">
        <f t="shared" si="73"/>
        <v>385.630412725084</v>
      </c>
      <c r="EN81" s="59">
        <f t="shared" si="74"/>
        <v>655.55385075951017</v>
      </c>
      <c r="EO81" s="59">
        <f ca="1">AVERAGE(OFFSET($EN$3,0,0,'Données projet'!$E$15+1,1))-AVERAGE(OFFSET($H$3,0,0,'Données projet'!$E$15+1,1))</f>
        <v>331.7059599630698</v>
      </c>
      <c r="EP81" s="59">
        <f t="shared" si="100"/>
        <v>173.19148969173838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4.5999999999999996</v>
      </c>
      <c r="FE81" s="12">
        <f>IF('Données projet'!$A$218&gt;35,FE80+FD81-FM80,IF(A81&lt;'Données projet'!$A$218,$FB$205^A81,IF(A81='Données projet'!$A$218,'Données projet'!$B$218,FE80+FD81-FM80)))</f>
        <v>182.79999999999998</v>
      </c>
      <c r="FF81" s="17">
        <f>FE81*VLOOKUP('Données projet'!$B$16,Paramètres!$A$1:$I$89,3,0)*VLOOKUP('Données projet'!$B$16,Paramètres!$A$1:$I$89,5,0)</f>
        <v>196.76591999999997</v>
      </c>
      <c r="FG81" s="13">
        <f t="shared" si="101"/>
        <v>49.03274186547759</v>
      </c>
      <c r="FH81" s="20">
        <f t="shared" si="76"/>
        <v>428.09933608237338</v>
      </c>
      <c r="FI81" s="59">
        <f t="shared" si="77"/>
        <v>698.02277411679961</v>
      </c>
      <c r="FJ81" s="59">
        <f ca="1">AVERAGE(OFFSET($FI$3,0,0,'Données projet'!$E$16+1,1))-AVERAGE(OFFSET($H$3,0,0,'Données projet'!$E$16+1,1))</f>
        <v>360.86062459677004</v>
      </c>
      <c r="FK81" s="59">
        <f t="shared" si="102"/>
        <v>186.0840067781198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13.146078512484678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13.146078512484678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6</v>
      </c>
      <c r="FZ81" s="12">
        <f>IF('Données projet'!$A$244&gt;35,FZ80+FY81-GH80,IF(A81&lt;'Données projet'!$A$244,$FW$205^A81,IF(A81='Données projet'!$A$244,'Données projet'!$B$244,FZ80+FY81-GH80)))</f>
        <v>248.99999999999989</v>
      </c>
      <c r="GA81" s="17">
        <f>FZ81*VLOOKUP('Données projet'!$B$17,Paramètres!$A$1:$I$89,3,0)*VLOOKUP('Données projet'!$B$17,Paramètres!$A$1:$I$89,5,0)</f>
        <v>252.4859999999999</v>
      </c>
      <c r="GB81" s="13">
        <f t="shared" si="103"/>
        <v>61.117973383957384</v>
      </c>
      <c r="GC81" s="20">
        <f t="shared" si="79"/>
        <v>546.193586977059</v>
      </c>
      <c r="GD81" s="59">
        <f t="shared" si="80"/>
        <v>816.11702501148523</v>
      </c>
      <c r="GE81" s="59">
        <f ca="1">AVERAGE(OFFSET($GD$3,0,0,'Données projet'!$E$17+1,1))-AVERAGE(OFFSET($H$3,0,0,'Données projet'!$E$17+1,1))</f>
        <v>448.73339628506784</v>
      </c>
      <c r="GF81" s="59">
        <f t="shared" si="104"/>
        <v>273.35778700650803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20.72994213650496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20.72994213650496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</v>
      </c>
      <c r="N82" s="13">
        <f>IF('Données projet'!$A$36&gt;35,N81+M82-V81,IF(A82&lt;'Données projet'!$A$36,$K$205^A82,IF(A82='Données projet'!$A$36,'Données projet'!$B$36,N81+M82-V81)))</f>
        <v>254.99999999999989</v>
      </c>
      <c r="O82" s="13">
        <f>N82*VLOOKUP('Données projet'!$B$9,Paramètres!$A$1:$I$89,3,0)*VLOOKUP('Données projet'!$B$9,Paramètres!$A$1:$I$89,5,0)</f>
        <v>230.72399999999988</v>
      </c>
      <c r="P82" s="13">
        <f t="shared" si="87"/>
        <v>56.439198612082045</v>
      </c>
      <c r="Q82" s="20">
        <f t="shared" si="54"/>
        <v>500.14257091604264</v>
      </c>
      <c r="R82" s="59">
        <f t="shared" si="55"/>
        <v>770.47211829721959</v>
      </c>
      <c r="S82" s="59">
        <f ca="1">AVERAGE(OFFSET($R$3,0,0,'Données projet'!$E$9+1,1))-AVERAGE(OFFSET($H$3,0,0,'Données projet'!$E$9+1,1))</f>
        <v>408.51124670343137</v>
      </c>
      <c r="T82" s="59">
        <f t="shared" si="88"/>
        <v>250.47702091764884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18.134762395123232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18.134762395123232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2.8</v>
      </c>
      <c r="AI82" s="13">
        <f>IF('Données projet'!$A$62&gt;35,AI81+AH82-AQ81,IF(A82&lt;'Données projet'!$A$62,$AF$205^A82,IF(A82='Données projet'!$A$62,'Données projet'!$B$62,AI81+AH82-AQ81)))</f>
        <v>272.1999999999997</v>
      </c>
      <c r="AJ82" s="13">
        <f>AI82*VLOOKUP('Données projet'!$B$10,Paramètres!$A$1:$I$89,3,0)*VLOOKUP('Données projet'!$B$10,Paramètres!$A$1:$I$89,5,0)</f>
        <v>216.5623199999998</v>
      </c>
      <c r="AK82" s="13">
        <f t="shared" si="89"/>
        <v>53.367039486661959</v>
      </c>
      <c r="AL82" s="20">
        <f t="shared" si="58"/>
        <v>470.12696777260265</v>
      </c>
      <c r="AM82" s="59">
        <f t="shared" si="59"/>
        <v>740.45651515377961</v>
      </c>
      <c r="AN82" s="59">
        <f ca="1">AVERAGE(OFFSET($AM$3,0,0,'Données projet'!$E$10+1,1))-AVERAGE(OFFSET($H$3,0,0,'Données projet'!$E$10+1,1))</f>
        <v>327.22763817565902</v>
      </c>
      <c r="AO82" s="59">
        <f t="shared" si="90"/>
        <v>311.68541696405975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14.467003238742763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14.467003238742763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2.8421709430404007E-14</v>
      </c>
      <c r="BE82" s="13">
        <f>BD82*VLOOKUP('Données projet'!$B$11,Paramètres!$A$1:$I$89,3,0)*VLOOKUP('Données projet'!$B$11,Paramètres!$A$1:$I$89,5,0)</f>
        <v>1.8178525351686402E-14</v>
      </c>
      <c r="BF82" s="13">
        <f t="shared" si="91"/>
        <v>3.3304129621647644E-13</v>
      </c>
      <c r="BG82" s="20">
        <f t="shared" si="61"/>
        <v>6.1170785589788349E-13</v>
      </c>
      <c r="BH82" s="59">
        <f t="shared" si="62"/>
        <v>270.32954738117758</v>
      </c>
      <c r="BI82" s="59">
        <f ca="1">AVERAGE(OFFSET($BH$3,0,0,'Données projet'!$E$11+1,1))-AVERAGE(OFFSET($H$3,0,0,'Données projet'!$E$11+1,1))</f>
        <v>169.46470423366029</v>
      </c>
      <c r="BJ82" s="59">
        <f t="shared" si="92"/>
        <v>230.78141128389288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22.962046541989018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22.962046541989018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3.6</v>
      </c>
      <c r="BY82" s="12">
        <f>IF('Données projet'!$A$114&gt;35,BY81+BX82-CG81,IF(A82&lt;'Données projet'!$A$114,$BV$205^A82,IF(A82='Données projet'!$A$114,'Données projet'!$B$114,BY81+BX82-CG81)))</f>
        <v>223.39999999999989</v>
      </c>
      <c r="BZ82" s="13">
        <f>BY82*VLOOKUP('Données projet'!$B$12,Paramètres!$A$1:$I$89,3,0)*VLOOKUP('Données projet'!$B$12,Paramètres!$A$1:$I$89,5,0)</f>
        <v>195.16223999999994</v>
      </c>
      <c r="CA82" s="13">
        <f t="shared" si="93"/>
        <v>48.67946410296608</v>
      </c>
      <c r="CB82" s="20">
        <f t="shared" si="64"/>
        <v>424.69096797933247</v>
      </c>
      <c r="CC82" s="59">
        <f t="shared" si="65"/>
        <v>695.02051536050942</v>
      </c>
      <c r="CD82" s="59">
        <f ca="1">AVERAGE(OFFSET($CC$3,0,0,'Données projet'!$E$12+1,1))-AVERAGE(OFFSET($H$3,0,0,'Données projet'!$E$12+1,1))</f>
        <v>342.79161436526499</v>
      </c>
      <c r="CE82" s="59">
        <f t="shared" si="94"/>
        <v>315.50730924873733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19.38362767951141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19.38362767951141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4.5999999999999996</v>
      </c>
      <c r="CT82" s="12">
        <f>IF('Données projet'!$A$140&gt;35,CT81+CS82-DB81,IF(A82&lt;'Données projet'!$A$140,$CQ$205^A82,IF(A82='Données projet'!$A$140,'Données projet'!$B$140,CT81+CS82-DB81)))</f>
        <v>187.39999999999998</v>
      </c>
      <c r="CU82" s="17">
        <f>CT82*VLOOKUP('Données projet'!$B$13,Paramètres!$A$1:$I$89,3,0)*VLOOKUP('Données projet'!$B$13,Paramètres!$A$1:$I$89,5,0)</f>
        <v>125.70792</v>
      </c>
      <c r="CV82" s="13">
        <f t="shared" si="95"/>
        <v>33.0026561068373</v>
      </c>
      <c r="CW82" s="20">
        <f t="shared" si="67"/>
        <v>276.42092005274162</v>
      </c>
      <c r="CX82" s="59">
        <f t="shared" si="68"/>
        <v>546.75046743391863</v>
      </c>
      <c r="CY82" s="59">
        <f ca="1">AVERAGE(OFFSET($CX$3,0,0,'Données projet'!$E$13+1,1))-AVERAGE(OFFSET($H$3,0,0,'Données projet'!$E$13+1,1))</f>
        <v>201.84651193684252</v>
      </c>
      <c r="CZ82" s="59">
        <f t="shared" si="96"/>
        <v>138.00705940844708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10.868427633033457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10.868427633033457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1.1368683772161603E-13</v>
      </c>
      <c r="DP82" s="17">
        <f>DO82*VLOOKUP('Données projet'!$B$14,Paramètres!$A$1:$I$89,3,0)*VLOOKUP('Données projet'!$B$14,Paramètres!$A$1:$I$89,5,0)</f>
        <v>8.3355189417488869E-14</v>
      </c>
      <c r="DQ82" s="13">
        <f t="shared" si="97"/>
        <v>1.2790518435140618E-12</v>
      </c>
      <c r="DR82" s="20">
        <f t="shared" si="70"/>
        <v>2.3728589156891171E-12</v>
      </c>
      <c r="DS82" s="59">
        <f t="shared" si="71"/>
        <v>270.32954738117934</v>
      </c>
      <c r="DT82" s="59">
        <f ca="1">AVERAGE(OFFSET($DS$3,0,0,'Données projet'!$E$14+1,1))-AVERAGE(OFFSET($H$3,0,0,'Données projet'!$E$14+1,1))</f>
        <v>242.21240859696931</v>
      </c>
      <c r="DU82" s="59">
        <f t="shared" si="98"/>
        <v>340.92165104349192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43.273523038266589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43.273523038266589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4.5999999999999996</v>
      </c>
      <c r="EJ82" s="12">
        <f>IF('Données projet'!$A$192&gt;35,EJ81+EI82-ER81,IF(A82&lt;'Données projet'!$A$192,$EG$205^A82,IF(A82='Données projet'!$A$192,'Données projet'!$B$192,EJ81+EI82-ER81)))</f>
        <v>187.39999999999998</v>
      </c>
      <c r="EK82" s="17">
        <f>EJ82*VLOOKUP('Données projet'!$B$15,Paramètres!$A$1:$I$89,3,0)*VLOOKUP('Données projet'!$B$15,Paramètres!$A$1:$I$89,5,0)</f>
        <v>181.25327999999999</v>
      </c>
      <c r="EL82" s="13">
        <f t="shared" si="99"/>
        <v>45.600905177745403</v>
      </c>
      <c r="EM82" s="20">
        <f t="shared" si="73"/>
        <v>395.10437251790654</v>
      </c>
      <c r="EN82" s="59">
        <f t="shared" si="74"/>
        <v>665.43391989908355</v>
      </c>
      <c r="EO82" s="59">
        <f ca="1">AVERAGE(OFFSET($EN$3,0,0,'Données projet'!$E$15+1,1))-AVERAGE(OFFSET($H$3,0,0,'Données projet'!$E$15+1,1))</f>
        <v>331.7059599630698</v>
      </c>
      <c r="EP82" s="59">
        <f t="shared" si="100"/>
        <v>173.19148969173838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4.5999999999999996</v>
      </c>
      <c r="FE82" s="12">
        <f>IF('Données projet'!$A$218&gt;35,FE81+FD82-FM81,IF(A82&lt;'Données projet'!$A$218,$FB$205^A82,IF(A82='Données projet'!$A$218,'Données projet'!$B$218,FE81+FD82-FM81)))</f>
        <v>187.39999999999998</v>
      </c>
      <c r="FF82" s="17">
        <f>FE82*VLOOKUP('Données projet'!$B$16,Paramètres!$A$1:$I$89,3,0)*VLOOKUP('Données projet'!$B$16,Paramètres!$A$1:$I$89,5,0)</f>
        <v>201.71735999999999</v>
      </c>
      <c r="FG82" s="13">
        <f t="shared" si="101"/>
        <v>50.121403455877136</v>
      </c>
      <c r="FH82" s="20">
        <f t="shared" si="76"/>
        <v>438.61917968565263</v>
      </c>
      <c r="FI82" s="59">
        <f t="shared" si="77"/>
        <v>708.94872706682963</v>
      </c>
      <c r="FJ82" s="59">
        <f ca="1">AVERAGE(OFFSET($FI$3,0,0,'Données projet'!$E$16+1,1))-AVERAGE(OFFSET($H$3,0,0,'Données projet'!$E$16+1,1))</f>
        <v>360.86062459677004</v>
      </c>
      <c r="FK82" s="59">
        <f t="shared" si="102"/>
        <v>186.0840067781198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12.888291931171002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12.888291931171002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6</v>
      </c>
      <c r="FZ82" s="12">
        <f>IF('Données projet'!$A$244&gt;35,FZ81+FY82-GH81,IF(A82&lt;'Données projet'!$A$244,$FW$205^A82,IF(A82='Données projet'!$A$244,'Données projet'!$B$244,FZ81+FY82-GH81)))</f>
        <v>254.99999999999989</v>
      </c>
      <c r="GA82" s="17">
        <f>FZ82*VLOOKUP('Données projet'!$B$17,Paramètres!$A$1:$I$89,3,0)*VLOOKUP('Données projet'!$B$17,Paramètres!$A$1:$I$89,5,0)</f>
        <v>258.56999999999994</v>
      </c>
      <c r="GB82" s="13">
        <f t="shared" si="103"/>
        <v>62.417461971173843</v>
      </c>
      <c r="GC82" s="20">
        <f t="shared" si="79"/>
        <v>559.05316293312762</v>
      </c>
      <c r="GD82" s="59">
        <f t="shared" si="80"/>
        <v>829.38271031430463</v>
      </c>
      <c r="GE82" s="59">
        <f ca="1">AVERAGE(OFFSET($GD$3,0,0,'Données projet'!$E$17+1,1))-AVERAGE(OFFSET($H$3,0,0,'Données projet'!$E$17+1,1))</f>
        <v>448.73339628506784</v>
      </c>
      <c r="GF82" s="59">
        <f t="shared" si="104"/>
        <v>273.35778700650803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20.323440615224307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20.323440615224307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261</v>
      </c>
      <c r="L83" s="12">
        <f>VLOOKUP(A83,'Données projet'!$A$35:$I$55,9,0)</f>
        <v>6</v>
      </c>
      <c r="M83" s="12">
        <f t="array" ref="M83">INDEX(L:L,MIN(IF(ISNUMBER(L83:L279),ROW(L83:L279),"")))</f>
        <v>6</v>
      </c>
      <c r="N83" s="13">
        <f>IF('Données projet'!$A$36&gt;35,N82+M83-V82,IF(A83&lt;'Données projet'!$A$36,$K$205^A83,IF(A83='Données projet'!$A$36,'Données projet'!$B$36,N82+M83-V82)))</f>
        <v>260.99999999999989</v>
      </c>
      <c r="O83" s="13">
        <f>N83*VLOOKUP('Données projet'!$B$9,Paramètres!$A$1:$I$89,3,0)*VLOOKUP('Données projet'!$B$9,Paramètres!$A$1:$I$89,5,0)</f>
        <v>236.15279999999987</v>
      </c>
      <c r="P83" s="13">
        <f t="shared" si="87"/>
        <v>57.61100977459931</v>
      </c>
      <c r="Q83" s="20">
        <f t="shared" si="54"/>
        <v>511.63863535742689</v>
      </c>
      <c r="R83" s="59">
        <f t="shared" si="55"/>
        <v>782.36724699611295</v>
      </c>
      <c r="S83" s="59">
        <f ca="1">AVERAGE(OFFSET($R$3,0,0,'Données projet'!$E$9+1,1))-AVERAGE(OFFSET($H$3,0,0,'Données projet'!$E$9+1,1))</f>
        <v>408.51124670343137</v>
      </c>
      <c r="T83" s="59">
        <f t="shared" si="88"/>
        <v>250.47702091764884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21</v>
      </c>
      <c r="W83" s="16">
        <f>IF(ISNA(VLOOKUP(A83,'Données projet'!$A$35:$I$55,5,0)),0%,VLOOKUP(A83,'Données projet'!$A$35:$I$55,5,0)*VLOOKUP('Données projet'!$B$9,Paramètres!$A$1:$I$89,7,0))</f>
        <v>0.25800000000000001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23.198394735224589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23.198394735224589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275</v>
      </c>
      <c r="AG83" s="12">
        <f>VLOOKUP(A83,'Données projet'!$A$61:$I$81,9,0)</f>
        <v>2.8</v>
      </c>
      <c r="AH83" s="12">
        <f t="array" ref="AH83">INDEX(AG:AG,MIN(IF(ISNUMBER(AG83:AG279),ROW(AG83:AG279),"")))</f>
        <v>2.8</v>
      </c>
      <c r="AI83" s="13">
        <f>IF('Données projet'!$A$62&gt;35,AI82+AH83-AQ82,IF(A83&lt;'Données projet'!$A$62,$AF$205^A83,IF(A83='Données projet'!$A$62,'Données projet'!$B$62,AI82+AH83-AQ82)))</f>
        <v>274.99999999999972</v>
      </c>
      <c r="AJ83" s="13">
        <f>AI83*VLOOKUP('Données projet'!$B$10,Paramètres!$A$1:$I$89,3,0)*VLOOKUP('Données projet'!$B$10,Paramètres!$A$1:$I$89,5,0)</f>
        <v>218.78999999999979</v>
      </c>
      <c r="AK83" s="13">
        <f t="shared" si="89"/>
        <v>53.851813843863468</v>
      </c>
      <c r="AL83" s="20">
        <f t="shared" si="58"/>
        <v>474.85115911139513</v>
      </c>
      <c r="AM83" s="59">
        <f t="shared" si="59"/>
        <v>745.57977075008125</v>
      </c>
      <c r="AN83" s="59">
        <f ca="1">AVERAGE(OFFSET($AM$3,0,0,'Données projet'!$E$10+1,1))-AVERAGE(OFFSET($H$3,0,0,'Données projet'!$E$10+1,1))</f>
        <v>327.22763817565902</v>
      </c>
      <c r="AO83" s="59">
        <f t="shared" si="90"/>
        <v>311.68541696405975</v>
      </c>
      <c r="AP83" s="15">
        <f>IF(ISNA(VLOOKUP(A83,'Données projet'!$A$61:$I$81,3,0)),0,VLOOKUP(A83,'Données projet'!$A$61:$I$81,3,0))</f>
        <v>14</v>
      </c>
      <c r="AQ83" s="15">
        <f>IF(ISNA(VLOOKUP(A83,'Données projet'!$A$61:$I$81,4,0)),0,VLOOKUP(A83,'Données projet'!$A$61:$I$81,4,0))</f>
        <v>275</v>
      </c>
      <c r="AR83" s="16">
        <f>IF(ISNA(VLOOKUP(A83,'Données projet'!$A$61:$I$81,5,0)),0%,VLOOKUP(A83,'Données projet'!$A$61:$I$81,5,0)*VLOOKUP('Données projet'!$B$10,Paramètres!$A$1:$I$89,7,0))</f>
        <v>0.371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103.91554979863493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103.91554979863493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2.8421709430404007E-14</v>
      </c>
      <c r="BE83" s="13">
        <f>BD83*VLOOKUP('Données projet'!$B$11,Paramètres!$A$1:$I$89,3,0)*VLOOKUP('Données projet'!$B$11,Paramètres!$A$1:$I$89,5,0)</f>
        <v>1.8178525351686402E-14</v>
      </c>
      <c r="BF83" s="13">
        <f t="shared" si="91"/>
        <v>3.3304129621647644E-13</v>
      </c>
      <c r="BG83" s="20">
        <f t="shared" si="61"/>
        <v>6.1170785589788349E-13</v>
      </c>
      <c r="BH83" s="59">
        <f t="shared" si="62"/>
        <v>270.72861163868674</v>
      </c>
      <c r="BI83" s="59">
        <f ca="1">AVERAGE(OFFSET($BH$3,0,0,'Données projet'!$E$11+1,1))-AVERAGE(OFFSET($H$3,0,0,'Données projet'!$E$11+1,1))</f>
        <v>169.46470423366029</v>
      </c>
      <c r="BJ83" s="59">
        <f t="shared" si="92"/>
        <v>230.78141128389288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22.511774814766078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22.511774814766078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227</v>
      </c>
      <c r="BW83" s="12">
        <f>VLOOKUP(A83,'Données projet'!$A$113:$I$133,9,0)</f>
        <v>3.6</v>
      </c>
      <c r="BX83" s="12">
        <f t="array" ref="BX83">INDEX(BW:BW,MIN(IF(ISNUMBER(BW83:BW279),ROW(BW83:BW279),"")))</f>
        <v>3.6</v>
      </c>
      <c r="BY83" s="12">
        <f>IF('Données projet'!$A$114&gt;35,BY82+BX83-CG82,IF(A83&lt;'Données projet'!$A$114,$BV$205^A83,IF(A83='Données projet'!$A$114,'Données projet'!$B$114,BY82+BX83-CG82)))</f>
        <v>226.99999999999989</v>
      </c>
      <c r="BZ83" s="13">
        <f>BY83*VLOOKUP('Données projet'!$B$12,Paramètres!$A$1:$I$89,3,0)*VLOOKUP('Données projet'!$B$12,Paramètres!$A$1:$I$89,5,0)</f>
        <v>198.30719999999994</v>
      </c>
      <c r="CA83" s="13">
        <f t="shared" si="93"/>
        <v>49.371957679623371</v>
      </c>
      <c r="CB83" s="20">
        <f t="shared" si="64"/>
        <v>431.37453295867726</v>
      </c>
      <c r="CC83" s="59">
        <f t="shared" si="65"/>
        <v>702.10314459736333</v>
      </c>
      <c r="CD83" s="59">
        <f ca="1">AVERAGE(OFFSET($CC$3,0,0,'Données projet'!$E$12+1,1))-AVERAGE(OFFSET($H$3,0,0,'Données projet'!$E$12+1,1))</f>
        <v>342.79161436526499</v>
      </c>
      <c r="CE83" s="59">
        <f t="shared" si="94"/>
        <v>315.50730924873733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13</v>
      </c>
      <c r="CH83" s="16">
        <f>IF(ISNA(VLOOKUP(A83,'Données projet'!$A$113:$I$133,5,0)),0%,VLOOKUP(A83,'Données projet'!$A$113:$I$133,5,0)*VLOOKUP('Données projet'!$B$12,Paramètres!$A$1:$I$89,7,0))</f>
        <v>0.30099999999999999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22.782462971451888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22.782462971451888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192</v>
      </c>
      <c r="CR83" s="12">
        <f>VLOOKUP(A83,'Données projet'!$A$139:$I$159,9,0)</f>
        <v>4.5999999999999996</v>
      </c>
      <c r="CS83" s="12">
        <f t="array" ref="CS83">INDEX(CR:CR,MIN(IF(ISNUMBER(CR83:CR279),ROW(CR83:CR279),"")))</f>
        <v>4.5999999999999996</v>
      </c>
      <c r="CT83" s="12">
        <f>IF('Données projet'!$A$140&gt;35,CT82+CS83-DB82,IF(A83&lt;'Données projet'!$A$140,$CQ$205^A83,IF(A83='Données projet'!$A$140,'Données projet'!$B$140,CT82+CS83-DB82)))</f>
        <v>191.99999999999997</v>
      </c>
      <c r="CU83" s="17">
        <f>CT83*VLOOKUP('Données projet'!$B$13,Paramètres!$A$1:$I$89,3,0)*VLOOKUP('Données projet'!$B$13,Paramètres!$A$1:$I$89,5,0)</f>
        <v>128.7936</v>
      </c>
      <c r="CV83" s="13">
        <f t="shared" si="95"/>
        <v>33.717444631501564</v>
      </c>
      <c r="CW83" s="20">
        <f t="shared" si="67"/>
        <v>283.04006939986522</v>
      </c>
      <c r="CX83" s="59">
        <f t="shared" si="68"/>
        <v>553.76868103855134</v>
      </c>
      <c r="CY83" s="59">
        <f ca="1">AVERAGE(OFFSET($CX$3,0,0,'Données projet'!$E$13+1,1))-AVERAGE(OFFSET($H$3,0,0,'Données projet'!$E$13+1,1))</f>
        <v>201.84651193684252</v>
      </c>
      <c r="CZ83" s="59">
        <f t="shared" si="96"/>
        <v>138.00705940844708</v>
      </c>
      <c r="DA83" s="15">
        <f>IF(ISNA(VLOOKUP(A83,'Données projet'!$A$139:$I$159,3,0)),0,VLOOKUP(A83,'Données projet'!$A$139:$I$159,3,0))</f>
        <v>12</v>
      </c>
      <c r="DB83" s="15">
        <f>IF(ISNA(VLOOKUP(A83,'Données projet'!$A$139:$I$159,4,0)),0,VLOOKUP(A83,'Données projet'!$A$139:$I$159,4,0))</f>
        <v>14</v>
      </c>
      <c r="DC83" s="16">
        <f>IF(ISNA(VLOOKUP(A83,'Données projet'!$A$139:$I$159,5,0)),0%,VLOOKUP(A83,'Données projet'!$A$139:$I$159,5,0)*VLOOKUP('Données projet'!$B$13,Paramètres!$A$1:$I$89,7,0))</f>
        <v>0.371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14.506912658124069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14.506912658124069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1.1368683772161603E-13</v>
      </c>
      <c r="DP83" s="17">
        <f>DO83*VLOOKUP('Données projet'!$B$14,Paramètres!$A$1:$I$89,3,0)*VLOOKUP('Données projet'!$B$14,Paramètres!$A$1:$I$89,5,0)</f>
        <v>8.3355189417488869E-14</v>
      </c>
      <c r="DQ83" s="13">
        <f t="shared" si="97"/>
        <v>1.2790518435140618E-12</v>
      </c>
      <c r="DR83" s="20">
        <f t="shared" si="70"/>
        <v>2.3728589156891171E-12</v>
      </c>
      <c r="DS83" s="59">
        <f t="shared" si="71"/>
        <v>270.72861163868851</v>
      </c>
      <c r="DT83" s="59">
        <f ca="1">AVERAGE(OFFSET($DS$3,0,0,'Données projet'!$E$14+1,1))-AVERAGE(OFFSET($H$3,0,0,'Données projet'!$E$14+1,1))</f>
        <v>242.21240859696931</v>
      </c>
      <c r="DU83" s="59">
        <f t="shared" si="98"/>
        <v>340.92165104349192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42.424955645729021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42.424955645729021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192</v>
      </c>
      <c r="EH83" s="12">
        <f>VLOOKUP(A83,'Données projet'!$A$191:$I$211,9,0)</f>
        <v>4.5999999999999996</v>
      </c>
      <c r="EI83" s="12">
        <f t="array" ref="EI83">INDEX(EH:EH,MIN(IF(ISNUMBER(EH83:EH279),ROW(EH83:EH279),"")))</f>
        <v>4.5999999999999996</v>
      </c>
      <c r="EJ83" s="12">
        <f>IF('Données projet'!$A$192&gt;35,EJ82+EI83-ER82,IF(A83&lt;'Données projet'!$A$192,$EG$205^A83,IF(A83='Données projet'!$A$192,'Données projet'!$B$192,EJ82+EI83-ER82)))</f>
        <v>191.99999999999997</v>
      </c>
      <c r="EK83" s="17">
        <f>EJ83*VLOOKUP('Données projet'!$B$15,Paramètres!$A$1:$I$89,3,0)*VLOOKUP('Données projet'!$B$15,Paramètres!$A$1:$I$89,5,0)</f>
        <v>185.70239999999998</v>
      </c>
      <c r="EL83" s="13">
        <f t="shared" si="99"/>
        <v>46.588553069776829</v>
      </c>
      <c r="EM83" s="20">
        <f t="shared" si="73"/>
        <v>404.57340992986127</v>
      </c>
      <c r="EN83" s="59">
        <f t="shared" si="74"/>
        <v>675.30202156854739</v>
      </c>
      <c r="EO83" s="59">
        <f ca="1">AVERAGE(OFFSET($EN$3,0,0,'Données projet'!$E$15+1,1))-AVERAGE(OFFSET($H$3,0,0,'Données projet'!$E$15+1,1))</f>
        <v>331.7059599630698</v>
      </c>
      <c r="EP83" s="59">
        <f t="shared" si="100"/>
        <v>173.19148969173838</v>
      </c>
      <c r="EQ83" s="15">
        <f>IF(ISNA(VLOOKUP(A83,'Données projet'!$A$191:$I$211,3,0)),0,VLOOKUP(A83,'Données projet'!$A$191:$I$211,3,0))</f>
        <v>12</v>
      </c>
      <c r="ER83" s="15">
        <f>IF(ISNA(VLOOKUP(A83,'Données projet'!$A$191:$I$211,4,0)),0,VLOOKUP(A83,'Données projet'!$A$191:$I$211,4,0))</f>
        <v>14</v>
      </c>
      <c r="ES83" s="16">
        <f>IF(ISNA(VLOOKUP(A83,'Données projet'!$A$191:$I$211,5,0)),0%,VLOOKUP(A83,'Données projet'!$A$191:$I$211,5,0)*VLOOKUP('Données projet'!$B$15,Paramètres!$A$1:$I$89,7,0))</f>
        <v>0.129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1.9309949776581907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1.9309949776581907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192</v>
      </c>
      <c r="FC83" s="12">
        <f>VLOOKUP(A83,'Données projet'!$A$217:$I$237,9,0)</f>
        <v>4.5999999999999996</v>
      </c>
      <c r="FD83" s="12">
        <f t="array" ref="FD83">INDEX(FC:FC,MIN(IF(ISNUMBER(FC83:FC279),ROW(FC83:FC279),"")))</f>
        <v>4.5999999999999996</v>
      </c>
      <c r="FE83" s="12">
        <f>IF('Données projet'!$A$218&gt;35,FE82+FD83-FM82,IF(A83&lt;'Données projet'!$A$218,$FB$205^A83,IF(A83='Données projet'!$A$218,'Données projet'!$B$218,FE82+FD83-FM82)))</f>
        <v>191.99999999999997</v>
      </c>
      <c r="FF83" s="17">
        <f>FE83*VLOOKUP('Données projet'!$B$16,Paramètres!$A$1:$I$89,3,0)*VLOOKUP('Données projet'!$B$16,Paramètres!$A$1:$I$89,5,0)</f>
        <v>206.66879999999995</v>
      </c>
      <c r="FG83" s="13">
        <f t="shared" si="101"/>
        <v>51.206958627992705</v>
      </c>
      <c r="FH83" s="20">
        <f t="shared" si="76"/>
        <v>449.1336129437538</v>
      </c>
      <c r="FI83" s="59">
        <f t="shared" si="77"/>
        <v>719.86222458243992</v>
      </c>
      <c r="FJ83" s="59">
        <f ca="1">AVERAGE(OFFSET($FI$3,0,0,'Données projet'!$E$16+1,1))-AVERAGE(OFFSET($H$3,0,0,'Données projet'!$E$16+1,1))</f>
        <v>360.86062459677004</v>
      </c>
      <c r="FK83" s="59">
        <f t="shared" si="102"/>
        <v>186.0840067781198</v>
      </c>
      <c r="FL83" s="15">
        <f>IF(ISNA(VLOOKUP(A83,'Données projet'!$A$217:$I$237,3,0)),0,VLOOKUP(A83,'Données projet'!$A$217:$I$237,3,0))</f>
        <v>12</v>
      </c>
      <c r="FM83" s="15">
        <f>IF(ISNA(VLOOKUP(A83,'Données projet'!$A$217:$I$237,4,0)),0,VLOOKUP(A83,'Données projet'!$A$217:$I$237,4,0))</f>
        <v>14</v>
      </c>
      <c r="FN83" s="16">
        <f>IF(ISNA(VLOOKUP(A83,'Données projet'!$A$217:$I$237,5,0)),0%,VLOOKUP(A83,'Données projet'!$A$217:$I$237,5,0)*VLOOKUP('Données projet'!$B$16,Paramètres!$A$1:$I$89,7,0))</f>
        <v>0.215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16.217244620235693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16.217244620235693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261</v>
      </c>
      <c r="FX83" s="12">
        <f>VLOOKUP(A83,'Données projet'!$A$243:$I$263,9,0)</f>
        <v>6</v>
      </c>
      <c r="FY83" s="12">
        <f t="array" ref="FY83">INDEX(FX:FX,MIN(IF(ISNUMBER(FX83:FX279),ROW(FX83:FX279),"")))</f>
        <v>6</v>
      </c>
      <c r="FZ83" s="12">
        <f>IF('Données projet'!$A$244&gt;35,FZ82+FY83-GH82,IF(A83&lt;'Données projet'!$A$244,$FW$205^A83,IF(A83='Données projet'!$A$244,'Données projet'!$B$244,FZ82+FY83-GH82)))</f>
        <v>260.99999999999989</v>
      </c>
      <c r="GA83" s="17">
        <f>FZ83*VLOOKUP('Données projet'!$B$17,Paramètres!$A$1:$I$89,3,0)*VLOOKUP('Données projet'!$B$17,Paramètres!$A$1:$I$89,5,0)</f>
        <v>264.65399999999988</v>
      </c>
      <c r="GB83" s="13">
        <f t="shared" si="103"/>
        <v>63.71339601121106</v>
      </c>
      <c r="GC83" s="20">
        <f t="shared" si="79"/>
        <v>571.90654805285897</v>
      </c>
      <c r="GD83" s="59">
        <f t="shared" si="80"/>
        <v>842.63515969154514</v>
      </c>
      <c r="GE83" s="59">
        <f ca="1">AVERAGE(OFFSET($GD$3,0,0,'Données projet'!$E$17+1,1))-AVERAGE(OFFSET($H$3,0,0,'Données projet'!$E$17+1,1))</f>
        <v>448.73339628506784</v>
      </c>
      <c r="GF83" s="59">
        <f t="shared" si="104"/>
        <v>273.35778700650803</v>
      </c>
      <c r="GG83" s="15">
        <f>IF(ISNA(VLOOKUP(A83,'Données projet'!$A$243:$I$263,3,0)),0,VLOOKUP(A83,'Données projet'!$A$243:$I$263,3,0))</f>
        <v>13</v>
      </c>
      <c r="GH83" s="15">
        <f>IF(ISNA(VLOOKUP(A83,'Données projet'!$A$243:$I$263,4,0)),0,VLOOKUP(A83,'Données projet'!$A$243:$I$263,4,0))</f>
        <v>21</v>
      </c>
      <c r="GI83" s="16">
        <f>IF(ISNA(VLOOKUP(A83,'Données projet'!$A$243:$I$263,5,0)),0%,VLOOKUP(A83,'Données projet'!$A$243:$I$263,5,0)*VLOOKUP('Données projet'!$B$17,Paramètres!$A$1:$I$89,7,0))</f>
        <v>0.25800000000000001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25.998200996372379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25.998200996372379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5.8</v>
      </c>
      <c r="N84" s="13">
        <f>IF('Données projet'!$A$36&gt;35,N83+M84-V83,IF(A84&lt;'Données projet'!$A$36,$K$205^A84,IF(A84='Données projet'!$A$36,'Données projet'!$B$36,N83+M84-V83)))</f>
        <v>245.7999999999999</v>
      </c>
      <c r="O84" s="13">
        <f>N84*VLOOKUP('Données projet'!$B$9,Paramètres!$A$1:$I$89,3,0)*VLOOKUP('Données projet'!$B$9,Paramètres!$A$1:$I$89,5,0)</f>
        <v>222.3998399999999</v>
      </c>
      <c r="P84" s="13">
        <f t="shared" si="87"/>
        <v>54.636149281681448</v>
      </c>
      <c r="Q84" s="20">
        <f t="shared" si="54"/>
        <v>482.50434799892832</v>
      </c>
      <c r="R84" s="59">
        <f t="shared" si="55"/>
        <v>753.62510102242982</v>
      </c>
      <c r="S84" s="59">
        <f ca="1">AVERAGE(OFFSET($R$3,0,0,'Données projet'!$E$9+1,1))-AVERAGE(OFFSET($H$3,0,0,'Données projet'!$E$9+1,1))</f>
        <v>408.51124670343137</v>
      </c>
      <c r="T84" s="59">
        <f t="shared" si="88"/>
        <v>250.47702091764884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22.743488364090464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22.743488364090464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-2.8421709430404007E-13</v>
      </c>
      <c r="AJ84" s="13">
        <f>AI84*VLOOKUP('Données projet'!$B$10,Paramètres!$A$1:$I$89,3,0)*VLOOKUP('Données projet'!$B$10,Paramètres!$A$1:$I$89,5,0)</f>
        <v>-2.2612312022829427E-13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327.22763817565902</v>
      </c>
      <c r="AO84" s="59">
        <f t="shared" si="90"/>
        <v>311.68541696405975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101.87782924931059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101.87782924931059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2.8421709430404007E-14</v>
      </c>
      <c r="BE84" s="13">
        <f>BD84*VLOOKUP('Données projet'!$B$11,Paramètres!$A$1:$I$89,3,0)*VLOOKUP('Données projet'!$B$11,Paramètres!$A$1:$I$89,5,0)</f>
        <v>1.8178525351686402E-14</v>
      </c>
      <c r="BF84" s="13">
        <f t="shared" si="91"/>
        <v>3.3304129621647644E-13</v>
      </c>
      <c r="BG84" s="20">
        <f t="shared" si="61"/>
        <v>6.1170785589788349E-13</v>
      </c>
      <c r="BH84" s="59">
        <f t="shared" si="62"/>
        <v>271.12075302350206</v>
      </c>
      <c r="BI84" s="59">
        <f ca="1">AVERAGE(OFFSET($BH$3,0,0,'Données projet'!$E$11+1,1))-AVERAGE(OFFSET($H$3,0,0,'Données projet'!$E$11+1,1))</f>
        <v>169.46470423366029</v>
      </c>
      <c r="BJ84" s="59">
        <f t="shared" si="92"/>
        <v>230.78141128389288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22.070332641475346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22.070332641475346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3.2</v>
      </c>
      <c r="BY84" s="12">
        <f>IF('Données projet'!$A$114&gt;35,BY83+BX84-CG83,IF(A84&lt;'Données projet'!$A$114,$BV$205^A84,IF(A84='Données projet'!$A$114,'Données projet'!$B$114,BY83+BX84-CG83)))</f>
        <v>217.19999999999987</v>
      </c>
      <c r="BZ84" s="13">
        <f>BY84*VLOOKUP('Données projet'!$B$12,Paramètres!$A$1:$I$89,3,0)*VLOOKUP('Données projet'!$B$12,Paramètres!$A$1:$I$89,5,0)</f>
        <v>189.74591999999993</v>
      </c>
      <c r="CA84" s="13">
        <f t="shared" si="93"/>
        <v>47.483774996623161</v>
      </c>
      <c r="CB84" s="20">
        <f t="shared" si="64"/>
        <v>413.17505211911856</v>
      </c>
      <c r="CC84" s="59">
        <f t="shared" si="65"/>
        <v>684.29580514262</v>
      </c>
      <c r="CD84" s="59">
        <f ca="1">AVERAGE(OFFSET($CC$3,0,0,'Données projet'!$E$12+1,1))-AVERAGE(OFFSET($H$3,0,0,'Données projet'!$E$12+1,1))</f>
        <v>342.79161436526499</v>
      </c>
      <c r="CE84" s="59">
        <f t="shared" si="94"/>
        <v>315.50730924873733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22.335712768512021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22.335712768512021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4.4000000000000004</v>
      </c>
      <c r="CT84" s="12">
        <f>IF('Données projet'!$A$140&gt;35,CT83+CS84-DB83,IF(A84&lt;'Données projet'!$A$140,$CQ$205^A84,IF(A84='Données projet'!$A$140,'Données projet'!$B$140,CT83+CS84-DB83)))</f>
        <v>182.39999999999998</v>
      </c>
      <c r="CU84" s="17">
        <f>CT84*VLOOKUP('Données projet'!$B$13,Paramètres!$A$1:$I$89,3,0)*VLOOKUP('Données projet'!$B$13,Paramètres!$A$1:$I$89,5,0)</f>
        <v>122.35391999999999</v>
      </c>
      <c r="CV84" s="13">
        <f t="shared" si="95"/>
        <v>32.223390225253354</v>
      </c>
      <c r="CW84" s="20">
        <f t="shared" si="67"/>
        <v>269.2221486423162</v>
      </c>
      <c r="CX84" s="59">
        <f t="shared" si="68"/>
        <v>540.34290166581764</v>
      </c>
      <c r="CY84" s="59">
        <f ca="1">AVERAGE(OFFSET($CX$3,0,0,'Données projet'!$E$13+1,1))-AVERAGE(OFFSET($H$3,0,0,'Données projet'!$E$13+1,1))</f>
        <v>201.84651193684252</v>
      </c>
      <c r="CZ84" s="59">
        <f t="shared" si="96"/>
        <v>138.00705940844708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14.222440949241276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14.222440949241276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1.1368683772161603E-13</v>
      </c>
      <c r="DP84" s="17">
        <f>DO84*VLOOKUP('Données projet'!$B$14,Paramètres!$A$1:$I$89,3,0)*VLOOKUP('Données projet'!$B$14,Paramètres!$A$1:$I$89,5,0)</f>
        <v>8.3355189417488869E-14</v>
      </c>
      <c r="DQ84" s="13">
        <f t="shared" si="97"/>
        <v>1.2790518435140618E-12</v>
      </c>
      <c r="DR84" s="20">
        <f t="shared" si="70"/>
        <v>2.3728589156891171E-12</v>
      </c>
      <c r="DS84" s="59">
        <f t="shared" si="71"/>
        <v>271.12075302350382</v>
      </c>
      <c r="DT84" s="59">
        <f ca="1">AVERAGE(OFFSET($DS$3,0,0,'Données projet'!$E$14+1,1))-AVERAGE(OFFSET($H$3,0,0,'Données projet'!$E$14+1,1))</f>
        <v>242.21240859696931</v>
      </c>
      <c r="DU84" s="59">
        <f t="shared" si="98"/>
        <v>340.92165104349192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41.59302814218411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41.59302814218411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4.4000000000000004</v>
      </c>
      <c r="EJ84" s="12">
        <f>IF('Données projet'!$A$192&gt;35,EJ83+EI84-ER83,IF(A84&lt;'Données projet'!$A$192,$EG$205^A84,IF(A84='Données projet'!$A$192,'Données projet'!$B$192,EJ83+EI84-ER83)))</f>
        <v>182.39999999999998</v>
      </c>
      <c r="EK84" s="17">
        <f>EJ84*VLOOKUP('Données projet'!$B$15,Paramètres!$A$1:$I$89,3,0)*VLOOKUP('Données projet'!$B$15,Paramètres!$A$1:$I$89,5,0)</f>
        <v>176.41727999999998</v>
      </c>
      <c r="EL84" s="13">
        <f t="shared" si="99"/>
        <v>44.524166703747255</v>
      </c>
      <c r="EM84" s="20">
        <f t="shared" si="73"/>
        <v>384.8063530090264</v>
      </c>
      <c r="EN84" s="59">
        <f t="shared" si="74"/>
        <v>655.92710603252783</v>
      </c>
      <c r="EO84" s="59">
        <f ca="1">AVERAGE(OFFSET($EN$3,0,0,'Données projet'!$E$15+1,1))-AVERAGE(OFFSET($H$3,0,0,'Données projet'!$E$15+1,1))</f>
        <v>331.7059599630698</v>
      </c>
      <c r="EP84" s="59">
        <f t="shared" si="100"/>
        <v>173.19148969173838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1.8931293439369528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1.8931293439369528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4.4000000000000004</v>
      </c>
      <c r="FE84" s="12">
        <f>IF('Données projet'!$A$218&gt;35,FE83+FD84-FM83,IF(A84&lt;'Données projet'!$A$218,$FB$205^A84,IF(A84='Données projet'!$A$218,'Données projet'!$B$218,FE83+FD84-FM83)))</f>
        <v>182.39999999999998</v>
      </c>
      <c r="FF84" s="17">
        <f>FE84*VLOOKUP('Données projet'!$B$16,Paramètres!$A$1:$I$89,3,0)*VLOOKUP('Données projet'!$B$16,Paramètres!$A$1:$I$89,5,0)</f>
        <v>196.33535999999998</v>
      </c>
      <c r="FG84" s="13">
        <f t="shared" si="101"/>
        <v>48.937925995037986</v>
      </c>
      <c r="FH84" s="20">
        <f t="shared" si="76"/>
        <v>427.18430644135782</v>
      </c>
      <c r="FI84" s="59">
        <f t="shared" si="77"/>
        <v>698.30505946485926</v>
      </c>
      <c r="FJ84" s="59">
        <f ca="1">AVERAGE(OFFSET($FI$3,0,0,'Données projet'!$E$16+1,1))-AVERAGE(OFFSET($H$3,0,0,'Données projet'!$E$16+1,1))</f>
        <v>360.86062459677004</v>
      </c>
      <c r="FK84" s="59">
        <f t="shared" si="102"/>
        <v>186.0840067781198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15.899234344775381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15.899234344775381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5.8</v>
      </c>
      <c r="FZ84" s="12">
        <f>IF('Données projet'!$A$244&gt;35,FZ83+FY84-GH83,IF(A84&lt;'Données projet'!$A$244,$FW$205^A84,IF(A84='Données projet'!$A$244,'Données projet'!$B$244,FZ83+FY84-GH83)))</f>
        <v>245.7999999999999</v>
      </c>
      <c r="GA84" s="17">
        <f>FZ84*VLOOKUP('Données projet'!$B$17,Paramètres!$A$1:$I$89,3,0)*VLOOKUP('Données projet'!$B$17,Paramètres!$A$1:$I$89,5,0)</f>
        <v>249.24119999999988</v>
      </c>
      <c r="GB84" s="13">
        <f t="shared" si="103"/>
        <v>60.42342651744687</v>
      </c>
      <c r="GC84" s="20">
        <f t="shared" si="79"/>
        <v>539.3325578512198</v>
      </c>
      <c r="GD84" s="59">
        <f t="shared" si="80"/>
        <v>810.45331087472118</v>
      </c>
      <c r="GE84" s="59">
        <f ca="1">AVERAGE(OFFSET($GD$3,0,0,'Données projet'!$E$17+1,1))-AVERAGE(OFFSET($H$3,0,0,'Données projet'!$E$17+1,1))</f>
        <v>448.73339628506784</v>
      </c>
      <c r="GF84" s="59">
        <f t="shared" si="104"/>
        <v>273.35778700650803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25.488392132170343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25.488392132170343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5.8</v>
      </c>
      <c r="N85" s="13">
        <f>IF('Données projet'!$A$36&gt;35,N84+M85-V84,IF(A85&lt;'Données projet'!$A$36,$K$205^A85,IF(A85='Données projet'!$A$36,'Données projet'!$B$36,N84+M85-V84)))</f>
        <v>251.59999999999991</v>
      </c>
      <c r="O85" s="13">
        <f>N85*VLOOKUP('Données projet'!$B$9,Paramètres!$A$1:$I$89,3,0)*VLOOKUP('Données projet'!$B$9,Paramètres!$A$1:$I$89,5,0)</f>
        <v>227.64767999999992</v>
      </c>
      <c r="P85" s="13">
        <f t="shared" si="87"/>
        <v>55.773751036838313</v>
      </c>
      <c r="Q85" s="20">
        <f t="shared" si="54"/>
        <v>493.62565905582659</v>
      </c>
      <c r="R85" s="59">
        <f t="shared" si="55"/>
        <v>765.13175068781356</v>
      </c>
      <c r="S85" s="59">
        <f ca="1">AVERAGE(OFFSET($R$3,0,0,'Données projet'!$E$9+1,1))-AVERAGE(OFFSET($H$3,0,0,'Données projet'!$E$9+1,1))</f>
        <v>408.51124670343137</v>
      </c>
      <c r="T85" s="59">
        <f t="shared" si="88"/>
        <v>250.47702091764884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22.297502429428789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22.297502429428789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-2.8421709430404007E-13</v>
      </c>
      <c r="AJ85" s="13">
        <f>AI85*VLOOKUP('Données projet'!$B$10,Paramètres!$A$1:$I$89,3,0)*VLOOKUP('Données projet'!$B$10,Paramètres!$A$1:$I$89,5,0)</f>
        <v>-2.2612312022829427E-13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327.22763817565902</v>
      </c>
      <c r="AO85" s="59">
        <f t="shared" si="90"/>
        <v>311.68541696405975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99.880067157071707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99.880067157071707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2.8421709430404007E-14</v>
      </c>
      <c r="BE85" s="13">
        <f>BD85*VLOOKUP('Données projet'!$B$11,Paramètres!$A$1:$I$89,3,0)*VLOOKUP('Données projet'!$B$11,Paramètres!$A$1:$I$89,5,0)</f>
        <v>1.8178525351686402E-14</v>
      </c>
      <c r="BF85" s="13">
        <f t="shared" si="91"/>
        <v>3.3304129621647644E-13</v>
      </c>
      <c r="BG85" s="20">
        <f t="shared" si="61"/>
        <v>6.1170785589788349E-13</v>
      </c>
      <c r="BH85" s="59">
        <f t="shared" si="62"/>
        <v>271.50609163198766</v>
      </c>
      <c r="BI85" s="59">
        <f ca="1">AVERAGE(OFFSET($BH$3,0,0,'Données projet'!$E$11+1,1))-AVERAGE(OFFSET($H$3,0,0,'Données projet'!$E$11+1,1))</f>
        <v>169.46470423366029</v>
      </c>
      <c r="BJ85" s="59">
        <f t="shared" si="92"/>
        <v>230.78141128389288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21.637546879949706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21.637546879949706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3.2</v>
      </c>
      <c r="BY85" s="12">
        <f>IF('Données projet'!$A$114&gt;35,BY84+BX85-CG84,IF(A85&lt;'Données projet'!$A$114,$BV$205^A85,IF(A85='Données projet'!$A$114,'Données projet'!$B$114,BY84+BX85-CG84)))</f>
        <v>220.39999999999986</v>
      </c>
      <c r="BZ85" s="13">
        <f>BY85*VLOOKUP('Données projet'!$B$12,Paramètres!$A$1:$I$89,3,0)*VLOOKUP('Données projet'!$B$12,Paramètres!$A$1:$I$89,5,0)</f>
        <v>192.54143999999991</v>
      </c>
      <c r="CA85" s="13">
        <f t="shared" si="93"/>
        <v>48.101393902059698</v>
      </c>
      <c r="CB85" s="20">
        <f t="shared" si="64"/>
        <v>419.11960237942048</v>
      </c>
      <c r="CC85" s="59">
        <f t="shared" si="65"/>
        <v>690.62569401140752</v>
      </c>
      <c r="CD85" s="59">
        <f ca="1">AVERAGE(OFFSET($CC$3,0,0,'Données projet'!$E$12+1,1))-AVERAGE(OFFSET($H$3,0,0,'Données projet'!$E$12+1,1))</f>
        <v>342.79161436526499</v>
      </c>
      <c r="CE85" s="59">
        <f t="shared" si="94"/>
        <v>315.50730924873733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21.897723064561085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21.897723064561085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4.4000000000000004</v>
      </c>
      <c r="CT85" s="12">
        <f>IF('Données projet'!$A$140&gt;35,CT84+CS85-DB84,IF(A85&lt;'Données projet'!$A$140,$CQ$205^A85,IF(A85='Données projet'!$A$140,'Données projet'!$B$140,CT84+CS85-DB84)))</f>
        <v>186.79999999999998</v>
      </c>
      <c r="CU85" s="17">
        <f>CT85*VLOOKUP('Données projet'!$B$13,Paramètres!$A$1:$I$89,3,0)*VLOOKUP('Données projet'!$B$13,Paramètres!$A$1:$I$89,5,0)</f>
        <v>125.30544</v>
      </c>
      <c r="CV85" s="13">
        <f t="shared" si="95"/>
        <v>32.909273223300524</v>
      </c>
      <c r="CW85" s="20">
        <f t="shared" si="67"/>
        <v>275.55729219724839</v>
      </c>
      <c r="CX85" s="59">
        <f t="shared" si="68"/>
        <v>547.06338382923536</v>
      </c>
      <c r="CY85" s="59">
        <f ca="1">AVERAGE(OFFSET($CX$3,0,0,'Données projet'!$E$13+1,1))-AVERAGE(OFFSET($H$3,0,0,'Données projet'!$E$13+1,1))</f>
        <v>201.84651193684252</v>
      </c>
      <c r="CZ85" s="59">
        <f t="shared" si="96"/>
        <v>138.00705940844708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13.943547557059066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13.943547557059066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1.1368683772161603E-13</v>
      </c>
      <c r="DP85" s="17">
        <f>DO85*VLOOKUP('Données projet'!$B$14,Paramètres!$A$1:$I$89,3,0)*VLOOKUP('Données projet'!$B$14,Paramètres!$A$1:$I$89,5,0)</f>
        <v>8.3355189417488869E-14</v>
      </c>
      <c r="DQ85" s="13">
        <f t="shared" si="97"/>
        <v>1.2790518435140618E-12</v>
      </c>
      <c r="DR85" s="20">
        <f t="shared" si="70"/>
        <v>2.3728589156891171E-12</v>
      </c>
      <c r="DS85" s="59">
        <f t="shared" si="71"/>
        <v>271.50609163198942</v>
      </c>
      <c r="DT85" s="59">
        <f ca="1">AVERAGE(OFFSET($DS$3,0,0,'Données projet'!$E$14+1,1))-AVERAGE(OFFSET($H$3,0,0,'Données projet'!$E$14+1,1))</f>
        <v>242.21240859696931</v>
      </c>
      <c r="DU85" s="59">
        <f t="shared" si="98"/>
        <v>340.92165104349192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40.77741422955804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40.77741422955804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4.4000000000000004</v>
      </c>
      <c r="EJ85" s="12">
        <f>IF('Données projet'!$A$192&gt;35,EJ84+EI85-ER84,IF(A85&lt;'Données projet'!$A$192,$EG$205^A85,IF(A85='Données projet'!$A$192,'Données projet'!$B$192,EJ84+EI85-ER84)))</f>
        <v>186.79999999999998</v>
      </c>
      <c r="EK85" s="17">
        <f>EJ85*VLOOKUP('Données projet'!$B$15,Paramètres!$A$1:$I$89,3,0)*VLOOKUP('Données projet'!$B$15,Paramètres!$A$1:$I$89,5,0)</f>
        <v>180.67295999999999</v>
      </c>
      <c r="EL85" s="13">
        <f t="shared" si="99"/>
        <v>45.471874835351194</v>
      </c>
      <c r="EM85" s="20">
        <f t="shared" si="73"/>
        <v>393.86892067156992</v>
      </c>
      <c r="EN85" s="59">
        <f t="shared" si="74"/>
        <v>665.37501230355701</v>
      </c>
      <c r="EO85" s="59">
        <f ca="1">AVERAGE(OFFSET($EN$3,0,0,'Données projet'!$E$15+1,1))-AVERAGE(OFFSET($H$3,0,0,'Données projet'!$E$15+1,1))</f>
        <v>331.7059599630698</v>
      </c>
      <c r="EP85" s="59">
        <f t="shared" si="100"/>
        <v>173.19148969173838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1.8560062321972324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1.8560062321972324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4.4000000000000004</v>
      </c>
      <c r="FE85" s="12">
        <f>IF('Données projet'!$A$218&gt;35,FE84+FD85-FM84,IF(A85&lt;'Données projet'!$A$218,$FB$205^A85,IF(A85='Données projet'!$A$218,'Données projet'!$B$218,FE84+FD85-FM84)))</f>
        <v>186.79999999999998</v>
      </c>
      <c r="FF85" s="17">
        <f>FE85*VLOOKUP('Données projet'!$B$16,Paramètres!$A$1:$I$89,3,0)*VLOOKUP('Données projet'!$B$16,Paramètres!$A$1:$I$89,5,0)</f>
        <v>201.07151999999996</v>
      </c>
      <c r="FG85" s="13">
        <f t="shared" si="101"/>
        <v>49.97958210772665</v>
      </c>
      <c r="FH85" s="20">
        <f t="shared" si="76"/>
        <v>437.24733617095717</v>
      </c>
      <c r="FI85" s="59">
        <f t="shared" si="77"/>
        <v>708.7534278029442</v>
      </c>
      <c r="FJ85" s="59">
        <f ca="1">AVERAGE(OFFSET($FI$3,0,0,'Données projet'!$E$16+1,1))-AVERAGE(OFFSET($H$3,0,0,'Données projet'!$E$16+1,1))</f>
        <v>360.86062459677004</v>
      </c>
      <c r="FK85" s="59">
        <f t="shared" si="102"/>
        <v>186.0840067781198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15.58746005684973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15.58746005684973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5.8</v>
      </c>
      <c r="FZ85" s="12">
        <f>IF('Données projet'!$A$244&gt;35,FZ84+FY85-GH84,IF(A85&lt;'Données projet'!$A$244,$FW$205^A85,IF(A85='Données projet'!$A$244,'Données projet'!$B$244,FZ84+FY85-GH84)))</f>
        <v>251.59999999999991</v>
      </c>
      <c r="GA85" s="17">
        <f>FZ85*VLOOKUP('Données projet'!$B$17,Paramètres!$A$1:$I$89,3,0)*VLOOKUP('Données projet'!$B$17,Paramètres!$A$1:$I$89,5,0)</f>
        <v>255.12239999999991</v>
      </c>
      <c r="GB85" s="13">
        <f t="shared" si="103"/>
        <v>61.681527554261443</v>
      </c>
      <c r="GC85" s="20">
        <f t="shared" si="79"/>
        <v>551.7668404903385</v>
      </c>
      <c r="GD85" s="59">
        <f t="shared" si="80"/>
        <v>823.27293212232553</v>
      </c>
      <c r="GE85" s="59">
        <f ca="1">AVERAGE(OFFSET($GD$3,0,0,'Données projet'!$E$17+1,1))-AVERAGE(OFFSET($H$3,0,0,'Données projet'!$E$17+1,1))</f>
        <v>448.73339628506784</v>
      </c>
      <c r="GF85" s="59">
        <f t="shared" si="104"/>
        <v>273.35778700650803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24.988580308842607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24.988580308842607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5.8</v>
      </c>
      <c r="N86" s="13">
        <f>IF('Données projet'!$A$36&gt;35,N85+M86-V85,IF(A86&lt;'Données projet'!$A$36,$K$205^A86,IF(A86='Données projet'!$A$36,'Données projet'!$B$36,N85+M86-V85)))</f>
        <v>257.39999999999992</v>
      </c>
      <c r="O86" s="13">
        <f>N86*VLOOKUP('Données projet'!$B$9,Paramètres!$A$1:$I$89,3,0)*VLOOKUP('Données projet'!$B$9,Paramètres!$A$1:$I$89,5,0)</f>
        <v>232.89551999999992</v>
      </c>
      <c r="P86" s="13">
        <f t="shared" si="87"/>
        <v>56.908304063818662</v>
      </c>
      <c r="Q86" s="20">
        <f t="shared" si="54"/>
        <v>504.74166024448397</v>
      </c>
      <c r="R86" s="59">
        <f t="shared" si="55"/>
        <v>776.62640572158739</v>
      </c>
      <c r="S86" s="59">
        <f ca="1">AVERAGE(OFFSET($R$3,0,0,'Données projet'!$E$9+1,1))-AVERAGE(OFFSET($H$3,0,0,'Données projet'!$E$9+1,1))</f>
        <v>408.51124670343137</v>
      </c>
      <c r="T86" s="59">
        <f t="shared" si="88"/>
        <v>250.47702091764884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21.860262006921271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21.860262006921271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-2.8421709430404007E-13</v>
      </c>
      <c r="AJ86" s="13">
        <f>AI86*VLOOKUP('Données projet'!$B$10,Paramètres!$A$1:$I$89,3,0)*VLOOKUP('Données projet'!$B$10,Paramètres!$A$1:$I$89,5,0)</f>
        <v>-2.2612312022829427E-13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327.22763817565902</v>
      </c>
      <c r="AO86" s="59">
        <f t="shared" si="90"/>
        <v>311.68541696405975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97.921479960947067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97.921479960947067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2.8421709430404007E-14</v>
      </c>
      <c r="BE86" s="13">
        <f>BD86*VLOOKUP('Données projet'!$B$11,Paramètres!$A$1:$I$89,3,0)*VLOOKUP('Données projet'!$B$11,Paramètres!$A$1:$I$89,5,0)</f>
        <v>1.8178525351686402E-14</v>
      </c>
      <c r="BF86" s="13">
        <f t="shared" si="91"/>
        <v>3.3304129621647644E-13</v>
      </c>
      <c r="BG86" s="20">
        <f t="shared" si="61"/>
        <v>6.1170785589788349E-13</v>
      </c>
      <c r="BH86" s="59">
        <f t="shared" si="62"/>
        <v>271.8847454771041</v>
      </c>
      <c r="BI86" s="59">
        <f ca="1">AVERAGE(OFFSET($BH$3,0,0,'Données projet'!$E$11+1,1))-AVERAGE(OFFSET($H$3,0,0,'Données projet'!$E$11+1,1))</f>
        <v>169.46470423366029</v>
      </c>
      <c r="BJ86" s="59">
        <f t="shared" si="92"/>
        <v>230.78141128389288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21.213247783234333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21.213247783234333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3.2</v>
      </c>
      <c r="BY86" s="12">
        <f>IF('Données projet'!$A$114&gt;35,BY85+BX86-CG85,IF(A86&lt;'Données projet'!$A$114,$BV$205^A86,IF(A86='Données projet'!$A$114,'Données projet'!$B$114,BY85+BX86-CG85)))</f>
        <v>223.59999999999985</v>
      </c>
      <c r="BZ86" s="13">
        <f>BY86*VLOOKUP('Données projet'!$B$12,Paramètres!$A$1:$I$89,3,0)*VLOOKUP('Données projet'!$B$12,Paramètres!$A$1:$I$89,5,0)</f>
        <v>195.33695999999989</v>
      </c>
      <c r="CA86" s="13">
        <f t="shared" si="93"/>
        <v>48.717969863105445</v>
      </c>
      <c r="CB86" s="20">
        <f t="shared" si="64"/>
        <v>425.06233617824182</v>
      </c>
      <c r="CC86" s="59">
        <f t="shared" si="65"/>
        <v>696.9470816553453</v>
      </c>
      <c r="CD86" s="59">
        <f ca="1">AVERAGE(OFFSET($CC$3,0,0,'Données projet'!$E$12+1,1))-AVERAGE(OFFSET($H$3,0,0,'Données projet'!$E$12+1,1))</f>
        <v>342.79161436526499</v>
      </c>
      <c r="CE86" s="59">
        <f t="shared" si="94"/>
        <v>315.50730924873733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21.468322071557285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21.468322071557285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4.4000000000000004</v>
      </c>
      <c r="CT86" s="12">
        <f>IF('Données projet'!$A$140&gt;35,CT85+CS86-DB85,IF(A86&lt;'Données projet'!$A$140,$CQ$205^A86,IF(A86='Données projet'!$A$140,'Données projet'!$B$140,CT85+CS86-DB85)))</f>
        <v>191.2</v>
      </c>
      <c r="CU86" s="17">
        <f>CT86*VLOOKUP('Données projet'!$B$13,Paramètres!$A$1:$I$89,3,0)*VLOOKUP('Données projet'!$B$13,Paramètres!$A$1:$I$89,5,0)</f>
        <v>128.25695999999999</v>
      </c>
      <c r="CV86" s="13">
        <f t="shared" si="95"/>
        <v>33.593278089661865</v>
      </c>
      <c r="CW86" s="20">
        <f t="shared" si="67"/>
        <v>281.88916467282769</v>
      </c>
      <c r="CX86" s="59">
        <f t="shared" si="68"/>
        <v>553.77391014993123</v>
      </c>
      <c r="CY86" s="59">
        <f ca="1">AVERAGE(OFFSET($CX$3,0,0,'Données projet'!$E$13+1,1))-AVERAGE(OFFSET($H$3,0,0,'Données projet'!$E$13+1,1))</f>
        <v>201.84651193684252</v>
      </c>
      <c r="CZ86" s="59">
        <f t="shared" si="96"/>
        <v>138.00705940844708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13.670123094189377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13.670123094189377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1.1368683772161603E-13</v>
      </c>
      <c r="DP86" s="17">
        <f>DO86*VLOOKUP('Données projet'!$B$14,Paramètres!$A$1:$I$89,3,0)*VLOOKUP('Données projet'!$B$14,Paramètres!$A$1:$I$89,5,0)</f>
        <v>8.3355189417488869E-14</v>
      </c>
      <c r="DQ86" s="13">
        <f t="shared" si="97"/>
        <v>1.2790518435140618E-12</v>
      </c>
      <c r="DR86" s="20">
        <f t="shared" si="70"/>
        <v>2.3728589156891171E-12</v>
      </c>
      <c r="DS86" s="59">
        <f t="shared" si="71"/>
        <v>271.88474547710587</v>
      </c>
      <c r="DT86" s="59">
        <f ca="1">AVERAGE(OFFSET($DS$3,0,0,'Données projet'!$E$14+1,1))-AVERAGE(OFFSET($H$3,0,0,'Données projet'!$E$14+1,1))</f>
        <v>242.21240859696931</v>
      </c>
      <c r="DU86" s="59">
        <f t="shared" si="98"/>
        <v>340.92165104349192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39.977794008283205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39.977794008283205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4.4000000000000004</v>
      </c>
      <c r="EJ86" s="12">
        <f>IF('Données projet'!$A$192&gt;35,EJ85+EI86-ER85,IF(A86&lt;'Données projet'!$A$192,$EG$205^A86,IF(A86='Données projet'!$A$192,'Données projet'!$B$192,EJ85+EI86-ER85)))</f>
        <v>191.2</v>
      </c>
      <c r="EK86" s="17">
        <f>EJ86*VLOOKUP('Données projet'!$B$15,Paramètres!$A$1:$I$89,3,0)*VLOOKUP('Données projet'!$B$15,Paramètres!$A$1:$I$89,5,0)</f>
        <v>184.92864</v>
      </c>
      <c r="EL86" s="13">
        <f t="shared" si="99"/>
        <v>46.416987887800225</v>
      </c>
      <c r="EM86" s="20">
        <f t="shared" si="73"/>
        <v>402.92696857125202</v>
      </c>
      <c r="EN86" s="59">
        <f t="shared" si="74"/>
        <v>674.8117140483555</v>
      </c>
      <c r="EO86" s="59">
        <f ca="1">AVERAGE(OFFSET($EN$3,0,0,'Données projet'!$E$15+1,1))-AVERAGE(OFFSET($H$3,0,0,'Données projet'!$E$15+1,1))</f>
        <v>331.7059599630698</v>
      </c>
      <c r="EP86" s="59">
        <f t="shared" si="100"/>
        <v>173.19148969173838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1.8196110820358655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1.8196110820358655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4.4000000000000004</v>
      </c>
      <c r="FE86" s="12">
        <f>IF('Données projet'!$A$218&gt;35,FE85+FD86-FM85,IF(A86&lt;'Données projet'!$A$218,$FB$205^A86,IF(A86='Données projet'!$A$218,'Données projet'!$B$218,FE85+FD86-FM85)))</f>
        <v>191.2</v>
      </c>
      <c r="FF86" s="17">
        <f>FE86*VLOOKUP('Données projet'!$B$16,Paramètres!$A$1:$I$89,3,0)*VLOOKUP('Données projet'!$B$16,Paramètres!$A$1:$I$89,5,0)</f>
        <v>205.80767999999995</v>
      </c>
      <c r="FG86" s="13">
        <f t="shared" si="101"/>
        <v>51.018385886479962</v>
      </c>
      <c r="FH86" s="20">
        <f t="shared" si="76"/>
        <v>447.30539808561917</v>
      </c>
      <c r="FI86" s="59">
        <f t="shared" si="77"/>
        <v>719.1901435627226</v>
      </c>
      <c r="FJ86" s="59">
        <f ca="1">AVERAGE(OFFSET($FI$3,0,0,'Données projet'!$E$16+1,1))-AVERAGE(OFFSET($H$3,0,0,'Données projet'!$E$16+1,1))</f>
        <v>360.86062459677004</v>
      </c>
      <c r="FK86" s="59">
        <f t="shared" si="102"/>
        <v>186.0840067781198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15.281799472546762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15.281799472546762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5.8</v>
      </c>
      <c r="FZ86" s="12">
        <f>IF('Données projet'!$A$244&gt;35,FZ85+FY86-GH85,IF(A86&lt;'Données projet'!$A$244,$FW$205^A86,IF(A86='Données projet'!$A$244,'Données projet'!$B$244,FZ85+FY86-GH85)))</f>
        <v>257.39999999999992</v>
      </c>
      <c r="GA86" s="17">
        <f>FZ86*VLOOKUP('Données projet'!$B$17,Paramètres!$A$1:$I$89,3,0)*VLOOKUP('Données projet'!$B$17,Paramètres!$A$1:$I$89,5,0)</f>
        <v>261.00359999999995</v>
      </c>
      <c r="GB86" s="13">
        <f t="shared" si="103"/>
        <v>62.936256929541173</v>
      </c>
      <c r="GC86" s="20">
        <f t="shared" si="79"/>
        <v>564.19525081895074</v>
      </c>
      <c r="GD86" s="59">
        <f t="shared" si="80"/>
        <v>836.07999629605422</v>
      </c>
      <c r="GE86" s="59">
        <f ca="1">AVERAGE(OFFSET($GD$3,0,0,'Données projet'!$E$17+1,1))-AVERAGE(OFFSET($H$3,0,0,'Données projet'!$E$17+1,1))</f>
        <v>448.73339628506784</v>
      </c>
      <c r="GF86" s="59">
        <f t="shared" si="104"/>
        <v>273.35778700650803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24.498569490515216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24.498569490515216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5.8</v>
      </c>
      <c r="N87" s="13">
        <f>IF('Données projet'!$A$36&gt;35,N86+M87-V86,IF(A87&lt;'Données projet'!$A$36,$K$205^A87,IF(A87='Données projet'!$A$36,'Données projet'!$B$36,N86+M87-V86)))</f>
        <v>263.19999999999993</v>
      </c>
      <c r="O87" s="13">
        <f>N87*VLOOKUP('Données projet'!$B$9,Paramètres!$A$1:$I$89,3,0)*VLOOKUP('Données projet'!$B$9,Paramètres!$A$1:$I$89,5,0)</f>
        <v>238.14335999999992</v>
      </c>
      <c r="P87" s="13">
        <f t="shared" si="87"/>
        <v>58.039884968630489</v>
      </c>
      <c r="Q87" s="20">
        <f t="shared" si="54"/>
        <v>515.85248498703129</v>
      </c>
      <c r="R87" s="59">
        <f t="shared" si="55"/>
        <v>788.1093155115816</v>
      </c>
      <c r="S87" s="59">
        <f ca="1">AVERAGE(OFFSET($R$3,0,0,'Données projet'!$E$9+1,1))-AVERAGE(OFFSET($H$3,0,0,'Données projet'!$E$9+1,1))</f>
        <v>408.51124670343137</v>
      </c>
      <c r="T87" s="59">
        <f t="shared" si="88"/>
        <v>250.47702091764884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21.431595602408802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21.431595602408802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-2.8421709430404007E-13</v>
      </c>
      <c r="AJ87" s="13">
        <f>AI87*VLOOKUP('Données projet'!$B$10,Paramètres!$A$1:$I$89,3,0)*VLOOKUP('Données projet'!$B$10,Paramètres!$A$1:$I$89,5,0)</f>
        <v>-2.2612312022829427E-13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327.22763817565902</v>
      </c>
      <c r="AO87" s="59">
        <f t="shared" si="90"/>
        <v>311.68541696405975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96.001299465118194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96.001299465118194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2.8421709430404007E-14</v>
      </c>
      <c r="BE87" s="13">
        <f>BD87*VLOOKUP('Données projet'!$B$11,Paramètres!$A$1:$I$89,3,0)*VLOOKUP('Données projet'!$B$11,Paramètres!$A$1:$I$89,5,0)</f>
        <v>1.8178525351686402E-14</v>
      </c>
      <c r="BF87" s="13">
        <f t="shared" si="91"/>
        <v>3.3304129621647644E-13</v>
      </c>
      <c r="BG87" s="20">
        <f t="shared" si="61"/>
        <v>6.1170785589788349E-13</v>
      </c>
      <c r="BH87" s="59">
        <f t="shared" si="62"/>
        <v>272.25683052455094</v>
      </c>
      <c r="BI87" s="59">
        <f ca="1">AVERAGE(OFFSET($BH$3,0,0,'Données projet'!$E$11+1,1))-AVERAGE(OFFSET($H$3,0,0,'Données projet'!$E$11+1,1))</f>
        <v>169.46470423366029</v>
      </c>
      <c r="BJ87" s="59">
        <f t="shared" si="92"/>
        <v>230.78141128389288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20.797268933008656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20.797268933008656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3.2</v>
      </c>
      <c r="BY87" s="12">
        <f>IF('Données projet'!$A$114&gt;35,BY86+BX87-CG86,IF(A87&lt;'Données projet'!$A$114,$BV$205^A87,IF(A87='Données projet'!$A$114,'Données projet'!$B$114,BY86+BX87-CG86)))</f>
        <v>226.79999999999984</v>
      </c>
      <c r="BZ87" s="13">
        <f>BY87*VLOOKUP('Données projet'!$B$12,Paramètres!$A$1:$I$89,3,0)*VLOOKUP('Données projet'!$B$12,Paramètres!$A$1:$I$89,5,0)</f>
        <v>198.1324799999999</v>
      </c>
      <c r="CA87" s="13">
        <f t="shared" si="93"/>
        <v>49.333519530262052</v>
      </c>
      <c r="CB87" s="20">
        <f t="shared" si="64"/>
        <v>431.00328251520631</v>
      </c>
      <c r="CC87" s="59">
        <f t="shared" si="65"/>
        <v>703.26011303975656</v>
      </c>
      <c r="CD87" s="59">
        <f ca="1">AVERAGE(OFFSET($CC$3,0,0,'Données projet'!$E$12+1,1))-AVERAGE(OFFSET($H$3,0,0,'Données projet'!$E$12+1,1))</f>
        <v>342.79161436526499</v>
      </c>
      <c r="CE87" s="59">
        <f t="shared" si="94"/>
        <v>315.50730924873733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21.047341370117547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21.047341370117547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4.4000000000000004</v>
      </c>
      <c r="CT87" s="12">
        <f>IF('Données projet'!$A$140&gt;35,CT86+CS87-DB86,IF(A87&lt;'Données projet'!$A$140,$CQ$205^A87,IF(A87='Données projet'!$A$140,'Données projet'!$B$140,CT86+CS87-DB86)))</f>
        <v>195.6</v>
      </c>
      <c r="CU87" s="17">
        <f>CT87*VLOOKUP('Données projet'!$B$13,Paramètres!$A$1:$I$89,3,0)*VLOOKUP('Données projet'!$B$13,Paramètres!$A$1:$I$89,5,0)</f>
        <v>131.20847999999998</v>
      </c>
      <c r="CV87" s="13">
        <f t="shared" si="95"/>
        <v>34.27545301984977</v>
      </c>
      <c r="CW87" s="20">
        <f t="shared" si="67"/>
        <v>288.21785000957163</v>
      </c>
      <c r="CX87" s="59">
        <f t="shared" si="68"/>
        <v>560.47468053412194</v>
      </c>
      <c r="CY87" s="59">
        <f ca="1">AVERAGE(OFFSET($CX$3,0,0,'Données projet'!$E$13+1,1))-AVERAGE(OFFSET($H$3,0,0,'Données projet'!$E$13+1,1))</f>
        <v>201.84651193684252</v>
      </c>
      <c r="CZ87" s="59">
        <f t="shared" si="96"/>
        <v>138.00705940844708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13.402060318264105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13.402060318264105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1.1368683772161603E-13</v>
      </c>
      <c r="DP87" s="17">
        <f>DO87*VLOOKUP('Données projet'!$B$14,Paramètres!$A$1:$I$89,3,0)*VLOOKUP('Données projet'!$B$14,Paramètres!$A$1:$I$89,5,0)</f>
        <v>8.3355189417488869E-14</v>
      </c>
      <c r="DQ87" s="13">
        <f t="shared" si="97"/>
        <v>1.2790518435140618E-12</v>
      </c>
      <c r="DR87" s="20">
        <f t="shared" si="70"/>
        <v>2.3728589156891171E-12</v>
      </c>
      <c r="DS87" s="59">
        <f t="shared" si="71"/>
        <v>272.2568305245527</v>
      </c>
      <c r="DT87" s="59">
        <f ca="1">AVERAGE(OFFSET($DS$3,0,0,'Données projet'!$E$14+1,1))-AVERAGE(OFFSET($H$3,0,0,'Données projet'!$E$14+1,1))</f>
        <v>242.21240859696931</v>
      </c>
      <c r="DU87" s="59">
        <f t="shared" si="98"/>
        <v>340.92165104349192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39.193853851827392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39.193853851827392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4.4000000000000004</v>
      </c>
      <c r="EJ87" s="12">
        <f>IF('Données projet'!$A$192&gt;35,EJ86+EI87-ER86,IF(A87&lt;'Données projet'!$A$192,$EG$205^A87,IF(A87='Données projet'!$A$192,'Données projet'!$B$192,EJ86+EI87-ER86)))</f>
        <v>195.6</v>
      </c>
      <c r="EK87" s="17">
        <f>EJ87*VLOOKUP('Données projet'!$B$15,Paramètres!$A$1:$I$89,3,0)*VLOOKUP('Données projet'!$B$15,Paramètres!$A$1:$I$89,5,0)</f>
        <v>189.18431999999999</v>
      </c>
      <c r="EL87" s="13">
        <f t="shared" si="99"/>
        <v>47.359572454491783</v>
      </c>
      <c r="EM87" s="20">
        <f t="shared" si="73"/>
        <v>411.98061269157319</v>
      </c>
      <c r="EN87" s="59">
        <f t="shared" si="74"/>
        <v>684.23744321612344</v>
      </c>
      <c r="EO87" s="59">
        <f ca="1">AVERAGE(OFFSET($EN$3,0,0,'Données projet'!$E$15+1,1))-AVERAGE(OFFSET($H$3,0,0,'Données projet'!$E$15+1,1))</f>
        <v>331.7059599630698</v>
      </c>
      <c r="EP87" s="59">
        <f t="shared" si="100"/>
        <v>173.19148969173838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1.7839296185703133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1.7839296185703133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4.4000000000000004</v>
      </c>
      <c r="FE87" s="12">
        <f>IF('Données projet'!$A$218&gt;35,FE86+FD87-FM86,IF(A87&lt;'Données projet'!$A$218,$FB$205^A87,IF(A87='Données projet'!$A$218,'Données projet'!$B$218,FE86+FD87-FM86)))</f>
        <v>195.6</v>
      </c>
      <c r="FF87" s="17">
        <f>FE87*VLOOKUP('Données projet'!$B$16,Paramètres!$A$1:$I$89,3,0)*VLOOKUP('Données projet'!$B$16,Paramètres!$A$1:$I$89,5,0)</f>
        <v>210.54384000000002</v>
      </c>
      <c r="FG87" s="13">
        <f t="shared" si="101"/>
        <v>52.054410526216479</v>
      </c>
      <c r="FH87" s="20">
        <f t="shared" si="76"/>
        <v>457.35861966649367</v>
      </c>
      <c r="FI87" s="59">
        <f t="shared" si="77"/>
        <v>729.61545019104392</v>
      </c>
      <c r="FJ87" s="59">
        <f ca="1">AVERAGE(OFFSET($FI$3,0,0,'Données projet'!$E$16+1,1))-AVERAGE(OFFSET($H$3,0,0,'Données projet'!$E$16+1,1))</f>
        <v>360.86062459677004</v>
      </c>
      <c r="FK87" s="59">
        <f t="shared" si="102"/>
        <v>186.0840067781198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14.982132705867429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14.982132705867429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5.8</v>
      </c>
      <c r="FZ87" s="12">
        <f>IF('Données projet'!$A$244&gt;35,FZ86+FY87-GH86,IF(A87&lt;'Données projet'!$A$244,$FW$205^A87,IF(A87='Données projet'!$A$244,'Données projet'!$B$244,FZ86+FY87-GH86)))</f>
        <v>263.19999999999993</v>
      </c>
      <c r="GA87" s="17">
        <f>FZ87*VLOOKUP('Données projet'!$B$17,Paramètres!$A$1:$I$89,3,0)*VLOOKUP('Données projet'!$B$17,Paramètres!$A$1:$I$89,5,0)</f>
        <v>266.88479999999993</v>
      </c>
      <c r="GB87" s="13">
        <f t="shared" si="103"/>
        <v>64.18769936370569</v>
      </c>
      <c r="GC87" s="20">
        <f t="shared" si="79"/>
        <v>576.61793639178723</v>
      </c>
      <c r="GD87" s="59">
        <f t="shared" si="80"/>
        <v>848.87476691633753</v>
      </c>
      <c r="GE87" s="59">
        <f ca="1">AVERAGE(OFFSET($GD$3,0,0,'Données projet'!$E$17+1,1))-AVERAGE(OFFSET($H$3,0,0,'Données projet'!$E$17+1,1))</f>
        <v>448.73339628506784</v>
      </c>
      <c r="GF87" s="59">
        <f t="shared" si="104"/>
        <v>273.35778700650803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24.018167485458136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24.018167485458136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269</v>
      </c>
      <c r="L88" s="12">
        <f>VLOOKUP(A88,'Données projet'!$A$35:$I$55,9,0)</f>
        <v>5.8</v>
      </c>
      <c r="M88" s="12">
        <f t="array" ref="M88">INDEX(L:L,MIN(IF(ISNUMBER(L88:L284),ROW(L88:L284),"")))</f>
        <v>5.8</v>
      </c>
      <c r="N88" s="13">
        <f>IF('Données projet'!$A$36&gt;35,N87+M88-V87,IF(A88&lt;'Données projet'!$A$36,$K$205^A88,IF(A88='Données projet'!$A$36,'Données projet'!$B$36,N87+M88-V87)))</f>
        <v>268.99999999999994</v>
      </c>
      <c r="O88" s="13">
        <f>N88*VLOOKUP('Données projet'!$B$9,Paramètres!$A$1:$I$89,3,0)*VLOOKUP('Données projet'!$B$9,Paramètres!$A$1:$I$89,5,0)</f>
        <v>243.39119999999994</v>
      </c>
      <c r="P88" s="13">
        <f t="shared" si="87"/>
        <v>59.168566788241527</v>
      </c>
      <c r="Q88" s="20">
        <f t="shared" si="54"/>
        <v>526.95826048952051</v>
      </c>
      <c r="R88" s="59">
        <f t="shared" si="55"/>
        <v>799.58072121780197</v>
      </c>
      <c r="S88" s="59">
        <f ca="1">AVERAGE(OFFSET($R$3,0,0,'Données projet'!$E$9+1,1))-AVERAGE(OFFSET($H$3,0,0,'Données projet'!$E$9+1,1))</f>
        <v>408.51124670343137</v>
      </c>
      <c r="T88" s="59">
        <f t="shared" si="88"/>
        <v>250.47702091764884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21</v>
      </c>
      <c r="W88" s="16">
        <f>IF(ISNA(VLOOKUP(A88,'Données projet'!$A$35:$I$55,5,0)),0%,VLOOKUP(A88,'Données projet'!$A$35:$I$55,5,0)*VLOOKUP('Données projet'!$B$9,Paramètres!$A$1:$I$89,7,0))</f>
        <v>0.25800000000000001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26.430579054184989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26.430579054184989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-2.8421709430404007E-13</v>
      </c>
      <c r="AJ88" s="13">
        <f>AI88*VLOOKUP('Données projet'!$B$10,Paramètres!$A$1:$I$89,3,0)*VLOOKUP('Données projet'!$B$10,Paramètres!$A$1:$I$89,5,0)</f>
        <v>-2.2612312022829427E-13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327.22763817565902</v>
      </c>
      <c r="AO88" s="59">
        <f t="shared" si="90"/>
        <v>311.68541696405975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94.118772537618071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94.118772537618071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2.8421709430404007E-14</v>
      </c>
      <c r="BE88" s="13">
        <f>BD88*VLOOKUP('Données projet'!$B$11,Paramètres!$A$1:$I$89,3,0)*VLOOKUP('Données projet'!$B$11,Paramètres!$A$1:$I$89,5,0)</f>
        <v>1.8178525351686402E-14</v>
      </c>
      <c r="BF88" s="13">
        <f t="shared" si="91"/>
        <v>3.3304129621647644E-13</v>
      </c>
      <c r="BG88" s="20">
        <f t="shared" si="61"/>
        <v>6.1170785589788349E-13</v>
      </c>
      <c r="BH88" s="59">
        <f t="shared" si="62"/>
        <v>272.62246072828214</v>
      </c>
      <c r="BI88" s="59">
        <f ca="1">AVERAGE(OFFSET($BH$3,0,0,'Données projet'!$E$11+1,1))-AVERAGE(OFFSET($H$3,0,0,'Données projet'!$E$11+1,1))</f>
        <v>169.46470423366029</v>
      </c>
      <c r="BJ88" s="59">
        <f t="shared" si="92"/>
        <v>230.78141128389288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20.389447174313858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20.389447174313858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230</v>
      </c>
      <c r="BW88" s="12">
        <f>VLOOKUP(A88,'Données projet'!$A$113:$I$133,9,0)</f>
        <v>3.2</v>
      </c>
      <c r="BX88" s="12">
        <f t="array" ref="BX88">INDEX(BW:BW,MIN(IF(ISNUMBER(BW88:BW284),ROW(BW88:BW284),"")))</f>
        <v>3.2</v>
      </c>
      <c r="BY88" s="12">
        <f>IF('Données projet'!$A$114&gt;35,BY87+BX88-CG87,IF(A88&lt;'Données projet'!$A$114,$BV$205^A88,IF(A88='Données projet'!$A$114,'Données projet'!$B$114,BY87+BX88-CG87)))</f>
        <v>229.99999999999983</v>
      </c>
      <c r="BZ88" s="13">
        <f>BY88*VLOOKUP('Données projet'!$B$12,Paramètres!$A$1:$I$89,3,0)*VLOOKUP('Données projet'!$B$12,Paramètres!$A$1:$I$89,5,0)</f>
        <v>200.92799999999988</v>
      </c>
      <c r="CA88" s="13">
        <f t="shared" si="93"/>
        <v>49.948059057189042</v>
      </c>
      <c r="CB88" s="20">
        <f t="shared" si="64"/>
        <v>436.94246952460395</v>
      </c>
      <c r="CC88" s="59">
        <f t="shared" si="65"/>
        <v>709.56493025288546</v>
      </c>
      <c r="CD88" s="59">
        <f ca="1">AVERAGE(OFFSET($CC$3,0,0,'Données projet'!$E$12+1,1))-AVERAGE(OFFSET($H$3,0,0,'Données projet'!$E$12+1,1))</f>
        <v>342.79161436526499</v>
      </c>
      <c r="CE88" s="59">
        <f t="shared" si="94"/>
        <v>315.50730924873733</v>
      </c>
      <c r="CF88" s="15">
        <f>IF(ISNA(VLOOKUP(A88,'Données projet'!$A$113:$I$133,3,0)),0,VLOOKUP(A88,'Données projet'!$A$113:$I$133,3,0))</f>
        <v>16</v>
      </c>
      <c r="CG88" s="15">
        <f>IF(ISNA(VLOOKUP(A88,'Données projet'!$A$113:$I$133,4,0)),0,VLOOKUP(A88,'Données projet'!$A$113:$I$133,4,0))</f>
        <v>12</v>
      </c>
      <c r="CH88" s="16">
        <f>IF(ISNA(VLOOKUP(A88,'Données projet'!$A$113:$I$133,5,0)),0%,VLOOKUP(A88,'Données projet'!$A$113:$I$133,5,0)*VLOOKUP('Données projet'!$B$12,Paramètres!$A$1:$I$89,7,0))</f>
        <v>0.30099999999999999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24.122864835358833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24.122864835358833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200</v>
      </c>
      <c r="CR88" s="12">
        <f>VLOOKUP(A88,'Données projet'!$A$139:$I$159,9,0)</f>
        <v>4.4000000000000004</v>
      </c>
      <c r="CS88" s="12">
        <f t="array" ref="CS88">INDEX(CR:CR,MIN(IF(ISNUMBER(CR88:CR284),ROW(CR88:CR284),"")))</f>
        <v>4.4000000000000004</v>
      </c>
      <c r="CT88" s="12">
        <f>IF('Données projet'!$A$140&gt;35,CT87+CS88-DB87,IF(A88&lt;'Données projet'!$A$140,$CQ$205^A88,IF(A88='Données projet'!$A$140,'Données projet'!$B$140,CT87+CS88-DB87)))</f>
        <v>200</v>
      </c>
      <c r="CU88" s="17">
        <f>CT88*VLOOKUP('Données projet'!$B$13,Paramètres!$A$1:$I$89,3,0)*VLOOKUP('Données projet'!$B$13,Paramètres!$A$1:$I$89,5,0)</f>
        <v>134.16</v>
      </c>
      <c r="CV88" s="13">
        <f t="shared" si="95"/>
        <v>34.955843917296178</v>
      </c>
      <c r="CW88" s="20">
        <f t="shared" si="67"/>
        <v>294.54342815595749</v>
      </c>
      <c r="CX88" s="59">
        <f t="shared" si="68"/>
        <v>567.16588888423894</v>
      </c>
      <c r="CY88" s="59">
        <f ca="1">AVERAGE(OFFSET($CX$3,0,0,'Données projet'!$E$13+1,1))-AVERAGE(OFFSET($H$3,0,0,'Données projet'!$E$13+1,1))</f>
        <v>201.84651193684252</v>
      </c>
      <c r="CZ88" s="59">
        <f t="shared" si="96"/>
        <v>138.00705940844708</v>
      </c>
      <c r="DA88" s="15">
        <f>IF(ISNA(VLOOKUP(A88,'Données projet'!$A$139:$I$159,3,0)),0,VLOOKUP(A88,'Données projet'!$A$139:$I$159,3,0))</f>
        <v>13</v>
      </c>
      <c r="DB88" s="15">
        <f>IF(ISNA(VLOOKUP(A88,'Données projet'!$A$139:$I$159,4,0)),0,VLOOKUP(A88,'Données projet'!$A$139:$I$159,4,0))</f>
        <v>14</v>
      </c>
      <c r="DC88" s="16">
        <f>IF(ISNA(VLOOKUP(A88,'Données projet'!$A$139:$I$159,5,0)),0%,VLOOKUP(A88,'Données projet'!$A$139:$I$159,5,0)*VLOOKUP('Données projet'!$B$13,Paramètres!$A$1:$I$89,7,0))</f>
        <v>0.42400000000000004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17.541092103458993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17.541092103458993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1.1368683772161603E-13</v>
      </c>
      <c r="DP88" s="17">
        <f>DO88*VLOOKUP('Données projet'!$B$14,Paramètres!$A$1:$I$89,3,0)*VLOOKUP('Données projet'!$B$14,Paramètres!$A$1:$I$89,5,0)</f>
        <v>8.3355189417488869E-14</v>
      </c>
      <c r="DQ88" s="13">
        <f t="shared" si="97"/>
        <v>1.2790518435140618E-12</v>
      </c>
      <c r="DR88" s="20">
        <f t="shared" si="70"/>
        <v>2.3728589156891171E-12</v>
      </c>
      <c r="DS88" s="59">
        <f t="shared" si="71"/>
        <v>272.6224607282839</v>
      </c>
      <c r="DT88" s="59">
        <f ca="1">AVERAGE(OFFSET($DS$3,0,0,'Données projet'!$E$14+1,1))-AVERAGE(OFFSET($H$3,0,0,'Données projet'!$E$14+1,1))</f>
        <v>242.21240859696931</v>
      </c>
      <c r="DU88" s="59">
        <f t="shared" si="98"/>
        <v>340.92165104349192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38.425286283683398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38.425286283683398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200</v>
      </c>
      <c r="EH88" s="12">
        <f>VLOOKUP(A88,'Données projet'!$A$191:$I$211,9,0)</f>
        <v>4.4000000000000004</v>
      </c>
      <c r="EI88" s="12">
        <f t="array" ref="EI88">INDEX(EH:EH,MIN(IF(ISNUMBER(EH88:EH284),ROW(EH88:EH284),"")))</f>
        <v>4.4000000000000004</v>
      </c>
      <c r="EJ88" s="12">
        <f>IF('Données projet'!$A$192&gt;35,EJ87+EI88-ER87,IF(A88&lt;'Données projet'!$A$192,$EG$205^A88,IF(A88='Données projet'!$A$192,'Données projet'!$B$192,EJ87+EI88-ER87)))</f>
        <v>200</v>
      </c>
      <c r="EK88" s="17">
        <f>EJ88*VLOOKUP('Données projet'!$B$15,Paramètres!$A$1:$I$89,3,0)*VLOOKUP('Données projet'!$B$15,Paramètres!$A$1:$I$89,5,0)</f>
        <v>193.44</v>
      </c>
      <c r="EL88" s="13">
        <f t="shared" si="99"/>
        <v>48.299691961776745</v>
      </c>
      <c r="EM88" s="20">
        <f t="shared" si="73"/>
        <v>421.02996350009448</v>
      </c>
      <c r="EN88" s="59">
        <f t="shared" si="74"/>
        <v>693.65242422837605</v>
      </c>
      <c r="EO88" s="59">
        <f ca="1">AVERAGE(OFFSET($EN$3,0,0,'Données projet'!$E$15+1,1))-AVERAGE(OFFSET($H$3,0,0,'Données projet'!$E$15+1,1))</f>
        <v>331.7059599630698</v>
      </c>
      <c r="EP88" s="59">
        <f t="shared" si="100"/>
        <v>173.19148969173838</v>
      </c>
      <c r="EQ88" s="15">
        <f>IF(ISNA(VLOOKUP(A88,'Données projet'!$A$191:$I$211,3,0)),0,VLOOKUP(A88,'Données projet'!$A$191:$I$211,3,0))</f>
        <v>13</v>
      </c>
      <c r="ER88" s="15">
        <f>IF(ISNA(VLOOKUP(A88,'Données projet'!$A$191:$I$211,4,0)),0,VLOOKUP(A88,'Données projet'!$A$191:$I$211,4,0))</f>
        <v>14</v>
      </c>
      <c r="ES88" s="16">
        <f>IF(ISNA(VLOOKUP(A88,'Données projet'!$A$191:$I$211,5,0)),0%,VLOOKUP(A88,'Données projet'!$A$191:$I$211,5,0)*VLOOKUP('Données projet'!$B$15,Paramètres!$A$1:$I$89,7,0))</f>
        <v>0.17200000000000001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4.3236078170506973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4.3236078170506973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200</v>
      </c>
      <c r="FC88" s="12">
        <f>VLOOKUP(A88,'Données projet'!$A$217:$I$237,9,0)</f>
        <v>4.4000000000000004</v>
      </c>
      <c r="FD88" s="12">
        <f t="array" ref="FD88">INDEX(FC:FC,MIN(IF(ISNUMBER(FC88:FC284),ROW(FC88:FC284),"")))</f>
        <v>4.4000000000000004</v>
      </c>
      <c r="FE88" s="12">
        <f>IF('Données projet'!$A$218&gt;35,FE87+FD88-FM87,IF(A88&lt;'Données projet'!$A$218,$FB$205^A88,IF(A88='Données projet'!$A$218,'Données projet'!$B$218,FE87+FD88-FM87)))</f>
        <v>200</v>
      </c>
      <c r="FF88" s="17">
        <f>FE88*VLOOKUP('Données projet'!$B$16,Paramètres!$A$1:$I$89,3,0)*VLOOKUP('Données projet'!$B$16,Paramètres!$A$1:$I$89,5,0)</f>
        <v>215.28</v>
      </c>
      <c r="FG88" s="13">
        <f t="shared" si="101"/>
        <v>53.087725740853138</v>
      </c>
      <c r="FH88" s="20">
        <f t="shared" si="76"/>
        <v>467.40712233198587</v>
      </c>
      <c r="FI88" s="59">
        <f t="shared" si="77"/>
        <v>740.02958306026744</v>
      </c>
      <c r="FJ88" s="59">
        <f ca="1">AVERAGE(OFFSET($FI$3,0,0,'Données projet'!$E$16+1,1))-AVERAGE(OFFSET($H$3,0,0,'Données projet'!$E$16+1,1))</f>
        <v>360.86062459677004</v>
      </c>
      <c r="FK88" s="59">
        <f t="shared" si="102"/>
        <v>186.0840067781198</v>
      </c>
      <c r="FL88" s="15">
        <f>IF(ISNA(VLOOKUP(A88,'Données projet'!$A$217:$I$237,3,0)),0,VLOOKUP(A88,'Données projet'!$A$217:$I$237,3,0))</f>
        <v>13</v>
      </c>
      <c r="FM88" s="15">
        <f>IF(ISNA(VLOOKUP(A88,'Données projet'!$A$217:$I$237,4,0)),0,VLOOKUP(A88,'Données projet'!$A$217:$I$237,4,0))</f>
        <v>14</v>
      </c>
      <c r="FN88" s="16">
        <f>IF(ISNA(VLOOKUP(A88,'Données projet'!$A$217:$I$237,5,0)),0%,VLOOKUP(A88,'Données projet'!$A$217:$I$237,5,0)*VLOOKUP('Données projet'!$B$16,Paramètres!$A$1:$I$89,7,0))</f>
        <v>0.25800000000000001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18.98636330100771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18.98636330100771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>
        <f>VLOOKUP(A88,'Données projet'!$A$243:$I$263,2,0)</f>
        <v>269</v>
      </c>
      <c r="FX88" s="12">
        <f>VLOOKUP(A88,'Données projet'!$A$243:$I$263,9,0)</f>
        <v>5.8</v>
      </c>
      <c r="FY88" s="12">
        <f t="array" ref="FY88">INDEX(FX:FX,MIN(IF(ISNUMBER(FX88:FX284),ROW(FX88:FX284),"")))</f>
        <v>5.8</v>
      </c>
      <c r="FZ88" s="12">
        <f>IF('Données projet'!$A$244&gt;35,FZ87+FY88-GH87,IF(A88&lt;'Données projet'!$A$244,$FW$205^A88,IF(A88='Données projet'!$A$244,'Données projet'!$B$244,FZ87+FY88-GH87)))</f>
        <v>268.99999999999994</v>
      </c>
      <c r="GA88" s="17">
        <f>FZ88*VLOOKUP('Données projet'!$B$17,Paramètres!$A$1:$I$89,3,0)*VLOOKUP('Données projet'!$B$17,Paramètres!$A$1:$I$89,5,0)</f>
        <v>272.76599999999996</v>
      </c>
      <c r="GB88" s="13">
        <f t="shared" si="103"/>
        <v>65.43593563008757</v>
      </c>
      <c r="GC88" s="20">
        <f t="shared" si="79"/>
        <v>589.03503788906914</v>
      </c>
      <c r="GD88" s="59">
        <f t="shared" si="80"/>
        <v>861.65749861735071</v>
      </c>
      <c r="GE88" s="59">
        <f ca="1">AVERAGE(OFFSET($GD$3,0,0,'Données projet'!$E$17+1,1))-AVERAGE(OFFSET($H$3,0,0,'Données projet'!$E$17+1,1))</f>
        <v>448.73339628506784</v>
      </c>
      <c r="GF88" s="59">
        <f t="shared" si="104"/>
        <v>273.35778700650803</v>
      </c>
      <c r="GG88" s="15">
        <f>IF(ISNA(VLOOKUP(A88,'Données projet'!$A$243:$I$263,3,0)),0,VLOOKUP(A88,'Données projet'!$A$243:$I$263,3,0))</f>
        <v>14</v>
      </c>
      <c r="GH88" s="15">
        <f>IF(ISNA(VLOOKUP(A88,'Données projet'!$A$243:$I$263,4,0)),0,VLOOKUP(A88,'Données projet'!$A$243:$I$263,4,0))</f>
        <v>21</v>
      </c>
      <c r="GI88" s="16">
        <f>IF(ISNA(VLOOKUP(A88,'Données projet'!$A$243:$I$263,5,0)),0%,VLOOKUP(A88,'Données projet'!$A$243:$I$263,5,0)*VLOOKUP('Données projet'!$B$17,Paramètres!$A$1:$I$89,7,0))</f>
        <v>0.25800000000000001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29.620476526241795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29.620476526241795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5.4</v>
      </c>
      <c r="N89" s="13">
        <f>IF('Données projet'!$A$36&gt;35,N88+M89-V88,IF(A89&lt;'Données projet'!$A$36,$K$205^A89,IF(A89='Données projet'!$A$36,'Données projet'!$B$36,N88+M89-V88)))</f>
        <v>253.39999999999992</v>
      </c>
      <c r="O89" s="13">
        <f>N89*VLOOKUP('Données projet'!$B$9,Paramètres!$A$1:$I$89,3,0)*VLOOKUP('Données projet'!$B$9,Paramètres!$A$1:$I$89,5,0)</f>
        <v>229.27631999999994</v>
      </c>
      <c r="P89" s="13">
        <f t="shared" si="87"/>
        <v>56.126176307517476</v>
      </c>
      <c r="Q89" s="20">
        <f t="shared" si="54"/>
        <v>497.07601440225949</v>
      </c>
      <c r="R89" s="59">
        <f t="shared" si="55"/>
        <v>770.05776246766413</v>
      </c>
      <c r="S89" s="59">
        <f ca="1">AVERAGE(OFFSET($R$3,0,0,'Données projet'!$E$9+1,1))-AVERAGE(OFFSET($H$3,0,0,'Données projet'!$E$9+1,1))</f>
        <v>408.51124670343137</v>
      </c>
      <c r="T89" s="59">
        <f t="shared" si="88"/>
        <v>250.47702091764884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25.912291519993822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25.912291519993822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-2.8421709430404007E-13</v>
      </c>
      <c r="AJ89" s="13">
        <f>AI89*VLOOKUP('Données projet'!$B$10,Paramètres!$A$1:$I$89,3,0)*VLOOKUP('Données projet'!$B$10,Paramètres!$A$1:$I$89,5,0)</f>
        <v>-2.2612312022829427E-13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327.22763817565902</v>
      </c>
      <c r="AO89" s="59">
        <f t="shared" si="90"/>
        <v>311.68541696405975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92.27316081493818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92.27316081493818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2.8421709430404007E-14</v>
      </c>
      <c r="BE89" s="13">
        <f>BD89*VLOOKUP('Données projet'!$B$11,Paramètres!$A$1:$I$89,3,0)*VLOOKUP('Données projet'!$B$11,Paramètres!$A$1:$I$89,5,0)</f>
        <v>1.8178525351686402E-14</v>
      </c>
      <c r="BF89" s="13">
        <f t="shared" si="91"/>
        <v>3.3304129621647644E-13</v>
      </c>
      <c r="BG89" s="20">
        <f t="shared" si="61"/>
        <v>6.1170785589788349E-13</v>
      </c>
      <c r="BH89" s="59">
        <f t="shared" si="62"/>
        <v>272.98174806540533</v>
      </c>
      <c r="BI89" s="59">
        <f ca="1">AVERAGE(OFFSET($BH$3,0,0,'Données projet'!$E$11+1,1))-AVERAGE(OFFSET($H$3,0,0,'Données projet'!$E$11+1,1))</f>
        <v>169.46470423366029</v>
      </c>
      <c r="BJ89" s="59">
        <f t="shared" si="92"/>
        <v>230.78141128389288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19.989622551560355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19.989622551560355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</v>
      </c>
      <c r="BY89" s="12">
        <f>IF('Données projet'!$A$114&gt;35,BY88+BX89-CG88,IF(A89&lt;'Données projet'!$A$114,$BV$205^A89,IF(A89='Données projet'!$A$114,'Données projet'!$B$114,BY88+BX89-CG88)))</f>
        <v>220.99999999999983</v>
      </c>
      <c r="BZ89" s="13">
        <f>BY89*VLOOKUP('Données projet'!$B$12,Paramètres!$A$1:$I$89,3,0)*VLOOKUP('Données projet'!$B$12,Paramètres!$A$1:$I$89,5,0)</f>
        <v>193.06559999999988</v>
      </c>
      <c r="CA89" s="13">
        <f t="shared" si="93"/>
        <v>48.217080828790415</v>
      </c>
      <c r="CB89" s="20">
        <f t="shared" si="64"/>
        <v>420.23400244347641</v>
      </c>
      <c r="CC89" s="59">
        <f t="shared" si="65"/>
        <v>693.21575050888111</v>
      </c>
      <c r="CD89" s="59">
        <f ca="1">AVERAGE(OFFSET($CC$3,0,0,'Données projet'!$E$12+1,1))-AVERAGE(OFFSET($H$3,0,0,'Données projet'!$E$12+1,1))</f>
        <v>342.79161436526499</v>
      </c>
      <c r="CE89" s="59">
        <f t="shared" si="94"/>
        <v>315.50730924873733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23.649830169432157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23.649830169432157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4.2</v>
      </c>
      <c r="CT89" s="12">
        <f>IF('Données projet'!$A$140&gt;35,CT88+CS89-DB88,IF(A89&lt;'Données projet'!$A$140,$CQ$205^A89,IF(A89='Données projet'!$A$140,'Données projet'!$B$140,CT88+CS89-DB88)))</f>
        <v>190.2</v>
      </c>
      <c r="CU89" s="17">
        <f>CT89*VLOOKUP('Données projet'!$B$13,Paramètres!$A$1:$I$89,3,0)*VLOOKUP('Données projet'!$B$13,Paramètres!$A$1:$I$89,5,0)</f>
        <v>127.58615999999998</v>
      </c>
      <c r="CV89" s="13">
        <f t="shared" si="95"/>
        <v>33.437984818390682</v>
      </c>
      <c r="CW89" s="20">
        <f t="shared" si="67"/>
        <v>280.45038555869701</v>
      </c>
      <c r="CX89" s="59">
        <f t="shared" si="68"/>
        <v>553.43213362410165</v>
      </c>
      <c r="CY89" s="59">
        <f ca="1">AVERAGE(OFFSET($CX$3,0,0,'Données projet'!$E$13+1,1))-AVERAGE(OFFSET($H$3,0,0,'Données projet'!$E$13+1,1))</f>
        <v>201.84651193684252</v>
      </c>
      <c r="CZ89" s="59">
        <f t="shared" si="96"/>
        <v>138.00705940844708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17.197121986319907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17.197121986319907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1.1368683772161603E-13</v>
      </c>
      <c r="DP89" s="17">
        <f>DO89*VLOOKUP('Données projet'!$B$14,Paramètres!$A$1:$I$89,3,0)*VLOOKUP('Données projet'!$B$14,Paramètres!$A$1:$I$89,5,0)</f>
        <v>8.3355189417488869E-14</v>
      </c>
      <c r="DQ89" s="13">
        <f t="shared" si="97"/>
        <v>1.2790518435140618E-12</v>
      </c>
      <c r="DR89" s="20">
        <f t="shared" si="70"/>
        <v>2.3728589156891171E-12</v>
      </c>
      <c r="DS89" s="59">
        <f t="shared" si="71"/>
        <v>272.98174806540709</v>
      </c>
      <c r="DT89" s="59">
        <f ca="1">AVERAGE(OFFSET($DS$3,0,0,'Données projet'!$E$14+1,1))-AVERAGE(OFFSET($H$3,0,0,'Données projet'!$E$14+1,1))</f>
        <v>242.21240859696931</v>
      </c>
      <c r="DU89" s="59">
        <f t="shared" si="98"/>
        <v>340.92165104349192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37.671789856770779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37.671789856770779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4.2</v>
      </c>
      <c r="EJ89" s="12">
        <f>IF('Données projet'!$A$192&gt;35,EJ88+EI89-ER88,IF(A89&lt;'Données projet'!$A$192,$EG$205^A89,IF(A89='Données projet'!$A$192,'Données projet'!$B$192,EJ88+EI89-ER88)))</f>
        <v>190.2</v>
      </c>
      <c r="EK89" s="17">
        <f>EJ89*VLOOKUP('Données projet'!$B$15,Paramètres!$A$1:$I$89,3,0)*VLOOKUP('Données projet'!$B$15,Paramètres!$A$1:$I$89,5,0)</f>
        <v>183.96143999999998</v>
      </c>
      <c r="EL89" s="13">
        <f t="shared" si="99"/>
        <v>46.202413833061925</v>
      </c>
      <c r="EM89" s="20">
        <f t="shared" si="73"/>
        <v>400.86871209258283</v>
      </c>
      <c r="EN89" s="59">
        <f t="shared" si="74"/>
        <v>673.85046015798753</v>
      </c>
      <c r="EO89" s="59">
        <f ca="1">AVERAGE(OFFSET($EN$3,0,0,'Données projet'!$E$15+1,1))-AVERAGE(OFFSET($H$3,0,0,'Données projet'!$E$15+1,1))</f>
        <v>331.7059599630698</v>
      </c>
      <c r="EP89" s="59">
        <f t="shared" si="100"/>
        <v>173.19148969173838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4.2388245048987052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4.2388245048987052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4.2</v>
      </c>
      <c r="FE89" s="12">
        <f>IF('Données projet'!$A$218&gt;35,FE88+FD89-FM88,IF(A89&lt;'Données projet'!$A$218,$FB$205^A89,IF(A89='Données projet'!$A$218,'Données projet'!$B$218,FE88+FD89-FM88)))</f>
        <v>190.2</v>
      </c>
      <c r="FF89" s="17">
        <f>FE89*VLOOKUP('Données projet'!$B$16,Paramètres!$A$1:$I$89,3,0)*VLOOKUP('Données projet'!$B$16,Paramètres!$A$1:$I$89,5,0)</f>
        <v>204.73127999999997</v>
      </c>
      <c r="FG89" s="13">
        <f t="shared" si="101"/>
        <v>50.782540726679308</v>
      </c>
      <c r="FH89" s="20">
        <f t="shared" si="76"/>
        <v>445.01990443229971</v>
      </c>
      <c r="FI89" s="59">
        <f t="shared" si="77"/>
        <v>718.00165249770441</v>
      </c>
      <c r="FJ89" s="59">
        <f ca="1">AVERAGE(OFFSET($FI$3,0,0,'Données projet'!$E$16+1,1))-AVERAGE(OFFSET($H$3,0,0,'Données projet'!$E$16+1,1))</f>
        <v>360.86062459677004</v>
      </c>
      <c r="FK89" s="59">
        <f t="shared" si="102"/>
        <v>186.0840067781198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18.614052297213078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18.614052297213078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5.4</v>
      </c>
      <c r="FZ89" s="12">
        <f>IF('Données projet'!$A$244&gt;35,FZ88+FY89-GH88,IF(A89&lt;'Données projet'!$A$244,$FW$205^A89,IF(A89='Données projet'!$A$244,'Données projet'!$B$244,FZ88+FY89-GH88)))</f>
        <v>253.39999999999992</v>
      </c>
      <c r="GA89" s="17">
        <f>FZ89*VLOOKUP('Données projet'!$B$17,Paramètres!$A$1:$I$89,3,0)*VLOOKUP('Données projet'!$B$17,Paramètres!$A$1:$I$89,5,0)</f>
        <v>256.94759999999991</v>
      </c>
      <c r="GB89" s="13">
        <f t="shared" si="103"/>
        <v>62.071283104858246</v>
      </c>
      <c r="GC89" s="20">
        <f t="shared" si="79"/>
        <v>555.62455474096134</v>
      </c>
      <c r="GD89" s="59">
        <f t="shared" si="80"/>
        <v>828.6063028063661</v>
      </c>
      <c r="GE89" s="59">
        <f ca="1">AVERAGE(OFFSET($GD$3,0,0,'Données projet'!$E$17+1,1))-AVERAGE(OFFSET($H$3,0,0,'Données projet'!$E$17+1,1))</f>
        <v>448.73339628506784</v>
      </c>
      <c r="GF89" s="59">
        <f t="shared" si="104"/>
        <v>273.35778700650803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29.039637048268936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29.039637048268936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5.4</v>
      </c>
      <c r="N90" s="13">
        <f>IF('Données projet'!$A$36&gt;35,N89+M90-V89,IF(A90&lt;'Données projet'!$A$36,$K$205^A90,IF(A90='Données projet'!$A$36,'Données projet'!$B$36,N89+M90-V89)))</f>
        <v>258.7999999999999</v>
      </c>
      <c r="O90" s="13">
        <f>N90*VLOOKUP('Données projet'!$B$9,Paramètres!$A$1:$I$89,3,0)*VLOOKUP('Données projet'!$B$9,Paramètres!$A$1:$I$89,5,0)</f>
        <v>234.16223999999988</v>
      </c>
      <c r="P90" s="13">
        <f t="shared" si="87"/>
        <v>57.181713578143047</v>
      </c>
      <c r="Q90" s="20">
        <f t="shared" si="54"/>
        <v>507.42405248193222</v>
      </c>
      <c r="R90" s="59">
        <f t="shared" si="55"/>
        <v>780.75885505240706</v>
      </c>
      <c r="S90" s="59">
        <f ca="1">AVERAGE(OFFSET($R$3,0,0,'Données projet'!$E$9+1,1))-AVERAGE(OFFSET($H$3,0,0,'Données projet'!$E$9+1,1))</f>
        <v>408.51124670343137</v>
      </c>
      <c r="T90" s="59">
        <f t="shared" si="88"/>
        <v>250.47702091764884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25.404167288223963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25.404167288223963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-2.8421709430404007E-13</v>
      </c>
      <c r="AJ90" s="13">
        <f>AI90*VLOOKUP('Données projet'!$B$10,Paramètres!$A$1:$I$89,3,0)*VLOOKUP('Données projet'!$B$10,Paramètres!$A$1:$I$89,5,0)</f>
        <v>-2.2612312022829427E-13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327.22763817565902</v>
      </c>
      <c r="AO90" s="59">
        <f t="shared" si="90"/>
        <v>311.68541696405975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90.463740412428052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90.463740412428052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2.8421709430404007E-14</v>
      </c>
      <c r="BE90" s="13">
        <f>BD90*VLOOKUP('Données projet'!$B$11,Paramètres!$A$1:$I$89,3,0)*VLOOKUP('Données projet'!$B$11,Paramètres!$A$1:$I$89,5,0)</f>
        <v>1.8178525351686402E-14</v>
      </c>
      <c r="BF90" s="13">
        <f t="shared" si="91"/>
        <v>3.3304129621647644E-13</v>
      </c>
      <c r="BG90" s="20">
        <f t="shared" si="61"/>
        <v>6.1170785589788349E-13</v>
      </c>
      <c r="BH90" s="59">
        <f t="shared" si="62"/>
        <v>273.33480257047546</v>
      </c>
      <c r="BI90" s="59">
        <f ca="1">AVERAGE(OFFSET($BH$3,0,0,'Données projet'!$E$11+1,1))-AVERAGE(OFFSET($H$3,0,0,'Données projet'!$E$11+1,1))</f>
        <v>169.46470423366029</v>
      </c>
      <c r="BJ90" s="59">
        <f t="shared" si="92"/>
        <v>230.78141128389288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19.597638245790108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19.597638245790108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</v>
      </c>
      <c r="BY90" s="12">
        <f>IF('Données projet'!$A$114&gt;35,BY89+BX90-CG89,IF(A90&lt;'Données projet'!$A$114,$BV$205^A90,IF(A90='Données projet'!$A$114,'Données projet'!$B$114,BY89+BX90-CG89)))</f>
        <v>223.99999999999983</v>
      </c>
      <c r="BZ90" s="13">
        <f>BY90*VLOOKUP('Données projet'!$B$12,Paramètres!$A$1:$I$89,3,0)*VLOOKUP('Données projet'!$B$12,Paramètres!$A$1:$I$89,5,0)</f>
        <v>195.68639999999988</v>
      </c>
      <c r="CA90" s="13">
        <f t="shared" si="93"/>
        <v>48.794969360985114</v>
      </c>
      <c r="CB90" s="20">
        <f t="shared" si="64"/>
        <v>425.80505163704879</v>
      </c>
      <c r="CC90" s="59">
        <f t="shared" si="65"/>
        <v>699.13985420752363</v>
      </c>
      <c r="CD90" s="59">
        <f ca="1">AVERAGE(OFFSET($CC$3,0,0,'Données projet'!$E$12+1,1))-AVERAGE(OFFSET($H$3,0,0,'Données projet'!$E$12+1,1))</f>
        <v>342.79161436526499</v>
      </c>
      <c r="CE90" s="59">
        <f t="shared" si="94"/>
        <v>315.50730924873733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23.186071424781648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23.186071424781648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4.2</v>
      </c>
      <c r="CT90" s="12">
        <f>IF('Données projet'!$A$140&gt;35,CT89+CS90-DB89,IF(A90&lt;'Données projet'!$A$140,$CQ$205^A90,IF(A90='Données projet'!$A$140,'Données projet'!$B$140,CT89+CS90-DB89)))</f>
        <v>194.39999999999998</v>
      </c>
      <c r="CU90" s="17">
        <f>CT90*VLOOKUP('Données projet'!$B$13,Paramètres!$A$1:$I$89,3,0)*VLOOKUP('Données projet'!$B$13,Paramètres!$A$1:$I$89,5,0)</f>
        <v>130.40351999999999</v>
      </c>
      <c r="CV90" s="13">
        <f t="shared" si="95"/>
        <v>34.089584131775545</v>
      </c>
      <c r="CW90" s="20">
        <f t="shared" si="67"/>
        <v>286.49215636284242</v>
      </c>
      <c r="CX90" s="59">
        <f t="shared" si="68"/>
        <v>559.8269589333172</v>
      </c>
      <c r="CY90" s="59">
        <f ca="1">AVERAGE(OFFSET($CX$3,0,0,'Données projet'!$E$13+1,1))-AVERAGE(OFFSET($H$3,0,0,'Données projet'!$E$13+1,1))</f>
        <v>201.84651193684252</v>
      </c>
      <c r="CZ90" s="59">
        <f t="shared" si="96"/>
        <v>138.00705940844708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16.859896913376861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16.859896913376861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1.1368683772161603E-13</v>
      </c>
      <c r="DP90" s="17">
        <f>DO90*VLOOKUP('Données projet'!$B$14,Paramètres!$A$1:$I$89,3,0)*VLOOKUP('Données projet'!$B$14,Paramètres!$A$1:$I$89,5,0)</f>
        <v>8.3355189417488869E-14</v>
      </c>
      <c r="DQ90" s="13">
        <f t="shared" si="97"/>
        <v>1.2790518435140618E-12</v>
      </c>
      <c r="DR90" s="20">
        <f t="shared" si="70"/>
        <v>2.3728589156891171E-12</v>
      </c>
      <c r="DS90" s="59">
        <f t="shared" si="71"/>
        <v>273.33480257047722</v>
      </c>
      <c r="DT90" s="59">
        <f ca="1">AVERAGE(OFFSET($DS$3,0,0,'Données projet'!$E$14+1,1))-AVERAGE(OFFSET($H$3,0,0,'Données projet'!$E$14+1,1))</f>
        <v>242.21240859696931</v>
      </c>
      <c r="DU90" s="59">
        <f t="shared" si="98"/>
        <v>340.92165104349192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36.933069035202472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36.933069035202472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4.2</v>
      </c>
      <c r="EJ90" s="12">
        <f>IF('Données projet'!$A$192&gt;35,EJ89+EI90-ER89,IF(A90&lt;'Données projet'!$A$192,$EG$205^A90,IF(A90='Données projet'!$A$192,'Données projet'!$B$192,EJ89+EI90-ER89)))</f>
        <v>194.39999999999998</v>
      </c>
      <c r="EK90" s="17">
        <f>EJ90*VLOOKUP('Données projet'!$B$15,Paramètres!$A$1:$I$89,3,0)*VLOOKUP('Données projet'!$B$15,Paramètres!$A$1:$I$89,5,0)</f>
        <v>188.02367999999998</v>
      </c>
      <c r="EL90" s="13">
        <f t="shared" si="99"/>
        <v>47.102751018267753</v>
      </c>
      <c r="EM90" s="20">
        <f t="shared" si="73"/>
        <v>409.51186735681631</v>
      </c>
      <c r="EN90" s="59">
        <f t="shared" si="74"/>
        <v>682.84666992729115</v>
      </c>
      <c r="EO90" s="59">
        <f ca="1">AVERAGE(OFFSET($EN$3,0,0,'Données projet'!$E$15+1,1))-AVERAGE(OFFSET($H$3,0,0,'Données projet'!$E$15+1,1))</f>
        <v>331.7059599630698</v>
      </c>
      <c r="EP90" s="59">
        <f t="shared" si="100"/>
        <v>173.19148969173838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4.1557037417852998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4.1557037417852998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4.2</v>
      </c>
      <c r="FE90" s="12">
        <f>IF('Données projet'!$A$218&gt;35,FE89+FD90-FM89,IF(A90&lt;'Données projet'!$A$218,$FB$205^A90,IF(A90='Données projet'!$A$218,'Données projet'!$B$218,FE89+FD90-FM89)))</f>
        <v>194.39999999999998</v>
      </c>
      <c r="FF90" s="17">
        <f>FE90*VLOOKUP('Données projet'!$B$16,Paramètres!$A$1:$I$89,3,0)*VLOOKUP('Données projet'!$B$16,Paramètres!$A$1:$I$89,5,0)</f>
        <v>209.25215999999995</v>
      </c>
      <c r="FG90" s="13">
        <f t="shared" si="101"/>
        <v>51.772129927379012</v>
      </c>
      <c r="FH90" s="20">
        <f t="shared" si="76"/>
        <v>454.61730495685168</v>
      </c>
      <c r="FI90" s="59">
        <f t="shared" si="77"/>
        <v>727.95210752732646</v>
      </c>
      <c r="FJ90" s="59">
        <f ca="1">AVERAGE(OFFSET($FI$3,0,0,'Données projet'!$E$16+1,1))-AVERAGE(OFFSET($H$3,0,0,'Données projet'!$E$16+1,1))</f>
        <v>360.86062459677004</v>
      </c>
      <c r="FK90" s="59">
        <f t="shared" si="102"/>
        <v>186.0840067781198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18.249042085115573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18.249042085115573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5.4</v>
      </c>
      <c r="FZ90" s="12">
        <f>IF('Données projet'!$A$244&gt;35,FZ89+FY90-GH89,IF(A90&lt;'Données projet'!$A$244,$FW$205^A90,IF(A90='Données projet'!$A$244,'Données projet'!$B$244,FZ89+FY90-GH89)))</f>
        <v>258.7999999999999</v>
      </c>
      <c r="GA90" s="17">
        <f>FZ90*VLOOKUP('Données projet'!$B$17,Paramètres!$A$1:$I$89,3,0)*VLOOKUP('Données projet'!$B$17,Paramètres!$A$1:$I$89,5,0)</f>
        <v>262.42319999999989</v>
      </c>
      <c r="GB90" s="13">
        <f t="shared" si="103"/>
        <v>63.238627062047733</v>
      </c>
      <c r="GC90" s="20">
        <f t="shared" si="79"/>
        <v>567.19434879973289</v>
      </c>
      <c r="GD90" s="59">
        <f t="shared" si="80"/>
        <v>840.52915137020773</v>
      </c>
      <c r="GE90" s="59">
        <f ca="1">AVERAGE(OFFSET($GD$3,0,0,'Données projet'!$E$17+1,1))-AVERAGE(OFFSET($H$3,0,0,'Données projet'!$E$17+1,1))</f>
        <v>448.73339628506784</v>
      </c>
      <c r="GF90" s="59">
        <f t="shared" si="104"/>
        <v>273.35778700650803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28.470187478182023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28.470187478182023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5.4</v>
      </c>
      <c r="N91" s="13">
        <f>IF('Données projet'!$A$36&gt;35,N90+M91-V90,IF(A91&lt;'Données projet'!$A$36,$K$205^A91,IF(A91='Données projet'!$A$36,'Données projet'!$B$36,N90+M91-V90)))</f>
        <v>264.19999999999987</v>
      </c>
      <c r="O91" s="13">
        <f>N91*VLOOKUP('Données projet'!$B$9,Paramètres!$A$1:$I$89,3,0)*VLOOKUP('Données projet'!$B$9,Paramètres!$A$1:$I$89,5,0)</f>
        <v>239.04815999999985</v>
      </c>
      <c r="P91" s="13">
        <f t="shared" si="87"/>
        <v>58.234690128947292</v>
      </c>
      <c r="Q91" s="20">
        <f t="shared" si="54"/>
        <v>517.76763064124964</v>
      </c>
      <c r="R91" s="59">
        <f t="shared" si="55"/>
        <v>791.44936301044334</v>
      </c>
      <c r="S91" s="59">
        <f ca="1">AVERAGE(OFFSET($R$3,0,0,'Données projet'!$E$9+1,1))-AVERAGE(OFFSET($H$3,0,0,'Données projet'!$E$9+1,1))</f>
        <v>408.51124670343137</v>
      </c>
      <c r="T91" s="59">
        <f t="shared" si="88"/>
        <v>250.47702091764884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24.906007062713932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24.906007062713932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-2.8421709430404007E-13</v>
      </c>
      <c r="AJ91" s="13">
        <f>AI91*VLOOKUP('Données projet'!$B$10,Paramètres!$A$1:$I$89,3,0)*VLOOKUP('Données projet'!$B$10,Paramètres!$A$1:$I$89,5,0)</f>
        <v>-2.2612312022829427E-13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327.22763817565902</v>
      </c>
      <c r="AO91" s="59">
        <f t="shared" si="90"/>
        <v>311.68541696405975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88.689801640373673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88.689801640373673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2.8421709430404007E-14</v>
      </c>
      <c r="BE91" s="13">
        <f>BD91*VLOOKUP('Données projet'!$B$11,Paramètres!$A$1:$I$89,3,0)*VLOOKUP('Données projet'!$B$11,Paramètres!$A$1:$I$89,5,0)</f>
        <v>1.8178525351686402E-14</v>
      </c>
      <c r="BF91" s="13">
        <f t="shared" si="91"/>
        <v>3.3304129621647644E-13</v>
      </c>
      <c r="BG91" s="20">
        <f t="shared" si="61"/>
        <v>6.1170785589788349E-13</v>
      </c>
      <c r="BH91" s="59">
        <f t="shared" si="62"/>
        <v>273.68173236919432</v>
      </c>
      <c r="BI91" s="59">
        <f ca="1">AVERAGE(OFFSET($BH$3,0,0,'Données projet'!$E$11+1,1))-AVERAGE(OFFSET($H$3,0,0,'Données projet'!$E$11+1,1))</f>
        <v>169.46470423366029</v>
      </c>
      <c r="BJ91" s="59">
        <f t="shared" si="92"/>
        <v>230.78141128389288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19.213340513169197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19.213340513169197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</v>
      </c>
      <c r="BY91" s="12">
        <f>IF('Données projet'!$A$114&gt;35,BY90+BX91-CG90,IF(A91&lt;'Données projet'!$A$114,$BV$205^A91,IF(A91='Données projet'!$A$114,'Données projet'!$B$114,BY90+BX91-CG90)))</f>
        <v>226.99999999999983</v>
      </c>
      <c r="BZ91" s="13">
        <f>BY91*VLOOKUP('Données projet'!$B$12,Paramètres!$A$1:$I$89,3,0)*VLOOKUP('Données projet'!$B$12,Paramètres!$A$1:$I$89,5,0)</f>
        <v>198.30719999999988</v>
      </c>
      <c r="CA91" s="13">
        <f t="shared" si="93"/>
        <v>49.371957679623321</v>
      </c>
      <c r="CB91" s="20">
        <f t="shared" si="64"/>
        <v>431.37453295867704</v>
      </c>
      <c r="CC91" s="59">
        <f t="shared" si="65"/>
        <v>705.05626532787073</v>
      </c>
      <c r="CD91" s="59">
        <f ca="1">AVERAGE(OFFSET($CC$3,0,0,'Données projet'!$E$12+1,1))-AVERAGE(OFFSET($H$3,0,0,'Données projet'!$E$12+1,1))</f>
        <v>342.79161436526499</v>
      </c>
      <c r="CE91" s="59">
        <f t="shared" si="94"/>
        <v>315.50730924873733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22.731406706248833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22.731406706248833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4.2</v>
      </c>
      <c r="CT91" s="12">
        <f>IF('Données projet'!$A$140&gt;35,CT90+CS91-DB90,IF(A91&lt;'Données projet'!$A$140,$CQ$205^A91,IF(A91='Données projet'!$A$140,'Données projet'!$B$140,CT90+CS91-DB90)))</f>
        <v>198.59999999999997</v>
      </c>
      <c r="CU91" s="17">
        <f>CT91*VLOOKUP('Données projet'!$B$13,Paramètres!$A$1:$I$89,3,0)*VLOOKUP('Données projet'!$B$13,Paramètres!$A$1:$I$89,5,0)</f>
        <v>133.22087999999997</v>
      </c>
      <c r="CV91" s="13">
        <f t="shared" si="95"/>
        <v>34.739546717693649</v>
      </c>
      <c r="CW91" s="20">
        <f t="shared" si="67"/>
        <v>292.53107653331637</v>
      </c>
      <c r="CX91" s="59">
        <f t="shared" si="68"/>
        <v>566.21280890251001</v>
      </c>
      <c r="CY91" s="59">
        <f ca="1">AVERAGE(OFFSET($CX$3,0,0,'Données projet'!$E$13+1,1))-AVERAGE(OFFSET($H$3,0,0,'Données projet'!$E$13+1,1))</f>
        <v>201.84651193684252</v>
      </c>
      <c r="CZ91" s="59">
        <f t="shared" si="96"/>
        <v>138.00705940844708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16.529284618427244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16.529284618427244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1.1368683772161603E-13</v>
      </c>
      <c r="DP91" s="17">
        <f>DO91*VLOOKUP('Données projet'!$B$14,Paramètres!$A$1:$I$89,3,0)*VLOOKUP('Données projet'!$B$14,Paramètres!$A$1:$I$89,5,0)</f>
        <v>8.3355189417488869E-14</v>
      </c>
      <c r="DQ91" s="13">
        <f t="shared" si="97"/>
        <v>1.2790518435140618E-12</v>
      </c>
      <c r="DR91" s="20">
        <f t="shared" si="70"/>
        <v>2.3728589156891171E-12</v>
      </c>
      <c r="DS91" s="59">
        <f t="shared" si="71"/>
        <v>273.68173236919608</v>
      </c>
      <c r="DT91" s="59">
        <f ca="1">AVERAGE(OFFSET($DS$3,0,0,'Données projet'!$E$14+1,1))-AVERAGE(OFFSET($H$3,0,0,'Données projet'!$E$14+1,1))</f>
        <v>242.21240859696931</v>
      </c>
      <c r="DU91" s="59">
        <f t="shared" si="98"/>
        <v>340.92165104349192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36.208834078369911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36.208834078369911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4.2</v>
      </c>
      <c r="EJ91" s="12">
        <f>IF('Données projet'!$A$192&gt;35,EJ90+EI91-ER90,IF(A91&lt;'Données projet'!$A$192,$EG$205^A91,IF(A91='Données projet'!$A$192,'Données projet'!$B$192,EJ90+EI91-ER90)))</f>
        <v>198.59999999999997</v>
      </c>
      <c r="EK91" s="17">
        <f>EJ91*VLOOKUP('Données projet'!$B$15,Paramètres!$A$1:$I$89,3,0)*VLOOKUP('Données projet'!$B$15,Paramètres!$A$1:$I$89,5,0)</f>
        <v>192.08591999999996</v>
      </c>
      <c r="EL91" s="13">
        <f t="shared" si="99"/>
        <v>48.000826680832176</v>
      </c>
      <c r="EM91" s="20">
        <f t="shared" si="73"/>
        <v>418.15108380244925</v>
      </c>
      <c r="EN91" s="59">
        <f t="shared" si="74"/>
        <v>691.83281617164289</v>
      </c>
      <c r="EO91" s="59">
        <f ca="1">AVERAGE(OFFSET($EN$3,0,0,'Données projet'!$E$15+1,1))-AVERAGE(OFFSET($H$3,0,0,'Données projet'!$E$15+1,1))</f>
        <v>331.7059599630698</v>
      </c>
      <c r="EP91" s="59">
        <f t="shared" si="100"/>
        <v>173.19148969173838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4.0742129261378892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4.0742129261378892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4.2</v>
      </c>
      <c r="FE91" s="12">
        <f>IF('Données projet'!$A$218&gt;35,FE90+FD91-FM90,IF(A91&lt;'Données projet'!$A$218,$FB$205^A91,IF(A91='Données projet'!$A$218,'Données projet'!$B$218,FE90+FD91-FM90)))</f>
        <v>198.59999999999997</v>
      </c>
      <c r="FF91" s="17">
        <f>FE91*VLOOKUP('Données projet'!$B$16,Paramètres!$A$1:$I$89,3,0)*VLOOKUP('Données projet'!$B$16,Paramètres!$A$1:$I$89,5,0)</f>
        <v>213.77303999999995</v>
      </c>
      <c r="FG91" s="13">
        <f t="shared" si="101"/>
        <v>52.759233416703239</v>
      </c>
      <c r="FH91" s="20">
        <f t="shared" si="76"/>
        <v>464.21037620075805</v>
      </c>
      <c r="FI91" s="59">
        <f t="shared" si="77"/>
        <v>737.89210856995169</v>
      </c>
      <c r="FJ91" s="59">
        <f ca="1">AVERAGE(OFFSET($FI$3,0,0,'Données projet'!$E$16+1,1))-AVERAGE(OFFSET($H$3,0,0,'Données projet'!$E$16+1,1))</f>
        <v>360.86062459677004</v>
      </c>
      <c r="FK91" s="59">
        <f t="shared" si="102"/>
        <v>186.0840067781198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17.891189500643051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17.891189500643051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5.4</v>
      </c>
      <c r="FZ91" s="12">
        <f>IF('Données projet'!$A$244&gt;35,FZ90+FY91-GH90,IF(A91&lt;'Données projet'!$A$244,$FW$205^A91,IF(A91='Données projet'!$A$244,'Données projet'!$B$244,FZ90+FY91-GH90)))</f>
        <v>264.19999999999987</v>
      </c>
      <c r="GA91" s="17">
        <f>FZ91*VLOOKUP('Données projet'!$B$17,Paramètres!$A$1:$I$89,3,0)*VLOOKUP('Données projet'!$B$17,Paramètres!$A$1:$I$89,5,0)</f>
        <v>267.89879999999988</v>
      </c>
      <c r="GB91" s="13">
        <f t="shared" si="103"/>
        <v>64.403139057834508</v>
      </c>
      <c r="GC91" s="20">
        <f t="shared" si="79"/>
        <v>578.75921052572812</v>
      </c>
      <c r="GD91" s="59">
        <f t="shared" si="80"/>
        <v>852.44094289492182</v>
      </c>
      <c r="GE91" s="59">
        <f ca="1">AVERAGE(OFFSET($GD$3,0,0,'Données projet'!$E$17+1,1))-AVERAGE(OFFSET($H$3,0,0,'Données projet'!$E$17+1,1))</f>
        <v>448.73339628506784</v>
      </c>
      <c r="GF91" s="59">
        <f t="shared" si="104"/>
        <v>273.35778700650803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27.911904466834574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27.911904466834574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5.4</v>
      </c>
      <c r="N92" s="13">
        <f>IF('Données projet'!$A$36&gt;35,N91+M92-V91,IF(A92&lt;'Données projet'!$A$36,$K$205^A92,IF(A92='Données projet'!$A$36,'Données projet'!$B$36,N91+M92-V91)))</f>
        <v>269.59999999999985</v>
      </c>
      <c r="O92" s="13">
        <f>N92*VLOOKUP('Données projet'!$B$9,Paramètres!$A$1:$I$89,3,0)*VLOOKUP('Données projet'!$B$9,Paramètres!$A$1:$I$89,5,0)</f>
        <v>243.93407999999988</v>
      </c>
      <c r="P92" s="13">
        <f t="shared" si="87"/>
        <v>59.285164329617594</v>
      </c>
      <c r="Q92" s="20">
        <f t="shared" si="54"/>
        <v>528.10685054075043</v>
      </c>
      <c r="R92" s="59">
        <f t="shared" si="55"/>
        <v>802.12949425227407</v>
      </c>
      <c r="S92" s="59">
        <f ca="1">AVERAGE(OFFSET($R$3,0,0,'Données projet'!$E$9+1,1))-AVERAGE(OFFSET($H$3,0,0,'Données projet'!$E$9+1,1))</f>
        <v>408.51124670343137</v>
      </c>
      <c r="T92" s="59">
        <f t="shared" si="88"/>
        <v>250.47702091764884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24.417615455378417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24.417615455378417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-2.8421709430404007E-13</v>
      </c>
      <c r="AJ92" s="13">
        <f>AI92*VLOOKUP('Données projet'!$B$10,Paramètres!$A$1:$I$89,3,0)*VLOOKUP('Données projet'!$B$10,Paramètres!$A$1:$I$89,5,0)</f>
        <v>-2.2612312022829427E-13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327.22763817565902</v>
      </c>
      <c r="AO92" s="59">
        <f t="shared" si="90"/>
        <v>311.68541696405975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86.950648725643461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86.950648725643461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2.8421709430404007E-14</v>
      </c>
      <c r="BE92" s="13">
        <f>BD92*VLOOKUP('Données projet'!$B$11,Paramètres!$A$1:$I$89,3,0)*VLOOKUP('Données projet'!$B$11,Paramètres!$A$1:$I$89,5,0)</f>
        <v>1.8178525351686402E-14</v>
      </c>
      <c r="BF92" s="13">
        <f t="shared" si="91"/>
        <v>3.3304129621647644E-13</v>
      </c>
      <c r="BG92" s="20">
        <f t="shared" si="61"/>
        <v>6.1170785589788349E-13</v>
      </c>
      <c r="BH92" s="59">
        <f t="shared" si="62"/>
        <v>274.02264371152421</v>
      </c>
      <c r="BI92" s="59">
        <f ca="1">AVERAGE(OFFSET($BH$3,0,0,'Données projet'!$E$11+1,1))-AVERAGE(OFFSET($H$3,0,0,'Données projet'!$E$11+1,1))</f>
        <v>169.46470423366029</v>
      </c>
      <c r="BJ92" s="59">
        <f t="shared" si="92"/>
        <v>230.78141128389288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18.83657862468651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18.83657862468651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</v>
      </c>
      <c r="BY92" s="12">
        <f>IF('Données projet'!$A$114&gt;35,BY91+BX92-CG91,IF(A92&lt;'Données projet'!$A$114,$BV$205^A92,IF(A92='Données projet'!$A$114,'Données projet'!$B$114,BY91+BX92-CG91)))</f>
        <v>229.99999999999983</v>
      </c>
      <c r="BZ92" s="13">
        <f>BY92*VLOOKUP('Données projet'!$B$12,Paramètres!$A$1:$I$89,3,0)*VLOOKUP('Données projet'!$B$12,Paramètres!$A$1:$I$89,5,0)</f>
        <v>200.92799999999988</v>
      </c>
      <c r="CA92" s="13">
        <f t="shared" si="93"/>
        <v>49.948059057189042</v>
      </c>
      <c r="CB92" s="20">
        <f t="shared" si="64"/>
        <v>436.94246952460395</v>
      </c>
      <c r="CC92" s="59">
        <f t="shared" si="65"/>
        <v>710.96511323612754</v>
      </c>
      <c r="CD92" s="59">
        <f ca="1">AVERAGE(OFFSET($CC$3,0,0,'Données projet'!$E$12+1,1))-AVERAGE(OFFSET($H$3,0,0,'Données projet'!$E$12+1,1))</f>
        <v>342.79161436526499</v>
      </c>
      <c r="CE92" s="59">
        <f t="shared" si="94"/>
        <v>315.50730924873733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22.285657685528349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22.285657685528349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4.2</v>
      </c>
      <c r="CT92" s="12">
        <f>IF('Données projet'!$A$140&gt;35,CT91+CS92-DB91,IF(A92&lt;'Données projet'!$A$140,$CQ$205^A92,IF(A92='Données projet'!$A$140,'Données projet'!$B$140,CT91+CS92-DB91)))</f>
        <v>202.79999999999995</v>
      </c>
      <c r="CU92" s="17">
        <f>CT92*VLOOKUP('Données projet'!$B$13,Paramètres!$A$1:$I$89,3,0)*VLOOKUP('Données projet'!$B$13,Paramètres!$A$1:$I$89,5,0)</f>
        <v>136.03823999999997</v>
      </c>
      <c r="CV92" s="13">
        <f t="shared" si="95"/>
        <v>35.387911177023945</v>
      </c>
      <c r="CW92" s="20">
        <f t="shared" si="67"/>
        <v>298.56721329998328</v>
      </c>
      <c r="CX92" s="59">
        <f t="shared" si="68"/>
        <v>572.58985701150687</v>
      </c>
      <c r="CY92" s="59">
        <f ca="1">AVERAGE(OFFSET($CX$3,0,0,'Données projet'!$E$13+1,1))-AVERAGE(OFFSET($H$3,0,0,'Données projet'!$E$13+1,1))</f>
        <v>201.84651193684252</v>
      </c>
      <c r="CZ92" s="59">
        <f t="shared" si="96"/>
        <v>138.00705940844708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16.205155428928002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16.205155428928002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1.1368683772161603E-13</v>
      </c>
      <c r="DP92" s="17">
        <f>DO92*VLOOKUP('Données projet'!$B$14,Paramètres!$A$1:$I$89,3,0)*VLOOKUP('Données projet'!$B$14,Paramètres!$A$1:$I$89,5,0)</f>
        <v>8.3355189417488869E-14</v>
      </c>
      <c r="DQ92" s="13">
        <f t="shared" si="97"/>
        <v>1.2790518435140618E-12</v>
      </c>
      <c r="DR92" s="20">
        <f t="shared" si="70"/>
        <v>2.3728589156891171E-12</v>
      </c>
      <c r="DS92" s="59">
        <f t="shared" si="71"/>
        <v>274.02264371152597</v>
      </c>
      <c r="DT92" s="59">
        <f ca="1">AVERAGE(OFFSET($DS$3,0,0,'Données projet'!$E$14+1,1))-AVERAGE(OFFSET($H$3,0,0,'Données projet'!$E$14+1,1))</f>
        <v>242.21240859696931</v>
      </c>
      <c r="DU92" s="59">
        <f t="shared" si="98"/>
        <v>340.92165104349192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35.498800927301133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35.498800927301133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4.2</v>
      </c>
      <c r="EJ92" s="12">
        <f>IF('Données projet'!$A$192&gt;35,EJ91+EI92-ER91,IF(A92&lt;'Données projet'!$A$192,$EG$205^A92,IF(A92='Données projet'!$A$192,'Données projet'!$B$192,EJ91+EI92-ER91)))</f>
        <v>202.79999999999995</v>
      </c>
      <c r="EK92" s="17">
        <f>EJ92*VLOOKUP('Données projet'!$B$15,Paramètres!$A$1:$I$89,3,0)*VLOOKUP('Données projet'!$B$15,Paramètres!$A$1:$I$89,5,0)</f>
        <v>196.14815999999996</v>
      </c>
      <c r="EL92" s="13">
        <f t="shared" si="99"/>
        <v>48.896694156917398</v>
      </c>
      <c r="EM92" s="20">
        <f t="shared" si="73"/>
        <v>426.78645432329768</v>
      </c>
      <c r="EN92" s="59">
        <f t="shared" si="74"/>
        <v>700.80909803482132</v>
      </c>
      <c r="EO92" s="59">
        <f ca="1">AVERAGE(OFFSET($EN$3,0,0,'Données projet'!$E$15+1,1))-AVERAGE(OFFSET($H$3,0,0,'Données projet'!$E$15+1,1))</f>
        <v>331.7059599630698</v>
      </c>
      <c r="EP92" s="59">
        <f t="shared" si="100"/>
        <v>173.19148969173838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3.9943200956808345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3.9943200956808345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4.2</v>
      </c>
      <c r="FE92" s="12">
        <f>IF('Données projet'!$A$218&gt;35,FE91+FD92-FM91,IF(A92&lt;'Données projet'!$A$218,$FB$205^A92,IF(A92='Données projet'!$A$218,'Données projet'!$B$218,FE91+FD92-FM91)))</f>
        <v>202.79999999999995</v>
      </c>
      <c r="FF92" s="17">
        <f>FE92*VLOOKUP('Données projet'!$B$16,Paramètres!$A$1:$I$89,3,0)*VLOOKUP('Données projet'!$B$16,Paramètres!$A$1:$I$89,5,0)</f>
        <v>218.29391999999996</v>
      </c>
      <c r="FG92" s="13">
        <f t="shared" si="101"/>
        <v>53.743909818122162</v>
      </c>
      <c r="FH92" s="20">
        <f t="shared" si="76"/>
        <v>473.79922026656277</v>
      </c>
      <c r="FI92" s="59">
        <f t="shared" si="77"/>
        <v>747.82186397808641</v>
      </c>
      <c r="FJ92" s="59">
        <f ca="1">AVERAGE(OFFSET($FI$3,0,0,'Données projet'!$E$16+1,1))-AVERAGE(OFFSET($H$3,0,0,'Données projet'!$E$16+1,1))</f>
        <v>360.86062459677004</v>
      </c>
      <c r="FK92" s="59">
        <f t="shared" si="102"/>
        <v>186.0840067781198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17.540354187083512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17.540354187083512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5.4</v>
      </c>
      <c r="FZ92" s="12">
        <f>IF('Données projet'!$A$244&gt;35,FZ91+FY92-GH91,IF(A92&lt;'Données projet'!$A$244,$FW$205^A92,IF(A92='Données projet'!$A$244,'Données projet'!$B$244,FZ91+FY92-GH91)))</f>
        <v>269.59999999999985</v>
      </c>
      <c r="GA92" s="17">
        <f>FZ92*VLOOKUP('Données projet'!$B$17,Paramètres!$A$1:$I$89,3,0)*VLOOKUP('Données projet'!$B$17,Paramètres!$A$1:$I$89,5,0)</f>
        <v>273.37439999999987</v>
      </c>
      <c r="GB92" s="13">
        <f t="shared" si="103"/>
        <v>65.564883644654373</v>
      </c>
      <c r="GC92" s="20">
        <f t="shared" si="79"/>
        <v>590.3192523477727</v>
      </c>
      <c r="GD92" s="59">
        <f t="shared" si="80"/>
        <v>864.34189605929623</v>
      </c>
      <c r="GE92" s="59">
        <f ca="1">AVERAGE(OFFSET($GD$3,0,0,'Données projet'!$E$17+1,1))-AVERAGE(OFFSET($H$3,0,0,'Données projet'!$E$17+1,1))</f>
        <v>448.73339628506784</v>
      </c>
      <c r="GF92" s="59">
        <f t="shared" si="104"/>
        <v>273.35778700650803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27.364569044820634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27.364569044820634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275</v>
      </c>
      <c r="L93" s="12">
        <f>VLOOKUP(A93,'Données projet'!$A$35:$I$55,9,0)</f>
        <v>5.4</v>
      </c>
      <c r="M93" s="12">
        <f t="array" ref="M93">INDEX(L:L,MIN(IF(ISNUMBER(L93:L289),ROW(L93:L289),"")))</f>
        <v>5.4</v>
      </c>
      <c r="N93" s="13">
        <f>IF('Données projet'!$A$36&gt;35,N92+M93-V92,IF(A93&lt;'Données projet'!$A$36,$K$205^A93,IF(A93='Données projet'!$A$36,'Données projet'!$B$36,N92+M93-V92)))</f>
        <v>274.99999999999983</v>
      </c>
      <c r="O93" s="13">
        <f>N93*VLOOKUP('Données projet'!$B$9,Paramètres!$A$1:$I$89,3,0)*VLOOKUP('Données projet'!$B$9,Paramètres!$A$1:$I$89,5,0)</f>
        <v>248.81999999999982</v>
      </c>
      <c r="P93" s="13">
        <f t="shared" si="87"/>
        <v>60.333192077890018</v>
      </c>
      <c r="Q93" s="20">
        <f t="shared" si="54"/>
        <v>538.44180953565808</v>
      </c>
      <c r="R93" s="59">
        <f t="shared" si="55"/>
        <v>812.79945053988581</v>
      </c>
      <c r="S93" s="59">
        <f ca="1">AVERAGE(OFFSET($R$3,0,0,'Données projet'!$E$9+1,1))-AVERAGE(OFFSET($H$3,0,0,'Données projet'!$E$9+1,1))</f>
        <v>408.51124670343137</v>
      </c>
      <c r="T93" s="59">
        <f t="shared" si="88"/>
        <v>250.47702091764884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21</v>
      </c>
      <c r="W93" s="16">
        <f>IF(ISNA(VLOOKUP(A93,'Données projet'!$A$35:$I$55,5,0)),0%,VLOOKUP(A93,'Données projet'!$A$35:$I$55,5,0)*VLOOKUP('Données projet'!$B$9,Paramètres!$A$1:$I$89,7,0))</f>
        <v>0.30099999999999999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30.261252207389617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30.261252207389617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-2.8421709430404007E-13</v>
      </c>
      <c r="AJ93" s="13">
        <f>AI93*VLOOKUP('Données projet'!$B$10,Paramètres!$A$1:$I$89,3,0)*VLOOKUP('Données projet'!$B$10,Paramètres!$A$1:$I$89,5,0)</f>
        <v>-2.2612312022829427E-13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327.22763817565902</v>
      </c>
      <c r="AO93" s="59">
        <f t="shared" si="90"/>
        <v>311.68541696405975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85.245599538792575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85.245599538792575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2.8421709430404007E-14</v>
      </c>
      <c r="BE93" s="13">
        <f>BD93*VLOOKUP('Données projet'!$B$11,Paramètres!$A$1:$I$89,3,0)*VLOOKUP('Données projet'!$B$11,Paramètres!$A$1:$I$89,5,0)</f>
        <v>1.8178525351686402E-14</v>
      </c>
      <c r="BF93" s="13">
        <f t="shared" si="91"/>
        <v>3.3304129621647644E-13</v>
      </c>
      <c r="BG93" s="20">
        <f t="shared" si="61"/>
        <v>6.1170785589788349E-13</v>
      </c>
      <c r="BH93" s="59">
        <f t="shared" si="62"/>
        <v>274.3576410042283</v>
      </c>
      <c r="BI93" s="59">
        <f ca="1">AVERAGE(OFFSET($BH$3,0,0,'Données projet'!$E$11+1,1))-AVERAGE(OFFSET($H$3,0,0,'Données projet'!$E$11+1,1))</f>
        <v>169.46470423366029</v>
      </c>
      <c r="BJ93" s="59">
        <f t="shared" si="92"/>
        <v>230.78141128389288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18.467204807034907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18.467204807034907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233</v>
      </c>
      <c r="BW93" s="12">
        <f>VLOOKUP(A93,'Données projet'!$A$113:$I$133,9,0)</f>
        <v>3</v>
      </c>
      <c r="BX93" s="12">
        <f t="array" ref="BX93">INDEX(BW:BW,MIN(IF(ISNUMBER(BW93:BW289),ROW(BW93:BW289),"")))</f>
        <v>3</v>
      </c>
      <c r="BY93" s="12">
        <f>IF('Données projet'!$A$114&gt;35,BY92+BX93-CG92,IF(A93&lt;'Données projet'!$A$114,$BV$205^A93,IF(A93='Données projet'!$A$114,'Données projet'!$B$114,BY92+BX93-CG92)))</f>
        <v>232.99999999999983</v>
      </c>
      <c r="BZ93" s="13">
        <f>BY93*VLOOKUP('Données projet'!$B$12,Paramètres!$A$1:$I$89,3,0)*VLOOKUP('Données projet'!$B$12,Paramètres!$A$1:$I$89,5,0)</f>
        <v>203.54879999999986</v>
      </c>
      <c r="CA93" s="13">
        <f t="shared" si="93"/>
        <v>50.523286400023437</v>
      </c>
      <c r="CB93" s="20">
        <f t="shared" si="64"/>
        <v>442.50888381337387</v>
      </c>
      <c r="CC93" s="59">
        <f t="shared" si="65"/>
        <v>716.86652481760154</v>
      </c>
      <c r="CD93" s="59">
        <f ca="1">AVERAGE(OFFSET($CC$3,0,0,'Données projet'!$E$12+1,1))-AVERAGE(OFFSET($H$3,0,0,'Données projet'!$E$12+1,1))</f>
        <v>342.79161436526499</v>
      </c>
      <c r="CE93" s="59">
        <f t="shared" si="94"/>
        <v>315.50730924873733</v>
      </c>
      <c r="CF93" s="15">
        <f>IF(ISNA(VLOOKUP(A93,'Données projet'!$A$113:$I$133,3,0)),0,VLOOKUP(A93,'Données projet'!$A$113:$I$133,3,0))</f>
        <v>17</v>
      </c>
      <c r="CG93" s="15">
        <f>IF(ISNA(VLOOKUP(A93,'Données projet'!$A$113:$I$133,4,0)),0,VLOOKUP(A93,'Données projet'!$A$113:$I$133,4,0))</f>
        <v>233</v>
      </c>
      <c r="CH93" s="16">
        <f>IF(ISNA(VLOOKUP(A93,'Données projet'!$A$113:$I$133,5,0)),0%,VLOOKUP(A93,'Données projet'!$A$113:$I$133,5,0)*VLOOKUP('Données projet'!$B$12,Paramètres!$A$1:$I$89,7,0))</f>
        <v>0.34400000000000003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99.254555732404086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99.254555732404086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207</v>
      </c>
      <c r="CR93" s="12">
        <f>VLOOKUP(A93,'Données projet'!$A$139:$I$159,9,0)</f>
        <v>4.2</v>
      </c>
      <c r="CS93" s="12">
        <f t="array" ref="CS93">INDEX(CR:CR,MIN(IF(ISNUMBER(CR93:CR289),ROW(CR93:CR289),"")))</f>
        <v>4.2</v>
      </c>
      <c r="CT93" s="12">
        <f>IF('Données projet'!$A$140&gt;35,CT92+CS93-DB92,IF(A93&lt;'Données projet'!$A$140,$CQ$205^A93,IF(A93='Données projet'!$A$140,'Données projet'!$B$140,CT92+CS93-DB92)))</f>
        <v>206.99999999999994</v>
      </c>
      <c r="CU93" s="17">
        <f>CT93*VLOOKUP('Données projet'!$B$13,Paramètres!$A$1:$I$89,3,0)*VLOOKUP('Données projet'!$B$13,Paramètres!$A$1:$I$89,5,0)</f>
        <v>138.85559999999998</v>
      </c>
      <c r="CV93" s="13">
        <f t="shared" si="95"/>
        <v>36.034714420414154</v>
      </c>
      <c r="CW93" s="20">
        <f t="shared" si="67"/>
        <v>304.60063094888795</v>
      </c>
      <c r="CX93" s="59">
        <f t="shared" si="68"/>
        <v>578.95827195311563</v>
      </c>
      <c r="CY93" s="59">
        <f ca="1">AVERAGE(OFFSET($CX$3,0,0,'Données projet'!$E$13+1,1))-AVERAGE(OFFSET($H$3,0,0,'Données projet'!$E$13+1,1))</f>
        <v>201.84651193684252</v>
      </c>
      <c r="CZ93" s="59">
        <f t="shared" si="96"/>
        <v>138.00705940844708</v>
      </c>
      <c r="DA93" s="15">
        <f>IF(ISNA(VLOOKUP(A93,'Données projet'!$A$139:$I$159,3,0)),0,VLOOKUP(A93,'Données projet'!$A$139:$I$159,3,0))</f>
        <v>14</v>
      </c>
      <c r="DB93" s="15">
        <f>IF(ISNA(VLOOKUP(A93,'Données projet'!$A$139:$I$159,4,0)),0,VLOOKUP(A93,'Données projet'!$A$139:$I$159,4,0))</f>
        <v>207</v>
      </c>
      <c r="DC93" s="16">
        <f>IF(ISNA(VLOOKUP(A93,'Données projet'!$A$139:$I$159,5,0)),0%,VLOOKUP(A93,'Données projet'!$A$139:$I$159,5,0)*VLOOKUP('Données projet'!$B$13,Paramètres!$A$1:$I$89,7,0))</f>
        <v>0.42400000000000004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80.97170141602038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80.97170141602038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1.1368683772161603E-13</v>
      </c>
      <c r="DP93" s="17">
        <f>DO93*VLOOKUP('Données projet'!$B$14,Paramètres!$A$1:$I$89,3,0)*VLOOKUP('Données projet'!$B$14,Paramètres!$A$1:$I$89,5,0)</f>
        <v>8.3355189417488869E-14</v>
      </c>
      <c r="DQ93" s="13">
        <f t="shared" si="97"/>
        <v>1.2790518435140618E-12</v>
      </c>
      <c r="DR93" s="20">
        <f t="shared" si="70"/>
        <v>2.3728589156891171E-12</v>
      </c>
      <c r="DS93" s="59">
        <f t="shared" si="71"/>
        <v>274.35764100423006</v>
      </c>
      <c r="DT93" s="59">
        <f ca="1">AVERAGE(OFFSET($DS$3,0,0,'Données projet'!$E$14+1,1))-AVERAGE(OFFSET($H$3,0,0,'Données projet'!$E$14+1,1))</f>
        <v>242.21240859696931</v>
      </c>
      <c r="DU93" s="59">
        <f t="shared" si="98"/>
        <v>340.92165104349192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34.802691093247354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34.802691093247354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207</v>
      </c>
      <c r="EH93" s="12">
        <f>VLOOKUP(A93,'Données projet'!$A$191:$I$211,9,0)</f>
        <v>4.2</v>
      </c>
      <c r="EI93" s="12">
        <f t="array" ref="EI93">INDEX(EH:EH,MIN(IF(ISNUMBER(EH93:EH289),ROW(EH93:EH289),"")))</f>
        <v>4.2</v>
      </c>
      <c r="EJ93" s="12">
        <f>IF('Données projet'!$A$192&gt;35,EJ92+EI93-ER92,IF(A93&lt;'Données projet'!$A$192,$EG$205^A93,IF(A93='Données projet'!$A$192,'Données projet'!$B$192,EJ92+EI93-ER92)))</f>
        <v>206.99999999999994</v>
      </c>
      <c r="EK93" s="17">
        <f>EJ93*VLOOKUP('Données projet'!$B$15,Paramètres!$A$1:$I$89,3,0)*VLOOKUP('Données projet'!$B$15,Paramètres!$A$1:$I$89,5,0)</f>
        <v>200.21039999999996</v>
      </c>
      <c r="EL93" s="13">
        <f t="shared" si="99"/>
        <v>49.790404447235048</v>
      </c>
      <c r="EM93" s="20">
        <f t="shared" si="73"/>
        <v>435.41806774560092</v>
      </c>
      <c r="EN93" s="59">
        <f t="shared" si="74"/>
        <v>709.7757087498286</v>
      </c>
      <c r="EO93" s="59">
        <f ca="1">AVERAGE(OFFSET($EN$3,0,0,'Données projet'!$E$15+1,1))-AVERAGE(OFFSET($H$3,0,0,'Données projet'!$E$15+1,1))</f>
        <v>331.7059599630698</v>
      </c>
      <c r="EP93" s="59">
        <f t="shared" si="100"/>
        <v>173.19148969173838</v>
      </c>
      <c r="EQ93" s="15">
        <f>IF(ISNA(VLOOKUP(A93,'Données projet'!$A$191:$I$211,3,0)),0,VLOOKUP(A93,'Données projet'!$A$191:$I$211,3,0))</f>
        <v>14</v>
      </c>
      <c r="ER93" s="15">
        <f>IF(ISNA(VLOOKUP(A93,'Données projet'!$A$191:$I$211,4,0)),0,VLOOKUP(A93,'Données projet'!$A$191:$I$211,4,0))</f>
        <v>14</v>
      </c>
      <c r="ES93" s="16">
        <f>IF(ISNA(VLOOKUP(A93,'Données projet'!$A$191:$I$211,5,0)),0%,VLOOKUP(A93,'Données projet'!$A$191:$I$211,5,0)*VLOOKUP('Données projet'!$B$15,Paramètres!$A$1:$I$89,7,0))</f>
        <v>0.215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7.1343188776628779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7.1343188776628779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207</v>
      </c>
      <c r="FC93" s="12">
        <f>VLOOKUP(A93,'Données projet'!$A$217:$I$237,9,0)</f>
        <v>4.2</v>
      </c>
      <c r="FD93" s="12">
        <f t="array" ref="FD93">INDEX(FC:FC,MIN(IF(ISNUMBER(FC93:FC289),ROW(FC93:FC289),"")))</f>
        <v>4.2</v>
      </c>
      <c r="FE93" s="12">
        <f>IF('Données projet'!$A$218&gt;35,FE92+FD93-FM92,IF(A93&lt;'Données projet'!$A$218,$FB$205^A93,IF(A93='Données projet'!$A$218,'Données projet'!$B$218,FE92+FD93-FM92)))</f>
        <v>206.99999999999994</v>
      </c>
      <c r="FF93" s="17">
        <f>FE93*VLOOKUP('Données projet'!$B$16,Paramètres!$A$1:$I$89,3,0)*VLOOKUP('Données projet'!$B$16,Paramètres!$A$1:$I$89,5,0)</f>
        <v>222.81479999999993</v>
      </c>
      <c r="FG93" s="13">
        <f t="shared" si="101"/>
        <v>54.726215188137907</v>
      </c>
      <c r="FH93" s="20">
        <f t="shared" si="76"/>
        <v>483.38393478600671</v>
      </c>
      <c r="FI93" s="59">
        <f t="shared" si="77"/>
        <v>757.74157579023438</v>
      </c>
      <c r="FJ93" s="59">
        <f ca="1">AVERAGE(OFFSET($FI$3,0,0,'Données projet'!$E$16+1,1))-AVERAGE(OFFSET($H$3,0,0,'Données projet'!$E$16+1,1))</f>
        <v>360.86062459677004</v>
      </c>
      <c r="FK93" s="59">
        <f t="shared" si="102"/>
        <v>186.0840067781198</v>
      </c>
      <c r="FL93" s="15">
        <f>IF(ISNA(VLOOKUP(A93,'Données projet'!$A$217:$I$237,3,0)),0,VLOOKUP(A93,'Données projet'!$A$217:$I$237,3,0))</f>
        <v>14</v>
      </c>
      <c r="FM93" s="15">
        <f>IF(ISNA(VLOOKUP(A93,'Données projet'!$A$217:$I$237,4,0)),0,VLOOKUP(A93,'Données projet'!$A$217:$I$237,4,0))</f>
        <v>14</v>
      </c>
      <c r="FN93" s="16">
        <f>IF(ISNA(VLOOKUP(A93,'Données projet'!$A$217:$I$237,5,0)),0%,VLOOKUP(A93,'Données projet'!$A$217:$I$237,5,0)*VLOOKUP('Données projet'!$B$16,Paramètres!$A$1:$I$89,7,0))</f>
        <v>0.25800000000000001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21.494419619338174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21.494419619338174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>
        <f>VLOOKUP(A93,'Données projet'!$A$243:$I$263,2,0)</f>
        <v>275</v>
      </c>
      <c r="FX93" s="12">
        <f>VLOOKUP(A93,'Données projet'!$A$243:$I$263,9,0)</f>
        <v>5.4</v>
      </c>
      <c r="FY93" s="12">
        <f t="array" ref="FY93">INDEX(FX:FX,MIN(IF(ISNUMBER(FX93:FX289),ROW(FX93:FX289),"")))</f>
        <v>5.4</v>
      </c>
      <c r="FZ93" s="12">
        <f>IF('Données projet'!$A$244&gt;35,FZ92+FY93-GH92,IF(A93&lt;'Données projet'!$A$244,$FW$205^A93,IF(A93='Données projet'!$A$244,'Données projet'!$B$244,FZ92+FY93-GH92)))</f>
        <v>274.99999999999983</v>
      </c>
      <c r="GA93" s="17">
        <f>FZ93*VLOOKUP('Données projet'!$B$17,Paramètres!$A$1:$I$89,3,0)*VLOOKUP('Données projet'!$B$17,Paramètres!$A$1:$I$89,5,0)</f>
        <v>278.84999999999985</v>
      </c>
      <c r="GB93" s="13">
        <f t="shared" si="103"/>
        <v>66.723922641152967</v>
      </c>
      <c r="GC93" s="20">
        <f t="shared" si="79"/>
        <v>601.87458193334112</v>
      </c>
      <c r="GD93" s="59">
        <f t="shared" si="80"/>
        <v>876.23222293756885</v>
      </c>
      <c r="GE93" s="59">
        <f ca="1">AVERAGE(OFFSET($GD$3,0,0,'Données projet'!$E$17+1,1))-AVERAGE(OFFSET($H$3,0,0,'Données projet'!$E$17+1,1))</f>
        <v>448.73339628506784</v>
      </c>
      <c r="GF93" s="59">
        <f t="shared" si="104"/>
        <v>273.35778700650803</v>
      </c>
      <c r="GG93" s="15">
        <f>IF(ISNA(VLOOKUP(A93,'Données projet'!$A$243:$I$263,3,0)),0,VLOOKUP(A93,'Données projet'!$A$243:$I$263,3,0))</f>
        <v>15</v>
      </c>
      <c r="GH93" s="15">
        <f>IF(ISNA(VLOOKUP(A93,'Données projet'!$A$243:$I$263,4,0)),0,VLOOKUP(A93,'Données projet'!$A$243:$I$263,4,0))</f>
        <v>21</v>
      </c>
      <c r="GI93" s="16">
        <f>IF(ISNA(VLOOKUP(A93,'Données projet'!$A$243:$I$263,5,0)),0%,VLOOKUP(A93,'Données projet'!$A$243:$I$263,5,0)*VLOOKUP('Données projet'!$B$17,Paramètres!$A$1:$I$89,7,0))</f>
        <v>0.30099999999999999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33.913472301384914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33.913472301384914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2.8</v>
      </c>
      <c r="N94" s="13">
        <f>IF('Données projet'!$A$36&gt;35,N93+M94-V93,IF(A94&lt;'Données projet'!$A$36,$K$205^A94,IF(A94='Données projet'!$A$36,'Données projet'!$B$36,N93+M94-V93)))</f>
        <v>256.79999999999984</v>
      </c>
      <c r="O94" s="13">
        <f>N94*VLOOKUP('Données projet'!$B$9,Paramètres!$A$1:$I$89,3,0)*VLOOKUP('Données projet'!$B$9,Paramètres!$A$1:$I$89,5,0)</f>
        <v>232.35263999999987</v>
      </c>
      <c r="P94" s="13">
        <f t="shared" si="87"/>
        <v>56.791075613550255</v>
      </c>
      <c r="Q94" s="20">
        <f t="shared" si="54"/>
        <v>503.59197136026643</v>
      </c>
      <c r="R94" s="59">
        <f t="shared" si="55"/>
        <v>778.27879820311148</v>
      </c>
      <c r="S94" s="59">
        <f ca="1">AVERAGE(OFFSET($R$3,0,0,'Données projet'!$E$9+1,1))-AVERAGE(OFFSET($H$3,0,0,'Données projet'!$E$9+1,1))</f>
        <v>408.51124670343137</v>
      </c>
      <c r="T94" s="59">
        <f t="shared" si="88"/>
        <v>250.47702091764884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29.667847509144021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29.667847509144021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-2.8421709430404007E-13</v>
      </c>
      <c r="AJ94" s="13">
        <f>AI94*VLOOKUP('Données projet'!$B$10,Paramètres!$A$1:$I$89,3,0)*VLOOKUP('Données projet'!$B$10,Paramètres!$A$1:$I$89,5,0)</f>
        <v>-2.2612312022829427E-13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327.22763817565902</v>
      </c>
      <c r="AO94" s="59">
        <f t="shared" si="90"/>
        <v>311.68541696405975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83.573985326518525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83.573985326518525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2.8421709430404007E-14</v>
      </c>
      <c r="BE94" s="13">
        <f>BD94*VLOOKUP('Données projet'!$B$11,Paramètres!$A$1:$I$89,3,0)*VLOOKUP('Données projet'!$B$11,Paramètres!$A$1:$I$89,5,0)</f>
        <v>1.8178525351686402E-14</v>
      </c>
      <c r="BF94" s="13">
        <f t="shared" si="91"/>
        <v>3.3304129621647644E-13</v>
      </c>
      <c r="BG94" s="20">
        <f t="shared" si="61"/>
        <v>6.1170785589788349E-13</v>
      </c>
      <c r="BH94" s="59">
        <f t="shared" si="62"/>
        <v>274.68682684284568</v>
      </c>
      <c r="BI94" s="59">
        <f ca="1">AVERAGE(OFFSET($BH$3,0,0,'Données projet'!$E$11+1,1))-AVERAGE(OFFSET($H$3,0,0,'Données projet'!$E$11+1,1))</f>
        <v>169.46470423366029</v>
      </c>
      <c r="BJ94" s="59">
        <f t="shared" si="92"/>
        <v>230.78141128389288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18.10507418465167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18.10507418465167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-1.7053025658242404E-13</v>
      </c>
      <c r="BZ94" s="13">
        <f>BY94*VLOOKUP('Données projet'!$B$12,Paramètres!$A$1:$I$89,3,0)*VLOOKUP('Données projet'!$B$12,Paramètres!$A$1:$I$89,5,0)</f>
        <v>-1.4897523215040567E-13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342.79161436526499</v>
      </c>
      <c r="CE94" s="59">
        <f t="shared" si="94"/>
        <v>315.50730924873733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97.308234433792876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97.308234433792876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-5.6843418860808015E-14</v>
      </c>
      <c r="CU94" s="17">
        <f>CT94*VLOOKUP('Données projet'!$B$13,Paramètres!$A$1:$I$89,3,0)*VLOOKUP('Données projet'!$B$13,Paramètres!$A$1:$I$89,5,0)</f>
        <v>-3.813056537183002E-14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201.84651193684252</v>
      </c>
      <c r="CZ94" s="59">
        <f t="shared" si="96"/>
        <v>138.00705940844708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79.383895739113441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79.383895739113441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1.1368683772161603E-13</v>
      </c>
      <c r="DP94" s="17">
        <f>DO94*VLOOKUP('Données projet'!$B$14,Paramètres!$A$1:$I$89,3,0)*VLOOKUP('Données projet'!$B$14,Paramètres!$A$1:$I$89,5,0)</f>
        <v>8.3355189417488869E-14</v>
      </c>
      <c r="DQ94" s="13">
        <f t="shared" si="97"/>
        <v>1.2790518435140618E-12</v>
      </c>
      <c r="DR94" s="20">
        <f t="shared" si="70"/>
        <v>2.3728589156891171E-12</v>
      </c>
      <c r="DS94" s="59">
        <f t="shared" si="71"/>
        <v>274.68682684284744</v>
      </c>
      <c r="DT94" s="59">
        <f ca="1">AVERAGE(OFFSET($DS$3,0,0,'Données projet'!$E$14+1,1))-AVERAGE(OFFSET($H$3,0,0,'Données projet'!$E$14+1,1))</f>
        <v>242.21240859696931</v>
      </c>
      <c r="DU94" s="59">
        <f t="shared" si="98"/>
        <v>340.92165104349192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34.120231548454292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34.120231548454292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2.2999999999999998</v>
      </c>
      <c r="EJ94" s="12">
        <f>IF('Données projet'!$A$192&gt;35,EJ93+EI94-ER93,IF(A94&lt;'Données projet'!$A$192,$EG$205^A94,IF(A94='Données projet'!$A$192,'Données projet'!$B$192,EJ93+EI94-ER93)))</f>
        <v>195.29999999999995</v>
      </c>
      <c r="EK94" s="17">
        <f>EJ94*VLOOKUP('Données projet'!$B$15,Paramètres!$A$1:$I$89,3,0)*VLOOKUP('Données projet'!$B$15,Paramètres!$A$1:$I$89,5,0)</f>
        <v>188.89415999999997</v>
      </c>
      <c r="EL94" s="13">
        <f t="shared" si="99"/>
        <v>47.295384332145751</v>
      </c>
      <c r="EM94" s="20">
        <f t="shared" si="73"/>
        <v>411.36345637848711</v>
      </c>
      <c r="EN94" s="59">
        <f t="shared" si="74"/>
        <v>686.05028322133217</v>
      </c>
      <c r="EO94" s="59">
        <f ca="1">AVERAGE(OFFSET($EN$3,0,0,'Données projet'!$E$15+1,1))-AVERAGE(OFFSET($H$3,0,0,'Données projet'!$E$15+1,1))</f>
        <v>331.7059599630698</v>
      </c>
      <c r="EP94" s="59">
        <f t="shared" si="100"/>
        <v>173.19148969173838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6.994419235976749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6.994419235976749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2.2999999999999998</v>
      </c>
      <c r="FE94" s="12">
        <f>IF('Données projet'!$A$218&gt;35,FE93+FD94-FM93,IF(A94&lt;'Données projet'!$A$218,$FB$205^A94,IF(A94='Données projet'!$A$218,'Données projet'!$B$218,FE93+FD94-FM93)))</f>
        <v>195.29999999999995</v>
      </c>
      <c r="FF94" s="17">
        <f>FE94*VLOOKUP('Données projet'!$B$16,Paramètres!$A$1:$I$89,3,0)*VLOOKUP('Données projet'!$B$16,Paramètres!$A$1:$I$89,5,0)</f>
        <v>210.22091999999992</v>
      </c>
      <c r="FG94" s="13">
        <f t="shared" si="101"/>
        <v>51.983859321922559</v>
      </c>
      <c r="FH94" s="20">
        <f t="shared" si="76"/>
        <v>456.67332398568163</v>
      </c>
      <c r="FI94" s="59">
        <f t="shared" si="77"/>
        <v>731.36015082852668</v>
      </c>
      <c r="FJ94" s="59">
        <f ca="1">AVERAGE(OFFSET($FI$3,0,0,'Données projet'!$E$16+1,1))-AVERAGE(OFFSET($H$3,0,0,'Données projet'!$E$16+1,1))</f>
        <v>360.86062459677004</v>
      </c>
      <c r="FK94" s="59">
        <f t="shared" si="102"/>
        <v>186.0840067781198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21.072927160904385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21.072927160904385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2.8</v>
      </c>
      <c r="FZ94" s="12">
        <f>IF('Données projet'!$A$244&gt;35,FZ93+FY94-GH93,IF(A94&lt;'Données projet'!$A$244,$FW$205^A94,IF(A94='Données projet'!$A$244,'Données projet'!$B$244,FZ93+FY94-GH93)))</f>
        <v>256.79999999999984</v>
      </c>
      <c r="GA94" s="17">
        <f>FZ94*VLOOKUP('Données projet'!$B$17,Paramètres!$A$1:$I$89,3,0)*VLOOKUP('Données projet'!$B$17,Paramètres!$A$1:$I$89,5,0)</f>
        <v>260.39519999999987</v>
      </c>
      <c r="GB94" s="13">
        <f t="shared" si="103"/>
        <v>62.806611177714331</v>
      </c>
      <c r="GC94" s="20">
        <f t="shared" si="79"/>
        <v>562.90982113451889</v>
      </c>
      <c r="GD94" s="59">
        <f t="shared" si="80"/>
        <v>837.596647977364</v>
      </c>
      <c r="GE94" s="59">
        <f ca="1">AVERAGE(OFFSET($GD$3,0,0,'Données projet'!$E$17+1,1))-AVERAGE(OFFSET($H$3,0,0,'Données projet'!$E$17+1,1))</f>
        <v>448.73339628506784</v>
      </c>
      <c r="GF94" s="59">
        <f t="shared" si="104"/>
        <v>273.35778700650803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33.248449794730369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33.248449794730369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2.8</v>
      </c>
      <c r="N95" s="13">
        <f>IF('Données projet'!$A$36&gt;35,N94+M95-V94,IF(A95&lt;'Données projet'!$A$36,$K$205^A95,IF(A95='Données projet'!$A$36,'Données projet'!$B$36,N94+M95-V94)))</f>
        <v>259.59999999999985</v>
      </c>
      <c r="O95" s="13">
        <f>N95*VLOOKUP('Données projet'!$B$9,Paramètres!$A$1:$I$89,3,0)*VLOOKUP('Données projet'!$B$9,Paramètres!$A$1:$I$89,5,0)</f>
        <v>234.88607999999985</v>
      </c>
      <c r="P95" s="13">
        <f t="shared" si="87"/>
        <v>57.337870247711599</v>
      </c>
      <c r="Q95" s="20">
        <f t="shared" si="54"/>
        <v>508.95671334809748</v>
      </c>
      <c r="R95" s="59">
        <f t="shared" si="55"/>
        <v>783.9670153912092</v>
      </c>
      <c r="S95" s="59">
        <f ca="1">AVERAGE(OFFSET($R$3,0,0,'Données projet'!$E$9+1,1))-AVERAGE(OFFSET($H$3,0,0,'Données projet'!$E$9+1,1))</f>
        <v>408.51124670343137</v>
      </c>
      <c r="T95" s="59">
        <f t="shared" si="88"/>
        <v>250.47702091764884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29.086079115089895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29.086079115089895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-2.8421709430404007E-13</v>
      </c>
      <c r="AJ95" s="13">
        <f>AI95*VLOOKUP('Données projet'!$B$10,Paramètres!$A$1:$I$89,3,0)*VLOOKUP('Données projet'!$B$10,Paramètres!$A$1:$I$89,5,0)</f>
        <v>-2.2612312022829427E-13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327.22763817565902</v>
      </c>
      <c r="AO95" s="59">
        <f t="shared" si="90"/>
        <v>311.68541696405975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81.935150449363178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81.935150449363178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2.8421709430404007E-14</v>
      </c>
      <c r="BE95" s="13">
        <f>BD95*VLOOKUP('Données projet'!$B$11,Paramètres!$A$1:$I$89,3,0)*VLOOKUP('Données projet'!$B$11,Paramètres!$A$1:$I$89,5,0)</f>
        <v>1.8178525351686402E-14</v>
      </c>
      <c r="BF95" s="13">
        <f t="shared" si="91"/>
        <v>3.3304129621647644E-13</v>
      </c>
      <c r="BG95" s="20">
        <f t="shared" si="61"/>
        <v>6.1170785589788349E-13</v>
      </c>
      <c r="BH95" s="59">
        <f t="shared" si="62"/>
        <v>275.01030204311235</v>
      </c>
      <c r="BI95" s="59">
        <f ca="1">AVERAGE(OFFSET($BH$3,0,0,'Données projet'!$E$11+1,1))-AVERAGE(OFFSET($H$3,0,0,'Données projet'!$E$11+1,1))</f>
        <v>169.46470423366029</v>
      </c>
      <c r="BJ95" s="59">
        <f t="shared" si="92"/>
        <v>230.78141128389288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17.750044722895499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17.750044722895499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-1.7053025658242404E-13</v>
      </c>
      <c r="BZ95" s="13">
        <f>BY95*VLOOKUP('Données projet'!$B$12,Paramètres!$A$1:$I$89,3,0)*VLOOKUP('Données projet'!$B$12,Paramètres!$A$1:$I$89,5,0)</f>
        <v>-1.4897523215040567E-13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342.79161436526499</v>
      </c>
      <c r="CE95" s="59">
        <f t="shared" si="94"/>
        <v>315.50730924873733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95.400079308708669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95.400079308708669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-5.6843418860808015E-14</v>
      </c>
      <c r="CU95" s="17">
        <f>CT95*VLOOKUP('Données projet'!$B$13,Paramètres!$A$1:$I$89,3,0)*VLOOKUP('Données projet'!$B$13,Paramètres!$A$1:$I$89,5,0)</f>
        <v>-3.813056537183002E-14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201.84651193684252</v>
      </c>
      <c r="CZ95" s="59">
        <f t="shared" si="96"/>
        <v>138.00705940844708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77.827225963064805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77.827225963064805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1.1368683772161603E-13</v>
      </c>
      <c r="DP95" s="17">
        <f>DO95*VLOOKUP('Données projet'!$B$14,Paramètres!$A$1:$I$89,3,0)*VLOOKUP('Données projet'!$B$14,Paramètres!$A$1:$I$89,5,0)</f>
        <v>8.3355189417488869E-14</v>
      </c>
      <c r="DQ95" s="13">
        <f t="shared" si="97"/>
        <v>1.2790518435140618E-12</v>
      </c>
      <c r="DR95" s="20">
        <f t="shared" si="70"/>
        <v>2.3728589156891171E-12</v>
      </c>
      <c r="DS95" s="59">
        <f t="shared" si="71"/>
        <v>275.01030204311411</v>
      </c>
      <c r="DT95" s="59">
        <f ca="1">AVERAGE(OFFSET($DS$3,0,0,'Données projet'!$E$14+1,1))-AVERAGE(OFFSET($H$3,0,0,'Données projet'!$E$14+1,1))</f>
        <v>242.21240859696931</v>
      </c>
      <c r="DU95" s="59">
        <f t="shared" si="98"/>
        <v>340.92165104349192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33.451154619075403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33.451154619075403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2.2999999999999998</v>
      </c>
      <c r="EJ95" s="12">
        <f>IF('Données projet'!$A$192&gt;35,EJ94+EI95-ER94,IF(A95&lt;'Données projet'!$A$192,$EG$205^A95,IF(A95='Données projet'!$A$192,'Données projet'!$B$192,EJ94+EI95-ER94)))</f>
        <v>197.59999999999997</v>
      </c>
      <c r="EK95" s="17">
        <f>EJ95*VLOOKUP('Données projet'!$B$15,Paramètres!$A$1:$I$89,3,0)*VLOOKUP('Données projet'!$B$15,Paramètres!$A$1:$I$89,5,0)</f>
        <v>191.11871999999997</v>
      </c>
      <c r="EL95" s="13">
        <f t="shared" si="99"/>
        <v>47.787201388032145</v>
      </c>
      <c r="EM95" s="20">
        <f t="shared" si="73"/>
        <v>416.09447975082259</v>
      </c>
      <c r="EN95" s="59">
        <f t="shared" si="74"/>
        <v>691.10478179393431</v>
      </c>
      <c r="EO95" s="59">
        <f ca="1">AVERAGE(OFFSET($EN$3,0,0,'Données projet'!$E$15+1,1))-AVERAGE(OFFSET($H$3,0,0,'Données projet'!$E$15+1,1))</f>
        <v>331.7059599630698</v>
      </c>
      <c r="EP95" s="59">
        <f t="shared" si="100"/>
        <v>173.19148969173838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6.8572629409337296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6.8572629409337296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2.2999999999999998</v>
      </c>
      <c r="FE95" s="12">
        <f>IF('Données projet'!$A$218&gt;35,FE94+FD95-FM94,IF(A95&lt;'Données projet'!$A$218,$FB$205^A95,IF(A95='Données projet'!$A$218,'Données projet'!$B$218,FE94+FD95-FM94)))</f>
        <v>197.59999999999997</v>
      </c>
      <c r="FF95" s="17">
        <f>FE95*VLOOKUP('Données projet'!$B$16,Paramètres!$A$1:$I$89,3,0)*VLOOKUP('Données projet'!$B$16,Paramètres!$A$1:$I$89,5,0)</f>
        <v>212.69663999999995</v>
      </c>
      <c r="FG95" s="13">
        <f t="shared" si="101"/>
        <v>52.524431071287658</v>
      </c>
      <c r="FH95" s="20">
        <f t="shared" si="76"/>
        <v>461.92669878249262</v>
      </c>
      <c r="FI95" s="59">
        <f t="shared" si="77"/>
        <v>736.9370008256044</v>
      </c>
      <c r="FJ95" s="59">
        <f ca="1">AVERAGE(OFFSET($FI$3,0,0,'Données projet'!$E$16+1,1))-AVERAGE(OFFSET($H$3,0,0,'Données projet'!$E$16+1,1))</f>
        <v>360.86062459677004</v>
      </c>
      <c r="FK95" s="59">
        <f t="shared" si="102"/>
        <v>186.0840067781198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20.659699912495469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20.659699912495469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2.8</v>
      </c>
      <c r="FZ95" s="12">
        <f>IF('Données projet'!$A$244&gt;35,FZ94+FY95-GH94,IF(A95&lt;'Données projet'!$A$244,$FW$205^A95,IF(A95='Données projet'!$A$244,'Données projet'!$B$244,FZ94+FY95-GH94)))</f>
        <v>259.59999999999985</v>
      </c>
      <c r="GA95" s="17">
        <f>FZ95*VLOOKUP('Données projet'!$B$17,Paramètres!$A$1:$I$89,3,0)*VLOOKUP('Données projet'!$B$17,Paramètres!$A$1:$I$89,5,0)</f>
        <v>263.23439999999988</v>
      </c>
      <c r="GB95" s="13">
        <f t="shared" si="103"/>
        <v>63.411324464279346</v>
      </c>
      <c r="GC95" s="20">
        <f t="shared" si="79"/>
        <v>568.90797010861957</v>
      </c>
      <c r="GD95" s="59">
        <f t="shared" si="80"/>
        <v>843.91827215173134</v>
      </c>
      <c r="GE95" s="59">
        <f ca="1">AVERAGE(OFFSET($GD$3,0,0,'Données projet'!$E$17+1,1))-AVERAGE(OFFSET($H$3,0,0,'Données projet'!$E$17+1,1))</f>
        <v>448.73339628506784</v>
      </c>
      <c r="GF95" s="59">
        <f t="shared" si="104"/>
        <v>273.35778700650803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32.596467973807641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32.596467973807641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2.8</v>
      </c>
      <c r="N96" s="13">
        <f>IF('Données projet'!$A$36&gt;35,N95+M96-V95,IF(A96&lt;'Données projet'!$A$36,$K$205^A96,IF(A96='Données projet'!$A$36,'Données projet'!$B$36,N95+M96-V95)))</f>
        <v>262.39999999999986</v>
      </c>
      <c r="O96" s="13">
        <f>N96*VLOOKUP('Données projet'!$B$9,Paramètres!$A$1:$I$89,3,0)*VLOOKUP('Données projet'!$B$9,Paramètres!$A$1:$I$89,5,0)</f>
        <v>237.41951999999989</v>
      </c>
      <c r="P96" s="13">
        <f t="shared" si="87"/>
        <v>57.883978814320919</v>
      </c>
      <c r="Q96" s="20">
        <f t="shared" si="54"/>
        <v>514.32026043494204</v>
      </c>
      <c r="R96" s="59">
        <f t="shared" si="55"/>
        <v>789.64842610677806</v>
      </c>
      <c r="S96" s="59">
        <f ca="1">AVERAGE(OFFSET($R$3,0,0,'Données projet'!$E$9+1,1))-AVERAGE(OFFSET($H$3,0,0,'Données projet'!$E$9+1,1))</f>
        <v>408.51124670343137</v>
      </c>
      <c r="T96" s="59">
        <f t="shared" si="88"/>
        <v>250.47702091764884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28.515718844399487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28.515718844399487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-2.8421709430404007E-13</v>
      </c>
      <c r="AJ96" s="13">
        <f>AI96*VLOOKUP('Données projet'!$B$10,Paramètres!$A$1:$I$89,3,0)*VLOOKUP('Données projet'!$B$10,Paramètres!$A$1:$I$89,5,0)</f>
        <v>-2.2612312022829427E-13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327.22763817565902</v>
      </c>
      <c r="AO96" s="59">
        <f t="shared" si="90"/>
        <v>311.68541696405975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80.328452124558268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80.328452124558268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2.8421709430404007E-14</v>
      </c>
      <c r="BE96" s="13">
        <f>BD96*VLOOKUP('Données projet'!$B$11,Paramètres!$A$1:$I$89,3,0)*VLOOKUP('Données projet'!$B$11,Paramètres!$A$1:$I$89,5,0)</f>
        <v>1.8178525351686402E-14</v>
      </c>
      <c r="BF96" s="13">
        <f t="shared" si="91"/>
        <v>3.3304129621647644E-13</v>
      </c>
      <c r="BG96" s="20">
        <f t="shared" si="61"/>
        <v>6.1170785589788349E-13</v>
      </c>
      <c r="BH96" s="59">
        <f t="shared" si="62"/>
        <v>275.32816567183659</v>
      </c>
      <c r="BI96" s="59">
        <f ca="1">AVERAGE(OFFSET($BH$3,0,0,'Données projet'!$E$11+1,1))-AVERAGE(OFFSET($H$3,0,0,'Données projet'!$E$11+1,1))</f>
        <v>169.46470423366029</v>
      </c>
      <c r="BJ96" s="59">
        <f t="shared" si="92"/>
        <v>230.78141128389288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17.401977172337777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17.401977172337777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-1.7053025658242404E-13</v>
      </c>
      <c r="BZ96" s="13">
        <f>BY96*VLOOKUP('Données projet'!$B$12,Paramètres!$A$1:$I$89,3,0)*VLOOKUP('Données projet'!$B$12,Paramètres!$A$1:$I$89,5,0)</f>
        <v>-1.4897523215040567E-13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342.79161436526499</v>
      </c>
      <c r="CE96" s="59">
        <f t="shared" si="94"/>
        <v>315.50730924873733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93.529341941767655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93.529341941767655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-5.6843418860808015E-14</v>
      </c>
      <c r="CU96" s="17">
        <f>CT96*VLOOKUP('Données projet'!$B$13,Paramètres!$A$1:$I$89,3,0)*VLOOKUP('Données projet'!$B$13,Paramètres!$A$1:$I$89,5,0)</f>
        <v>-3.813056537183002E-14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201.84651193684252</v>
      </c>
      <c r="CZ96" s="59">
        <f t="shared" si="96"/>
        <v>138.00705940844708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76.301081531849675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76.301081531849675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1.1368683772161603E-13</v>
      </c>
      <c r="DP96" s="17">
        <f>DO96*VLOOKUP('Données projet'!$B$14,Paramètres!$A$1:$I$89,3,0)*VLOOKUP('Données projet'!$B$14,Paramètres!$A$1:$I$89,5,0)</f>
        <v>8.3355189417488869E-14</v>
      </c>
      <c r="DQ96" s="13">
        <f t="shared" si="97"/>
        <v>1.2790518435140618E-12</v>
      </c>
      <c r="DR96" s="20">
        <f t="shared" si="70"/>
        <v>2.3728589156891171E-12</v>
      </c>
      <c r="DS96" s="59">
        <f t="shared" si="71"/>
        <v>275.32816567183835</v>
      </c>
      <c r="DT96" s="59">
        <f ca="1">AVERAGE(OFFSET($DS$3,0,0,'Données projet'!$E$14+1,1))-AVERAGE(OFFSET($H$3,0,0,'Données projet'!$E$14+1,1))</f>
        <v>242.21240859696931</v>
      </c>
      <c r="DU96" s="59">
        <f t="shared" si="98"/>
        <v>340.92165104349192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32.795197880185007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32.795197880185007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2.2999999999999998</v>
      </c>
      <c r="EJ96" s="12">
        <f>IF('Données projet'!$A$192&gt;35,EJ95+EI96-ER95,IF(A96&lt;'Données projet'!$A$192,$EG$205^A96,IF(A96='Données projet'!$A$192,'Données projet'!$B$192,EJ95+EI96-ER95)))</f>
        <v>199.89999999999998</v>
      </c>
      <c r="EK96" s="17">
        <f>EJ96*VLOOKUP('Données projet'!$B$15,Paramètres!$A$1:$I$89,3,0)*VLOOKUP('Données projet'!$B$15,Paramètres!$A$1:$I$89,5,0)</f>
        <v>193.34327999999999</v>
      </c>
      <c r="EL96" s="13">
        <f t="shared" si="99"/>
        <v>48.278352536793228</v>
      </c>
      <c r="EM96" s="20">
        <f t="shared" si="73"/>
        <v>420.82434333491483</v>
      </c>
      <c r="EN96" s="59">
        <f t="shared" si="74"/>
        <v>696.15250900675073</v>
      </c>
      <c r="EO96" s="59">
        <f ca="1">AVERAGE(OFFSET($EN$3,0,0,'Données projet'!$E$15+1,1))-AVERAGE(OFFSET($H$3,0,0,'Données projet'!$E$15+1,1))</f>
        <v>331.7059599630698</v>
      </c>
      <c r="EP96" s="59">
        <f t="shared" si="100"/>
        <v>173.19148969173838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6.7227961971794237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6.7227961971794237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2.2999999999999998</v>
      </c>
      <c r="FE96" s="12">
        <f>IF('Données projet'!$A$218&gt;35,FE95+FD96-FM95,IF(A96&lt;'Données projet'!$A$218,$FB$205^A96,IF(A96='Données projet'!$A$218,'Données projet'!$B$218,FE95+FD96-FM95)))</f>
        <v>199.89999999999998</v>
      </c>
      <c r="FF96" s="17">
        <f>FE96*VLOOKUP('Données projet'!$B$16,Paramètres!$A$1:$I$89,3,0)*VLOOKUP('Données projet'!$B$16,Paramètres!$A$1:$I$89,5,0)</f>
        <v>215.17235999999997</v>
      </c>
      <c r="FG96" s="13">
        <f t="shared" si="101"/>
        <v>53.064270900977832</v>
      </c>
      <c r="FH96" s="20">
        <f t="shared" si="76"/>
        <v>467.17879881920294</v>
      </c>
      <c r="FI96" s="59">
        <f t="shared" si="77"/>
        <v>742.50696449103884</v>
      </c>
      <c r="FJ96" s="59">
        <f ca="1">AVERAGE(OFFSET($FI$3,0,0,'Données projet'!$E$16+1,1))-AVERAGE(OFFSET($H$3,0,0,'Données projet'!$E$16+1,1))</f>
        <v>360.86062459677004</v>
      </c>
      <c r="FK96" s="59">
        <f t="shared" si="102"/>
        <v>186.0840067781198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20.254575798384117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20.254575798384117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2.8</v>
      </c>
      <c r="FZ96" s="12">
        <f>IF('Données projet'!$A$244&gt;35,FZ95+FY96-GH95,IF(A96&lt;'Données projet'!$A$244,$FW$205^A96,IF(A96='Données projet'!$A$244,'Données projet'!$B$244,FZ95+FY96-GH95)))</f>
        <v>262.39999999999986</v>
      </c>
      <c r="GA96" s="17">
        <f>FZ96*VLOOKUP('Données projet'!$B$17,Paramètres!$A$1:$I$89,3,0)*VLOOKUP('Données projet'!$B$17,Paramètres!$A$1:$I$89,5,0)</f>
        <v>266.07359999999989</v>
      </c>
      <c r="GB96" s="13">
        <f t="shared" si="103"/>
        <v>64.015279012301079</v>
      </c>
      <c r="GC96" s="20">
        <f t="shared" si="79"/>
        <v>574.90479761309086</v>
      </c>
      <c r="GD96" s="59">
        <f t="shared" si="80"/>
        <v>850.23296328492688</v>
      </c>
      <c r="GE96" s="59">
        <f ca="1">AVERAGE(OFFSET($GD$3,0,0,'Données projet'!$E$17+1,1))-AVERAGE(OFFSET($H$3,0,0,'Données projet'!$E$17+1,1))</f>
        <v>448.73339628506784</v>
      </c>
      <c r="GF96" s="59">
        <f t="shared" si="104"/>
        <v>273.35778700650803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31.957271118723565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31.957271118723565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2.8</v>
      </c>
      <c r="N97" s="13">
        <f>IF('Données projet'!$A$36&gt;35,N96+M97-V96,IF(A97&lt;'Données projet'!$A$36,$K$205^A97,IF(A97='Données projet'!$A$36,'Données projet'!$B$36,N96+M97-V96)))</f>
        <v>265.19999999999987</v>
      </c>
      <c r="O97" s="13">
        <f>N97*VLOOKUP('Données projet'!$B$9,Paramètres!$A$1:$I$89,3,0)*VLOOKUP('Données projet'!$B$9,Paramètres!$A$1:$I$89,5,0)</f>
        <v>239.95295999999988</v>
      </c>
      <c r="P97" s="13">
        <f t="shared" si="87"/>
        <v>58.429409481604822</v>
      </c>
      <c r="Q97" s="20">
        <f t="shared" si="54"/>
        <v>519.68262684712829</v>
      </c>
      <c r="R97" s="59">
        <f t="shared" si="55"/>
        <v>795.32314192436684</v>
      </c>
      <c r="S97" s="59">
        <f ca="1">AVERAGE(OFFSET($R$3,0,0,'Données projet'!$E$9+1,1))-AVERAGE(OFFSET($H$3,0,0,'Données projet'!$E$9+1,1))</f>
        <v>408.51124670343137</v>
      </c>
      <c r="T97" s="59">
        <f t="shared" si="88"/>
        <v>250.47702091764884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27.956542990731904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27.956542990731904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-2.8421709430404007E-13</v>
      </c>
      <c r="AJ97" s="13">
        <f>AI97*VLOOKUP('Données projet'!$B$10,Paramètres!$A$1:$I$89,3,0)*VLOOKUP('Données projet'!$B$10,Paramètres!$A$1:$I$89,5,0)</f>
        <v>-2.2612312022829427E-13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327.22763817565902</v>
      </c>
      <c r="AO97" s="59">
        <f t="shared" si="90"/>
        <v>311.68541696405975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78.753260173913574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78.753260173913574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2.8421709430404007E-14</v>
      </c>
      <c r="BE97" s="13">
        <f>BD97*VLOOKUP('Données projet'!$B$11,Paramètres!$A$1:$I$89,3,0)*VLOOKUP('Données projet'!$B$11,Paramètres!$A$1:$I$89,5,0)</f>
        <v>1.8178525351686402E-14</v>
      </c>
      <c r="BF97" s="13">
        <f t="shared" si="91"/>
        <v>3.3304129621647644E-13</v>
      </c>
      <c r="BG97" s="20">
        <f t="shared" si="61"/>
        <v>6.1170785589788349E-13</v>
      </c>
      <c r="BH97" s="59">
        <f t="shared" si="62"/>
        <v>275.64051507723912</v>
      </c>
      <c r="BI97" s="59">
        <f ca="1">AVERAGE(OFFSET($BH$3,0,0,'Données projet'!$E$11+1,1))-AVERAGE(OFFSET($H$3,0,0,'Données projet'!$E$11+1,1))</f>
        <v>169.46470423366029</v>
      </c>
      <c r="BJ97" s="59">
        <f t="shared" si="92"/>
        <v>230.78141128389288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17.060735014146246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17.060735014146246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-1.7053025658242404E-13</v>
      </c>
      <c r="BZ97" s="13">
        <f>BY97*VLOOKUP('Données projet'!$B$12,Paramètres!$A$1:$I$89,3,0)*VLOOKUP('Données projet'!$B$12,Paramètres!$A$1:$I$89,5,0)</f>
        <v>-1.4897523215040567E-13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342.79161436526499</v>
      </c>
      <c r="CE97" s="59">
        <f t="shared" si="94"/>
        <v>315.50730924873733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91.695288593555219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91.695288593555219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-5.6843418860808015E-14</v>
      </c>
      <c r="CU97" s="17">
        <f>CT97*VLOOKUP('Données projet'!$B$13,Paramètres!$A$1:$I$89,3,0)*VLOOKUP('Données projet'!$B$13,Paramètres!$A$1:$I$89,5,0)</f>
        <v>-3.813056537183002E-14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201.84651193684252</v>
      </c>
      <c r="CZ97" s="59">
        <f t="shared" si="96"/>
        <v>138.00705940844708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74.804863862074484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74.804863862074484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1.1368683772161603E-13</v>
      </c>
      <c r="DP97" s="17">
        <f>DO97*VLOOKUP('Données projet'!$B$14,Paramètres!$A$1:$I$89,3,0)*VLOOKUP('Données projet'!$B$14,Paramètres!$A$1:$I$89,5,0)</f>
        <v>8.3355189417488869E-14</v>
      </c>
      <c r="DQ97" s="13">
        <f t="shared" si="97"/>
        <v>1.2790518435140618E-12</v>
      </c>
      <c r="DR97" s="20">
        <f t="shared" si="70"/>
        <v>2.3728589156891171E-12</v>
      </c>
      <c r="DS97" s="59">
        <f t="shared" si="71"/>
        <v>275.64051507724088</v>
      </c>
      <c r="DT97" s="59">
        <f ca="1">AVERAGE(OFFSET($DS$3,0,0,'Données projet'!$E$14+1,1))-AVERAGE(OFFSET($H$3,0,0,'Données projet'!$E$14+1,1))</f>
        <v>242.21240859696931</v>
      </c>
      <c r="DU97" s="59">
        <f t="shared" si="98"/>
        <v>340.92165104349192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32.152104052850142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32.152104052850142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2.2999999999999998</v>
      </c>
      <c r="EJ97" s="12">
        <f>IF('Données projet'!$A$192&gt;35,EJ96+EI97-ER96,IF(A97&lt;'Données projet'!$A$192,$EG$205^A97,IF(A97='Données projet'!$A$192,'Données projet'!$B$192,EJ96+EI97-ER96)))</f>
        <v>202.2</v>
      </c>
      <c r="EK97" s="17">
        <f>EJ97*VLOOKUP('Données projet'!$B$15,Paramètres!$A$1:$I$89,3,0)*VLOOKUP('Données projet'!$B$15,Paramètres!$A$1:$I$89,5,0)</f>
        <v>195.56783999999999</v>
      </c>
      <c r="EL97" s="13">
        <f t="shared" si="99"/>
        <v>48.768846326674975</v>
      </c>
      <c r="EM97" s="20">
        <f t="shared" si="73"/>
        <v>425.55306201895888</v>
      </c>
      <c r="EN97" s="59">
        <f t="shared" si="74"/>
        <v>701.19357709619737</v>
      </c>
      <c r="EO97" s="59">
        <f ca="1">AVERAGE(OFFSET($EN$3,0,0,'Données projet'!$E$15+1,1))-AVERAGE(OFFSET($H$3,0,0,'Données projet'!$E$15+1,1))</f>
        <v>331.7059599630698</v>
      </c>
      <c r="EP97" s="59">
        <f t="shared" si="100"/>
        <v>173.19148969173838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6.5909662642535247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6.5909662642535247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2.2999999999999998</v>
      </c>
      <c r="FE97" s="12">
        <f>IF('Données projet'!$A$218&gt;35,FE96+FD97-FM96,IF(A97&lt;'Données projet'!$A$218,$FB$205^A97,IF(A97='Données projet'!$A$218,'Données projet'!$B$218,FE96+FD97-FM96)))</f>
        <v>202.2</v>
      </c>
      <c r="FF97" s="17">
        <f>FE97*VLOOKUP('Données projet'!$B$16,Paramètres!$A$1:$I$89,3,0)*VLOOKUP('Données projet'!$B$16,Paramètres!$A$1:$I$89,5,0)</f>
        <v>217.64807999999996</v>
      </c>
      <c r="FG97" s="13">
        <f t="shared" si="101"/>
        <v>53.603388206641782</v>
      </c>
      <c r="FH97" s="20">
        <f t="shared" si="76"/>
        <v>472.42964045990101</v>
      </c>
      <c r="FI97" s="59">
        <f t="shared" si="77"/>
        <v>748.0701555371395</v>
      </c>
      <c r="FJ97" s="59">
        <f ca="1">AVERAGE(OFFSET($FI$3,0,0,'Données projet'!$E$16+1,1))-AVERAGE(OFFSET($H$3,0,0,'Données projet'!$E$16+1,1))</f>
        <v>360.86062459677004</v>
      </c>
      <c r="FK97" s="59">
        <f t="shared" si="102"/>
        <v>186.0840067781198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19.857395921049179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19.857395921049179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2.8</v>
      </c>
      <c r="FZ97" s="12">
        <f>IF('Données projet'!$A$244&gt;35,FZ96+FY97-GH96,IF(A97&lt;'Données projet'!$A$244,$FW$205^A97,IF(A97='Données projet'!$A$244,'Données projet'!$B$244,FZ96+FY97-GH96)))</f>
        <v>265.19999999999987</v>
      </c>
      <c r="GA97" s="17">
        <f>FZ97*VLOOKUP('Données projet'!$B$17,Paramètres!$A$1:$I$89,3,0)*VLOOKUP('Données projet'!$B$17,Paramètres!$A$1:$I$89,5,0)</f>
        <v>268.91279999999989</v>
      </c>
      <c r="GB97" s="13">
        <f t="shared" si="103"/>
        <v>64.618483855217121</v>
      </c>
      <c r="GC97" s="20">
        <f t="shared" si="79"/>
        <v>580.90031938116965</v>
      </c>
      <c r="GD97" s="59">
        <f t="shared" si="80"/>
        <v>856.5408344584082</v>
      </c>
      <c r="GE97" s="59">
        <f ca="1">AVERAGE(OFFSET($GD$3,0,0,'Données projet'!$E$17+1,1))-AVERAGE(OFFSET($H$3,0,0,'Données projet'!$E$17+1,1))</f>
        <v>448.73339628506784</v>
      </c>
      <c r="GF97" s="59">
        <f t="shared" si="104"/>
        <v>273.35778700650803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31.330608524096103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31.330608524096103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2.8</v>
      </c>
      <c r="N98" s="13">
        <f>IF('Données projet'!$A$36&gt;35,N97+M98-V97,IF(A98&lt;'Données projet'!$A$36,$K$205^A98,IF(A98='Données projet'!$A$36,'Données projet'!$B$36,N97+M98-V97)))</f>
        <v>267.99999999999989</v>
      </c>
      <c r="O98" s="13">
        <f>N98*VLOOKUP('Données projet'!$B$9,Paramètres!$A$1:$I$89,3,0)*VLOOKUP('Données projet'!$B$9,Paramètres!$A$1:$I$89,5,0)</f>
        <v>242.48639999999986</v>
      </c>
      <c r="P98" s="13">
        <f t="shared" si="87"/>
        <v>58.974170235372419</v>
      </c>
      <c r="Q98" s="20">
        <f t="shared" si="54"/>
        <v>525.04382649327329</v>
      </c>
      <c r="R98" s="59">
        <f t="shared" si="55"/>
        <v>800.99127241203928</v>
      </c>
      <c r="S98" s="59">
        <f ca="1">AVERAGE(OFFSET($R$3,0,0,'Données projet'!$E$9+1,1))-AVERAGE(OFFSET($H$3,0,0,'Données projet'!$E$9+1,1))</f>
        <v>408.51124670343137</v>
      </c>
      <c r="T98" s="59">
        <f t="shared" si="88"/>
        <v>250.47702091764884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27.408332234491152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27.408332234491152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-2.8421709430404007E-13</v>
      </c>
      <c r="AJ98" s="13">
        <f>AI98*VLOOKUP('Données projet'!$B$10,Paramètres!$A$1:$I$89,3,0)*VLOOKUP('Données projet'!$B$10,Paramètres!$A$1:$I$89,5,0)</f>
        <v>-2.2612312022829427E-13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327.22763817565902</v>
      </c>
      <c r="AO98" s="59">
        <f t="shared" si="90"/>
        <v>311.68541696405975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77.208956776648805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77.208956776648805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2.8421709430404007E-14</v>
      </c>
      <c r="BE98" s="13">
        <f>BD98*VLOOKUP('Données projet'!$B$11,Paramètres!$A$1:$I$89,3,0)*VLOOKUP('Données projet'!$B$11,Paramètres!$A$1:$I$89,5,0)</f>
        <v>1.8178525351686402E-14</v>
      </c>
      <c r="BF98" s="13">
        <f t="shared" si="91"/>
        <v>3.3304129621647644E-13</v>
      </c>
      <c r="BG98" s="20">
        <f t="shared" si="61"/>
        <v>6.1170785589788349E-13</v>
      </c>
      <c r="BH98" s="59">
        <f t="shared" si="62"/>
        <v>275.94744591876656</v>
      </c>
      <c r="BI98" s="59">
        <f ca="1">AVERAGE(OFFSET($BH$3,0,0,'Données projet'!$E$11+1,1))-AVERAGE(OFFSET($H$3,0,0,'Données projet'!$E$11+1,1))</f>
        <v>169.46470423366029</v>
      </c>
      <c r="BJ98" s="59">
        <f t="shared" si="92"/>
        <v>230.78141128389288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16.726184406539687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16.726184406539687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-1.7053025658242404E-13</v>
      </c>
      <c r="BZ98" s="13">
        <f>BY98*VLOOKUP('Données projet'!$B$12,Paramètres!$A$1:$I$89,3,0)*VLOOKUP('Données projet'!$B$12,Paramètres!$A$1:$I$89,5,0)</f>
        <v>-1.4897523215040567E-13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342.79161436526499</v>
      </c>
      <c r="CE98" s="59">
        <f t="shared" si="94"/>
        <v>315.50730924873733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89.897199912839156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89.897199912839156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-5.6843418860808015E-14</v>
      </c>
      <c r="CU98" s="17">
        <f>CT98*VLOOKUP('Données projet'!$B$13,Paramètres!$A$1:$I$89,3,0)*VLOOKUP('Données projet'!$B$13,Paramètres!$A$1:$I$89,5,0)</f>
        <v>-3.813056537183002E-14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201.84651193684252</v>
      </c>
      <c r="CZ98" s="59">
        <f t="shared" si="96"/>
        <v>138.00705940844708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73.337986108200923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73.337986108200923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1.1368683772161603E-13</v>
      </c>
      <c r="DP98" s="17">
        <f>DO98*VLOOKUP('Données projet'!$B$14,Paramètres!$A$1:$I$89,3,0)*VLOOKUP('Données projet'!$B$14,Paramètres!$A$1:$I$89,5,0)</f>
        <v>8.3355189417488869E-14</v>
      </c>
      <c r="DQ98" s="13">
        <f t="shared" si="97"/>
        <v>1.2790518435140618E-12</v>
      </c>
      <c r="DR98" s="20">
        <f t="shared" si="70"/>
        <v>2.3728589156891171E-12</v>
      </c>
      <c r="DS98" s="59">
        <f t="shared" si="71"/>
        <v>275.94744591876832</v>
      </c>
      <c r="DT98" s="59">
        <f ca="1">AVERAGE(OFFSET($DS$3,0,0,'Données projet'!$E$14+1,1))-AVERAGE(OFFSET($H$3,0,0,'Données projet'!$E$14+1,1))</f>
        <v>242.21240859696931</v>
      </c>
      <c r="DU98" s="59">
        <f t="shared" si="98"/>
        <v>340.92165104349192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31.521620903220811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31.521620903220811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2.2999999999999998</v>
      </c>
      <c r="EJ98" s="12">
        <f>IF('Données projet'!$A$192&gt;35,EJ97+EI98-ER97,IF(A98&lt;'Données projet'!$A$192,$EG$205^A98,IF(A98='Données projet'!$A$192,'Données projet'!$B$192,EJ97+EI98-ER97)))</f>
        <v>204.5</v>
      </c>
      <c r="EK98" s="17">
        <f>EJ98*VLOOKUP('Données projet'!$B$15,Paramètres!$A$1:$I$89,3,0)*VLOOKUP('Données projet'!$B$15,Paramètres!$A$1:$I$89,5,0)</f>
        <v>197.79239999999999</v>
      </c>
      <c r="EL98" s="13">
        <f t="shared" si="99"/>
        <v>49.258691100257529</v>
      </c>
      <c r="EM98" s="20">
        <f t="shared" si="73"/>
        <v>430.28065033294848</v>
      </c>
      <c r="EN98" s="59">
        <f t="shared" si="74"/>
        <v>706.22809625171442</v>
      </c>
      <c r="EO98" s="59">
        <f ca="1">AVERAGE(OFFSET($EN$3,0,0,'Données projet'!$E$15+1,1))-AVERAGE(OFFSET($H$3,0,0,'Données projet'!$E$15+1,1))</f>
        <v>331.7059599630698</v>
      </c>
      <c r="EP98" s="59">
        <f t="shared" si="100"/>
        <v>173.19148969173838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6.461721435903983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6.461721435903983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2.2999999999999998</v>
      </c>
      <c r="FE98" s="12">
        <f>IF('Données projet'!$A$218&gt;35,FE97+FD98-FM97,IF(A98&lt;'Données projet'!$A$218,$FB$205^A98,IF(A98='Données projet'!$A$218,'Données projet'!$B$218,FE97+FD98-FM97)))</f>
        <v>204.5</v>
      </c>
      <c r="FF98" s="17">
        <f>FE98*VLOOKUP('Données projet'!$B$16,Paramètres!$A$1:$I$89,3,0)*VLOOKUP('Données projet'!$B$16,Paramètres!$A$1:$I$89,5,0)</f>
        <v>220.12379999999999</v>
      </c>
      <c r="FG98" s="13">
        <f t="shared" si="101"/>
        <v>54.141792157874484</v>
      </c>
      <c r="FH98" s="20">
        <f t="shared" si="76"/>
        <v>477.67923967496472</v>
      </c>
      <c r="FI98" s="59">
        <f t="shared" si="77"/>
        <v>753.6266855937306</v>
      </c>
      <c r="FJ98" s="59">
        <f ca="1">AVERAGE(OFFSET($FI$3,0,0,'Données projet'!$E$16+1,1))-AVERAGE(OFFSET($H$3,0,0,'Données projet'!$E$16+1,1))</f>
        <v>360.86062459677004</v>
      </c>
      <c r="FK98" s="59">
        <f t="shared" si="102"/>
        <v>186.0840067781198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19.468004498852974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19.468004498852974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2.8</v>
      </c>
      <c r="FZ98" s="12">
        <f>IF('Données projet'!$A$244&gt;35,FZ97+FY98-GH97,IF(A98&lt;'Données projet'!$A$244,$FW$205^A98,IF(A98='Données projet'!$A$244,'Données projet'!$B$244,FZ97+FY98-GH97)))</f>
        <v>267.99999999999989</v>
      </c>
      <c r="GA98" s="17">
        <f>FZ98*VLOOKUP('Données projet'!$B$17,Paramètres!$A$1:$I$89,3,0)*VLOOKUP('Données projet'!$B$17,Paramètres!$A$1:$I$89,5,0)</f>
        <v>271.7519999999999</v>
      </c>
      <c r="GB98" s="13">
        <f t="shared" si="103"/>
        <v>65.220947824724931</v>
      </c>
      <c r="GC98" s="20">
        <f t="shared" si="79"/>
        <v>586.89455079472907</v>
      </c>
      <c r="GD98" s="59">
        <f t="shared" si="80"/>
        <v>862.84199671349506</v>
      </c>
      <c r="GE98" s="59">
        <f ca="1">AVERAGE(OFFSET($GD$3,0,0,'Données projet'!$E$17+1,1))-AVERAGE(OFFSET($H$3,0,0,'Données projet'!$E$17+1,1))</f>
        <v>448.73339628506784</v>
      </c>
      <c r="GF98" s="59">
        <f t="shared" si="104"/>
        <v>273.35778700650803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30.716234400722843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30.716234400722843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2.8</v>
      </c>
      <c r="N99" s="13">
        <f>IF('Données projet'!$A$36&gt;35,N98+M99-V98,IF(A99&lt;'Données projet'!$A$36,$K$205^A99,IF(A99='Données projet'!$A$36,'Données projet'!$B$36,N98+M99-V98)))</f>
        <v>270.7999999999999</v>
      </c>
      <c r="O99" s="13">
        <f>N99*VLOOKUP('Données projet'!$B$9,Paramètres!$A$1:$I$89,3,0)*VLOOKUP('Données projet'!$B$9,Paramètres!$A$1:$I$89,5,0)</f>
        <v>245.0198399999999</v>
      </c>
      <c r="P99" s="13">
        <f t="shared" si="87"/>
        <v>59.518268884951055</v>
      </c>
      <c r="Q99" s="20">
        <f t="shared" ref="Q99:Q130" si="107">(O99+P99)*0.475*44/12</f>
        <v>530.40387297462291</v>
      </c>
      <c r="R99" s="59">
        <f t="shared" si="55"/>
        <v>806.65292517101034</v>
      </c>
      <c r="S99" s="59">
        <f ca="1">AVERAGE(OFFSET($R$3,0,0,'Données projet'!$E$9+1,1))-AVERAGE(OFFSET($H$3,0,0,'Données projet'!$E$9+1,1))</f>
        <v>408.51124670343137</v>
      </c>
      <c r="T99" s="59">
        <f t="shared" si="88"/>
        <v>250.47702091764884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26.870871556804733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26.870871556804733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-2.8421709430404007E-13</v>
      </c>
      <c r="AJ99" s="13">
        <f>AI99*VLOOKUP('Données projet'!$B$10,Paramètres!$A$1:$I$89,3,0)*VLOOKUP('Données projet'!$B$10,Paramètres!$A$1:$I$89,5,0)</f>
        <v>-2.2612312022829427E-13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327.22763817565902</v>
      </c>
      <c r="AO99" s="59">
        <f t="shared" si="90"/>
        <v>311.68541696405975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75.694936227072333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75.694936227072333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2.8421709430404007E-14</v>
      </c>
      <c r="BE99" s="13">
        <f>BD99*VLOOKUP('Données projet'!$B$11,Paramètres!$A$1:$I$89,3,0)*VLOOKUP('Données projet'!$B$11,Paramètres!$A$1:$I$89,5,0)</f>
        <v>1.8178525351686402E-14</v>
      </c>
      <c r="BF99" s="13">
        <f t="shared" si="91"/>
        <v>3.3304129621647644E-13</v>
      </c>
      <c r="BG99" s="20">
        <f t="shared" si="61"/>
        <v>6.1170785589788349E-13</v>
      </c>
      <c r="BH99" s="59">
        <f t="shared" si="62"/>
        <v>276.24905219638805</v>
      </c>
      <c r="BI99" s="59">
        <f ca="1">AVERAGE(OFFSET($BH$3,0,0,'Données projet'!$E$11+1,1))-AVERAGE(OFFSET($H$3,0,0,'Données projet'!$E$11+1,1))</f>
        <v>169.46470423366029</v>
      </c>
      <c r="BJ99" s="59">
        <f t="shared" si="92"/>
        <v>230.78141128389288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16.39819413229257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16.39819413229257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-1.7053025658242404E-13</v>
      </c>
      <c r="BZ99" s="13">
        <f>BY99*VLOOKUP('Données projet'!$B$12,Paramètres!$A$1:$I$89,3,0)*VLOOKUP('Données projet'!$B$12,Paramètres!$A$1:$I$89,5,0)</f>
        <v>-1.4897523215040567E-13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342.79161436526499</v>
      </c>
      <c r="CE99" s="59">
        <f t="shared" si="94"/>
        <v>315.50730924873733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88.134370654426135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88.134370654426135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-5.6843418860808015E-14</v>
      </c>
      <c r="CU99" s="17">
        <f>CT99*VLOOKUP('Données projet'!$B$13,Paramètres!$A$1:$I$89,3,0)*VLOOKUP('Données projet'!$B$13,Paramètres!$A$1:$I$89,5,0)</f>
        <v>-3.813056537183002E-14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201.84651193684252</v>
      </c>
      <c r="CZ99" s="59">
        <f t="shared" si="96"/>
        <v>138.00705940844708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71.899872932373739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71.899872932373739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1.1368683772161603E-13</v>
      </c>
      <c r="DP99" s="17">
        <f>DO99*VLOOKUP('Données projet'!$B$14,Paramètres!$A$1:$I$89,3,0)*VLOOKUP('Données projet'!$B$14,Paramètres!$A$1:$I$89,5,0)</f>
        <v>8.3355189417488869E-14</v>
      </c>
      <c r="DQ99" s="13">
        <f t="shared" si="97"/>
        <v>1.2790518435140618E-12</v>
      </c>
      <c r="DR99" s="20">
        <f t="shared" si="70"/>
        <v>2.3728589156891171E-12</v>
      </c>
      <c r="DS99" s="59">
        <f t="shared" si="71"/>
        <v>276.24905219638981</v>
      </c>
      <c r="DT99" s="59">
        <f ca="1">AVERAGE(OFFSET($DS$3,0,0,'Données projet'!$E$14+1,1))-AVERAGE(OFFSET($H$3,0,0,'Données projet'!$E$14+1,1))</f>
        <v>242.21240859696931</v>
      </c>
      <c r="DU99" s="59">
        <f t="shared" si="98"/>
        <v>340.92165104349192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30.903501143598962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30.903501143598962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2.2999999999999998</v>
      </c>
      <c r="EJ99" s="12">
        <f>IF('Données projet'!$A$192&gt;35,EJ98+EI99-ER98,IF(A99&lt;'Données projet'!$A$192,$EG$205^A99,IF(A99='Données projet'!$A$192,'Données projet'!$B$192,EJ98+EI99-ER98)))</f>
        <v>206.8</v>
      </c>
      <c r="EK99" s="17">
        <f>EJ99*VLOOKUP('Données projet'!$B$15,Paramètres!$A$1:$I$89,3,0)*VLOOKUP('Données projet'!$B$15,Paramètres!$A$1:$I$89,5,0)</f>
        <v>200.01696000000001</v>
      </c>
      <c r="EL99" s="13">
        <f t="shared" si="99"/>
        <v>49.747895001660083</v>
      </c>
      <c r="EM99" s="20">
        <f t="shared" si="73"/>
        <v>435.0071224612247</v>
      </c>
      <c r="EN99" s="59">
        <f t="shared" si="74"/>
        <v>711.25617465761206</v>
      </c>
      <c r="EO99" s="59">
        <f ca="1">AVERAGE(OFFSET($EN$3,0,0,'Données projet'!$E$15+1,1))-AVERAGE(OFFSET($H$3,0,0,'Données projet'!$E$15+1,1))</f>
        <v>331.7059599630698</v>
      </c>
      <c r="EP99" s="59">
        <f t="shared" si="100"/>
        <v>173.19148969173838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6.3350110198068146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6.3350110198068146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2.2999999999999998</v>
      </c>
      <c r="FE99" s="12">
        <f>IF('Données projet'!$A$218&gt;35,FE98+FD99-FM98,IF(A99&lt;'Données projet'!$A$218,$FB$205^A99,IF(A99='Données projet'!$A$218,'Données projet'!$B$218,FE98+FD99-FM98)))</f>
        <v>206.8</v>
      </c>
      <c r="FF99" s="17">
        <f>FE99*VLOOKUP('Données projet'!$B$16,Paramètres!$A$1:$I$89,3,0)*VLOOKUP('Données projet'!$B$16,Paramètres!$A$1:$I$89,5,0)</f>
        <v>222.59952000000001</v>
      </c>
      <c r="FG99" s="13">
        <f t="shared" si="101"/>
        <v>54.679491706135877</v>
      </c>
      <c r="FH99" s="20">
        <f t="shared" si="76"/>
        <v>482.92761205485334</v>
      </c>
      <c r="FI99" s="59">
        <f t="shared" si="77"/>
        <v>759.17666425124071</v>
      </c>
      <c r="FJ99" s="59">
        <f ca="1">AVERAGE(OFFSET($FI$3,0,0,'Données projet'!$E$16+1,1))-AVERAGE(OFFSET($H$3,0,0,'Données projet'!$E$16+1,1))</f>
        <v>360.86062459677004</v>
      </c>
      <c r="FK99" s="59">
        <f t="shared" si="102"/>
        <v>186.0840067781198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19.08624880494072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19.08624880494072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2.8</v>
      </c>
      <c r="FZ99" s="12">
        <f>IF('Données projet'!$A$244&gt;35,FZ98+FY99-GH98,IF(A99&lt;'Données projet'!$A$244,$FW$205^A99,IF(A99='Données projet'!$A$244,'Données projet'!$B$244,FZ98+FY99-GH98)))</f>
        <v>270.7999999999999</v>
      </c>
      <c r="GA99" s="17">
        <f>FZ99*VLOOKUP('Données projet'!$B$17,Paramètres!$A$1:$I$89,3,0)*VLOOKUP('Données projet'!$B$17,Paramètres!$A$1:$I$89,5,0)</f>
        <v>274.59119999999996</v>
      </c>
      <c r="GB99" s="13">
        <f t="shared" si="103"/>
        <v>65.822679557346859</v>
      </c>
      <c r="GC99" s="20">
        <f t="shared" si="79"/>
        <v>592.88750689571236</v>
      </c>
      <c r="GD99" s="59">
        <f t="shared" si="80"/>
        <v>869.13655909209979</v>
      </c>
      <c r="GE99" s="59">
        <f ca="1">AVERAGE(OFFSET($GD$3,0,0,'Données projet'!$E$17+1,1))-AVERAGE(OFFSET($H$3,0,0,'Données projet'!$E$17+1,1))</f>
        <v>448.73339628506784</v>
      </c>
      <c r="GF99" s="59">
        <f t="shared" si="104"/>
        <v>273.35778700650803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30.113907779177719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30.113907779177719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2.8</v>
      </c>
      <c r="N100" s="13">
        <f>IF('Données projet'!$A$36&gt;35,N99+M100-V99,IF(A100&lt;'Données projet'!$A$36,$K$205^A100,IF(A100='Données projet'!$A$36,'Données projet'!$B$36,N99+M100-V99)))</f>
        <v>273.59999999999991</v>
      </c>
      <c r="O100" s="13">
        <f>N100*VLOOKUP('Données projet'!$B$9,Paramètres!$A$1:$I$89,3,0)*VLOOKUP('Données projet'!$B$9,Paramètres!$A$1:$I$89,5,0)</f>
        <v>247.55327999999989</v>
      </c>
      <c r="P100" s="13">
        <f t="shared" si="87"/>
        <v>60.061713068870255</v>
      </c>
      <c r="Q100" s="20">
        <f t="shared" si="107"/>
        <v>535.76277959494882</v>
      </c>
      <c r="R100" s="59">
        <f t="shared" si="55"/>
        <v>812.30820587433163</v>
      </c>
      <c r="S100" s="59">
        <f ca="1">AVERAGE(OFFSET($R$3,0,0,'Données projet'!$E$9+1,1))-AVERAGE(OFFSET($H$3,0,0,'Données projet'!$E$9+1,1))</f>
        <v>408.51124670343137</v>
      </c>
      <c r="T100" s="59">
        <f t="shared" si="88"/>
        <v>250.47702091764884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26.343950155189102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26.343950155189102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-2.8421709430404007E-13</v>
      </c>
      <c r="AJ100" s="13">
        <f>AI100*VLOOKUP('Données projet'!$B$10,Paramètres!$A$1:$I$89,3,0)*VLOOKUP('Données projet'!$B$10,Paramètres!$A$1:$I$89,5,0)</f>
        <v>-2.2612312022829427E-13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327.22763817565902</v>
      </c>
      <c r="AO100" s="59">
        <f t="shared" si="90"/>
        <v>311.68541696405975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74.210604697011703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74.210604697011703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2.8421709430404007E-14</v>
      </c>
      <c r="BE100" s="13">
        <f>BD100*VLOOKUP('Données projet'!$B$11,Paramètres!$A$1:$I$89,3,0)*VLOOKUP('Données projet'!$B$11,Paramètres!$A$1:$I$89,5,0)</f>
        <v>1.8178525351686402E-14</v>
      </c>
      <c r="BF100" s="13">
        <f t="shared" si="91"/>
        <v>3.3304129621647644E-13</v>
      </c>
      <c r="BG100" s="20">
        <f t="shared" si="61"/>
        <v>6.1170785589788349E-13</v>
      </c>
      <c r="BH100" s="59">
        <f t="shared" si="62"/>
        <v>276.54542627938343</v>
      </c>
      <c r="BI100" s="59">
        <f ca="1">AVERAGE(OFFSET($BH$3,0,0,'Données projet'!$E$11+1,1))-AVERAGE(OFFSET($H$3,0,0,'Données projet'!$E$11+1,1))</f>
        <v>169.46470423366029</v>
      </c>
      <c r="BJ100" s="59">
        <f t="shared" si="92"/>
        <v>230.78141128389288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16.076635547269127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16.076635547269127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-1.7053025658242404E-13</v>
      </c>
      <c r="BZ100" s="13">
        <f>BY100*VLOOKUP('Données projet'!$B$12,Paramètres!$A$1:$I$89,3,0)*VLOOKUP('Données projet'!$B$12,Paramètres!$A$1:$I$89,5,0)</f>
        <v>-1.4897523215040567E-13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342.79161436526499</v>
      </c>
      <c r="CE100" s="59">
        <f t="shared" si="94"/>
        <v>315.50730924873733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86.406109402550911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86.406109402550911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-5.6843418860808015E-14</v>
      </c>
      <c r="CU100" s="17">
        <f>CT100*VLOOKUP('Données projet'!$B$13,Paramètres!$A$1:$I$89,3,0)*VLOOKUP('Données projet'!$B$13,Paramètres!$A$1:$I$89,5,0)</f>
        <v>-3.813056537183002E-14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201.84651193684252</v>
      </c>
      <c r="CZ100" s="59">
        <f t="shared" si="96"/>
        <v>138.00705940844708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70.489960278762098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70.489960278762098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1.1368683772161603E-13</v>
      </c>
      <c r="DP100" s="17">
        <f>DO100*VLOOKUP('Données projet'!$B$14,Paramètres!$A$1:$I$89,3,0)*VLOOKUP('Données projet'!$B$14,Paramètres!$A$1:$I$89,5,0)</f>
        <v>8.3355189417488869E-14</v>
      </c>
      <c r="DQ100" s="13">
        <f t="shared" si="97"/>
        <v>1.2790518435140618E-12</v>
      </c>
      <c r="DR100" s="20">
        <f t="shared" si="70"/>
        <v>2.3728589156891171E-12</v>
      </c>
      <c r="DS100" s="59">
        <f t="shared" si="71"/>
        <v>276.5454262793852</v>
      </c>
      <c r="DT100" s="59">
        <f ca="1">AVERAGE(OFFSET($DS$3,0,0,'Données projet'!$E$14+1,1))-AVERAGE(OFFSET($H$3,0,0,'Données projet'!$E$14+1,1))</f>
        <v>242.21240859696931</v>
      </c>
      <c r="DU100" s="59">
        <f t="shared" si="98"/>
        <v>340.92165104349192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30.297502335447472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30.297502335447472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2.2999999999999998</v>
      </c>
      <c r="EJ100" s="12">
        <f>IF('Données projet'!$A$192&gt;35,EJ99+EI100-ER99,IF(A100&lt;'Données projet'!$A$192,$EG$205^A100,IF(A100='Données projet'!$A$192,'Données projet'!$B$192,EJ99+EI100-ER99)))</f>
        <v>209.10000000000002</v>
      </c>
      <c r="EK100" s="17">
        <f>EJ100*VLOOKUP('Données projet'!$B$15,Paramètres!$A$1:$I$89,3,0)*VLOOKUP('Données projet'!$B$15,Paramètres!$A$1:$I$89,5,0)</f>
        <v>202.24152000000004</v>
      </c>
      <c r="EL100" s="13">
        <f t="shared" si="99"/>
        <v>50.236465983415187</v>
      </c>
      <c r="EM100" s="20">
        <f t="shared" si="73"/>
        <v>439.73249225444823</v>
      </c>
      <c r="EN100" s="59">
        <f t="shared" si="74"/>
        <v>716.2779185338311</v>
      </c>
      <c r="EO100" s="59">
        <f ca="1">AVERAGE(OFFSET($EN$3,0,0,'Données projet'!$E$15+1,1))-AVERAGE(OFFSET($H$3,0,0,'Données projet'!$E$15+1,1))</f>
        <v>331.7059599630698</v>
      </c>
      <c r="EP100" s="59">
        <f t="shared" si="100"/>
        <v>173.19148969173838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6.2107853176835892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6.2107853176835892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2.2999999999999998</v>
      </c>
      <c r="FE100" s="12">
        <f>IF('Données projet'!$A$218&gt;35,FE99+FD100-FM99,IF(A100&lt;'Données projet'!$A$218,$FB$205^A100,IF(A100='Données projet'!$A$218,'Données projet'!$B$218,FE99+FD100-FM99)))</f>
        <v>209.10000000000002</v>
      </c>
      <c r="FF100" s="17">
        <f>FE100*VLOOKUP('Données projet'!$B$16,Paramètres!$A$1:$I$89,3,0)*VLOOKUP('Données projet'!$B$16,Paramètres!$A$1:$I$89,5,0)</f>
        <v>225.07524000000001</v>
      </c>
      <c r="FG100" s="13">
        <f t="shared" si="101"/>
        <v>55.216495592307254</v>
      </c>
      <c r="FH100" s="20">
        <f t="shared" si="76"/>
        <v>488.17477282326837</v>
      </c>
      <c r="FI100" s="59">
        <f t="shared" si="77"/>
        <v>764.72019910265112</v>
      </c>
      <c r="FJ100" s="59">
        <f ca="1">AVERAGE(OFFSET($FI$3,0,0,'Données projet'!$E$16+1,1))-AVERAGE(OFFSET($H$3,0,0,'Données projet'!$E$16+1,1))</f>
        <v>360.86062459677004</v>
      </c>
      <c r="FK100" s="59">
        <f t="shared" si="102"/>
        <v>186.0840067781198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18.711979107338106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18.711979107338106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2.8</v>
      </c>
      <c r="FZ100" s="12">
        <f>IF('Données projet'!$A$244&gt;35,FZ99+FY100-GH99,IF(A100&lt;'Données projet'!$A$244,$FW$205^A100,IF(A100='Données projet'!$A$244,'Données projet'!$B$244,FZ99+FY100-GH99)))</f>
        <v>273.59999999999991</v>
      </c>
      <c r="GA100" s="17">
        <f>FZ100*VLOOKUP('Données projet'!$B$17,Paramètres!$A$1:$I$89,3,0)*VLOOKUP('Données projet'!$B$17,Paramètres!$A$1:$I$89,5,0)</f>
        <v>277.43039999999991</v>
      </c>
      <c r="GB100" s="13">
        <f t="shared" si="103"/>
        <v>66.423687500715673</v>
      </c>
      <c r="GC100" s="20">
        <f t="shared" si="79"/>
        <v>598.87920239707955</v>
      </c>
      <c r="GD100" s="59">
        <f t="shared" si="80"/>
        <v>875.42462867646236</v>
      </c>
      <c r="GE100" s="59">
        <f ca="1">AVERAGE(OFFSET($GD$3,0,0,'Données projet'!$E$17+1,1))-AVERAGE(OFFSET($H$3,0,0,'Données projet'!$E$17+1,1))</f>
        <v>448.73339628506784</v>
      </c>
      <c r="GF100" s="59">
        <f t="shared" si="104"/>
        <v>273.35778700650803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29.523392415298133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29.523392415298133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2.8</v>
      </c>
      <c r="N101" s="13">
        <f>IF('Données projet'!$A$36&gt;35,N100+M101-V100,IF(A101&lt;'Données projet'!$A$36,$K$205^A101,IF(A101='Données projet'!$A$36,'Données projet'!$B$36,N100+M101-V100)))</f>
        <v>276.39999999999992</v>
      </c>
      <c r="O101" s="13">
        <f>N101*VLOOKUP('Données projet'!$B$9,Paramètres!$A$1:$I$89,3,0)*VLOOKUP('Données projet'!$B$9,Paramètres!$A$1:$I$89,5,0)</f>
        <v>250.08671999999993</v>
      </c>
      <c r="P101" s="13">
        <f t="shared" si="87"/>
        <v>60.604510260306157</v>
      </c>
      <c r="Q101" s="20">
        <f t="shared" si="107"/>
        <v>541.12055937003311</v>
      </c>
      <c r="R101" s="59">
        <f t="shared" si="55"/>
        <v>817.95721830466448</v>
      </c>
      <c r="S101" s="59">
        <f ca="1">AVERAGE(OFFSET($R$3,0,0,'Données projet'!$E$9+1,1))-AVERAGE(OFFSET($H$3,0,0,'Données projet'!$E$9+1,1))</f>
        <v>408.51124670343137</v>
      </c>
      <c r="T101" s="59">
        <f t="shared" si="88"/>
        <v>250.47702091764884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25.827361360868831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25.827361360868831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-2.8421709430404007E-13</v>
      </c>
      <c r="AJ101" s="13">
        <f>AI101*VLOOKUP('Données projet'!$B$10,Paramètres!$A$1:$I$89,3,0)*VLOOKUP('Données projet'!$B$10,Paramètres!$A$1:$I$89,5,0)</f>
        <v>-2.2612312022829427E-13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327.22763817565902</v>
      </c>
      <c r="AO101" s="59">
        <f t="shared" si="90"/>
        <v>311.68541696405975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72.755380002902726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72.755380002902726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2.8421709430404007E-14</v>
      </c>
      <c r="BE101" s="13">
        <f>BD101*VLOOKUP('Données projet'!$B$11,Paramètres!$A$1:$I$89,3,0)*VLOOKUP('Données projet'!$B$11,Paramètres!$A$1:$I$89,5,0)</f>
        <v>1.8178525351686402E-14</v>
      </c>
      <c r="BF101" s="13">
        <f t="shared" si="91"/>
        <v>3.3304129621647644E-13</v>
      </c>
      <c r="BG101" s="20">
        <f t="shared" si="61"/>
        <v>6.1170785589788349E-13</v>
      </c>
      <c r="BH101" s="59">
        <f t="shared" si="62"/>
        <v>276.836658934632</v>
      </c>
      <c r="BI101" s="59">
        <f ca="1">AVERAGE(OFFSET($BH$3,0,0,'Données projet'!$E$11+1,1))-AVERAGE(OFFSET($H$3,0,0,'Données projet'!$E$11+1,1))</f>
        <v>169.46470423366029</v>
      </c>
      <c r="BJ101" s="59">
        <f t="shared" si="92"/>
        <v>230.78141128389288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15.761382529966623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15.761382529966623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-1.7053025658242404E-13</v>
      </c>
      <c r="BZ101" s="13">
        <f>BY101*VLOOKUP('Données projet'!$B$12,Paramètres!$A$1:$I$89,3,0)*VLOOKUP('Données projet'!$B$12,Paramètres!$A$1:$I$89,5,0)</f>
        <v>-1.4897523215040567E-13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342.79161436526499</v>
      </c>
      <c r="CE101" s="59">
        <f t="shared" si="94"/>
        <v>315.50730924873733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84.711738299689685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84.711738299689685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-5.6843418860808015E-14</v>
      </c>
      <c r="CU101" s="17">
        <f>CT101*VLOOKUP('Données projet'!$B$13,Paramètres!$A$1:$I$89,3,0)*VLOOKUP('Données projet'!$B$13,Paramètres!$A$1:$I$89,5,0)</f>
        <v>-3.813056537183002E-14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201.84651193684252</v>
      </c>
      <c r="CZ101" s="59">
        <f t="shared" si="96"/>
        <v>138.00705940844708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69.107695152325974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69.107695152325974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1.1368683772161603E-13</v>
      </c>
      <c r="DP101" s="17">
        <f>DO101*VLOOKUP('Données projet'!$B$14,Paramètres!$A$1:$I$89,3,0)*VLOOKUP('Données projet'!$B$14,Paramètres!$A$1:$I$89,5,0)</f>
        <v>8.3355189417488869E-14</v>
      </c>
      <c r="DQ101" s="13">
        <f t="shared" si="97"/>
        <v>1.2790518435140618E-12</v>
      </c>
      <c r="DR101" s="20">
        <f t="shared" si="70"/>
        <v>2.3728589156891171E-12</v>
      </c>
      <c r="DS101" s="59">
        <f t="shared" si="71"/>
        <v>276.83665893463376</v>
      </c>
      <c r="DT101" s="59">
        <f ca="1">AVERAGE(OFFSET($DS$3,0,0,'Données projet'!$E$14+1,1))-AVERAGE(OFFSET($H$3,0,0,'Données projet'!$E$14+1,1))</f>
        <v>242.21240859696931</v>
      </c>
      <c r="DU101" s="59">
        <f t="shared" si="98"/>
        <v>340.92165104349192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29.703386794301057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29.703386794301057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2.2999999999999998</v>
      </c>
      <c r="EJ101" s="12">
        <f>IF('Données projet'!$A$192&gt;35,EJ100+EI101-ER100,IF(A101&lt;'Données projet'!$A$192,$EG$205^A101,IF(A101='Données projet'!$A$192,'Données projet'!$B$192,EJ100+EI101-ER100)))</f>
        <v>211.40000000000003</v>
      </c>
      <c r="EK101" s="17">
        <f>EJ101*VLOOKUP('Données projet'!$B$15,Paramètres!$A$1:$I$89,3,0)*VLOOKUP('Données projet'!$B$15,Paramètres!$A$1:$I$89,5,0)</f>
        <v>204.46608000000003</v>
      </c>
      <c r="EL101" s="13">
        <f t="shared" si="99"/>
        <v>50.724411813032809</v>
      </c>
      <c r="EM101" s="20">
        <f t="shared" si="73"/>
        <v>444.45677324103218</v>
      </c>
      <c r="EN101" s="59">
        <f t="shared" si="74"/>
        <v>721.29343217566361</v>
      </c>
      <c r="EO101" s="59">
        <f ca="1">AVERAGE(OFFSET($EN$3,0,0,'Données projet'!$E$15+1,1))-AVERAGE(OFFSET($H$3,0,0,'Données projet'!$E$15+1,1))</f>
        <v>331.7059599630698</v>
      </c>
      <c r="EP101" s="59">
        <f t="shared" si="100"/>
        <v>173.19148969173838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6.0889956058088037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6.0889956058088037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2.2999999999999998</v>
      </c>
      <c r="FE101" s="12">
        <f>IF('Données projet'!$A$218&gt;35,FE100+FD101-FM100,IF(A101&lt;'Données projet'!$A$218,$FB$205^A101,IF(A101='Données projet'!$A$218,'Données projet'!$B$218,FE100+FD101-FM100)))</f>
        <v>211.40000000000003</v>
      </c>
      <c r="FF101" s="17">
        <f>FE101*VLOOKUP('Données projet'!$B$16,Paramètres!$A$1:$I$89,3,0)*VLOOKUP('Données projet'!$B$16,Paramètres!$A$1:$I$89,5,0)</f>
        <v>227.55096000000003</v>
      </c>
      <c r="FG101" s="13">
        <f t="shared" si="101"/>
        <v>55.752812353905504</v>
      </c>
      <c r="FH101" s="20">
        <f t="shared" si="76"/>
        <v>493.42073684971882</v>
      </c>
      <c r="FI101" s="59">
        <f t="shared" si="77"/>
        <v>770.25739578435014</v>
      </c>
      <c r="FJ101" s="59">
        <f ca="1">AVERAGE(OFFSET($FI$3,0,0,'Données projet'!$E$16+1,1))-AVERAGE(OFFSET($H$3,0,0,'Données projet'!$E$16+1,1))</f>
        <v>360.86062459677004</v>
      </c>
      <c r="FK101" s="59">
        <f t="shared" si="102"/>
        <v>186.0840067781198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18.345048610223504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18.345048610223504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2.8</v>
      </c>
      <c r="FZ101" s="12">
        <f>IF('Données projet'!$A$244&gt;35,FZ100+FY101-GH100,IF(A101&lt;'Données projet'!$A$244,$FW$205^A101,IF(A101='Données projet'!$A$244,'Données projet'!$B$244,FZ100+FY101-GH100)))</f>
        <v>276.39999999999992</v>
      </c>
      <c r="GA101" s="17">
        <f>FZ101*VLOOKUP('Données projet'!$B$17,Paramètres!$A$1:$I$89,3,0)*VLOOKUP('Données projet'!$B$17,Paramètres!$A$1:$I$89,5,0)</f>
        <v>280.26959999999997</v>
      </c>
      <c r="GB101" s="13">
        <f t="shared" si="103"/>
        <v>67.023979919595945</v>
      </c>
      <c r="GC101" s="20">
        <f t="shared" si="79"/>
        <v>604.86965169329608</v>
      </c>
      <c r="GD101" s="59">
        <f t="shared" si="80"/>
        <v>881.70631062792745</v>
      </c>
      <c r="GE101" s="59">
        <f ca="1">AVERAGE(OFFSET($GD$3,0,0,'Données projet'!$E$17+1,1))-AVERAGE(OFFSET($H$3,0,0,'Données projet'!$E$17+1,1))</f>
        <v>448.73339628506784</v>
      </c>
      <c r="GF101" s="59">
        <f t="shared" si="104"/>
        <v>273.35778700650803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28.944456697525418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28.944456697525418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2.8</v>
      </c>
      <c r="N102" s="13">
        <f>IF('Données projet'!$A$36&gt;35,N101+M102-V101,IF(A102&lt;'Données projet'!$A$36,$K$205^A102,IF(A102='Données projet'!$A$36,'Données projet'!$B$36,N101+M102-V101)))</f>
        <v>279.19999999999993</v>
      </c>
      <c r="O102" s="13">
        <f>N102*VLOOKUP('Données projet'!$B$9,Paramètres!$A$1:$I$89,3,0)*VLOOKUP('Données projet'!$B$9,Paramètres!$A$1:$I$89,5,0)</f>
        <v>252.62015999999994</v>
      </c>
      <c r="P102" s="13">
        <f t="shared" si="87"/>
        <v>61.14666777229877</v>
      </c>
      <c r="Q102" s="20">
        <f t="shared" si="107"/>
        <v>546.47722503675357</v>
      </c>
      <c r="R102" s="59">
        <f t="shared" si="55"/>
        <v>823.60006439116364</v>
      </c>
      <c r="S102" s="59">
        <f ca="1">AVERAGE(OFFSET($R$3,0,0,'Données projet'!$E$9+1,1))-AVERAGE(OFFSET($H$3,0,0,'Données projet'!$E$9+1,1))</f>
        <v>408.51124670343137</v>
      </c>
      <c r="T102" s="59">
        <f t="shared" si="88"/>
        <v>250.47702091764884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25.32090255771713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25.32090255771713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-2.8421709430404007E-13</v>
      </c>
      <c r="AJ102" s="13">
        <f>AI102*VLOOKUP('Données projet'!$B$10,Paramètres!$A$1:$I$89,3,0)*VLOOKUP('Données projet'!$B$10,Paramètres!$A$1:$I$89,5,0)</f>
        <v>-2.2612312022829427E-13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327.22763817565902</v>
      </c>
      <c r="AO102" s="59">
        <f t="shared" si="90"/>
        <v>311.68541696405975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71.328691377445793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71.328691377445793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2.8421709430404007E-14</v>
      </c>
      <c r="BE102" s="13">
        <f>BD102*VLOOKUP('Données projet'!$B$11,Paramètres!$A$1:$I$89,3,0)*VLOOKUP('Données projet'!$B$11,Paramètres!$A$1:$I$89,5,0)</f>
        <v>1.8178525351686402E-14</v>
      </c>
      <c r="BF102" s="13">
        <f t="shared" si="91"/>
        <v>3.3304129621647644E-13</v>
      </c>
      <c r="BG102" s="20">
        <f t="shared" si="61"/>
        <v>6.1170785589788349E-13</v>
      </c>
      <c r="BH102" s="59">
        <f t="shared" si="62"/>
        <v>277.12283935441076</v>
      </c>
      <c r="BI102" s="59">
        <f ca="1">AVERAGE(OFFSET($BH$3,0,0,'Données projet'!$E$11+1,1))-AVERAGE(OFFSET($H$3,0,0,'Données projet'!$E$11+1,1))</f>
        <v>169.46470423366029</v>
      </c>
      <c r="BJ102" s="59">
        <f t="shared" si="92"/>
        <v>230.78141128389288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15.452311432048067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15.452311432048067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-1.7053025658242404E-13</v>
      </c>
      <c r="BZ102" s="13">
        <f>BY102*VLOOKUP('Données projet'!$B$12,Paramètres!$A$1:$I$89,3,0)*VLOOKUP('Données projet'!$B$12,Paramètres!$A$1:$I$89,5,0)</f>
        <v>-1.4897523215040567E-13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342.79161436526499</v>
      </c>
      <c r="CE102" s="59">
        <f t="shared" si="94"/>
        <v>315.50730924873733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83.050592780691233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83.050592780691233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-5.6843418860808015E-14</v>
      </c>
      <c r="CU102" s="17">
        <f>CT102*VLOOKUP('Données projet'!$B$13,Paramètres!$A$1:$I$89,3,0)*VLOOKUP('Données projet'!$B$13,Paramètres!$A$1:$I$89,5,0)</f>
        <v>-3.813056537183002E-14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201.84651193684252</v>
      </c>
      <c r="CZ102" s="59">
        <f t="shared" si="96"/>
        <v>138.00705940844708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67.752535401920781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67.752535401920781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1.1368683772161603E-13</v>
      </c>
      <c r="DP102" s="17">
        <f>DO102*VLOOKUP('Données projet'!$B$14,Paramètres!$A$1:$I$89,3,0)*VLOOKUP('Données projet'!$B$14,Paramètres!$A$1:$I$89,5,0)</f>
        <v>8.3355189417488869E-14</v>
      </c>
      <c r="DQ102" s="13">
        <f t="shared" si="97"/>
        <v>1.2790518435140618E-12</v>
      </c>
      <c r="DR102" s="20">
        <f t="shared" si="70"/>
        <v>2.3728589156891171E-12</v>
      </c>
      <c r="DS102" s="59">
        <f t="shared" si="71"/>
        <v>277.12283935441252</v>
      </c>
      <c r="DT102" s="59">
        <f ca="1">AVERAGE(OFFSET($DS$3,0,0,'Données projet'!$E$14+1,1))-AVERAGE(OFFSET($H$3,0,0,'Données projet'!$E$14+1,1))</f>
        <v>242.21240859696931</v>
      </c>
      <c r="DU102" s="59">
        <f t="shared" si="98"/>
        <v>340.92165104349192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29.120921496541825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29.120921496541825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2.2999999999999998</v>
      </c>
      <c r="EJ102" s="12">
        <f>IF('Données projet'!$A$192&gt;35,EJ101+EI102-ER101,IF(A102&lt;'Données projet'!$A$192,$EG$205^A102,IF(A102='Données projet'!$A$192,'Données projet'!$B$192,EJ101+EI102-ER101)))</f>
        <v>213.70000000000005</v>
      </c>
      <c r="EK102" s="17">
        <f>EJ102*VLOOKUP('Données projet'!$B$15,Paramètres!$A$1:$I$89,3,0)*VLOOKUP('Données projet'!$B$15,Paramètres!$A$1:$I$89,5,0)</f>
        <v>206.69064000000006</v>
      </c>
      <c r="EL102" s="13">
        <f t="shared" si="99"/>
        <v>51.211740079270029</v>
      </c>
      <c r="EM102" s="20">
        <f t="shared" si="73"/>
        <v>449.17997863806204</v>
      </c>
      <c r="EN102" s="59">
        <f t="shared" si="74"/>
        <v>726.30281799247223</v>
      </c>
      <c r="EO102" s="59">
        <f ca="1">AVERAGE(OFFSET($EN$3,0,0,'Données projet'!$E$15+1,1))-AVERAGE(OFFSET($H$3,0,0,'Données projet'!$E$15+1,1))</f>
        <v>331.7059599630698</v>
      </c>
      <c r="EP102" s="59">
        <f t="shared" si="100"/>
        <v>173.19148969173838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5.9695941158994934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5.9695941158994934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2.2999999999999998</v>
      </c>
      <c r="FE102" s="12">
        <f>IF('Données projet'!$A$218&gt;35,FE101+FD102-FM101,IF(A102&lt;'Données projet'!$A$218,$FB$205^A102,IF(A102='Données projet'!$A$218,'Données projet'!$B$218,FE101+FD102-FM101)))</f>
        <v>213.70000000000005</v>
      </c>
      <c r="FF102" s="17">
        <f>FE102*VLOOKUP('Données projet'!$B$16,Paramètres!$A$1:$I$89,3,0)*VLOOKUP('Données projet'!$B$16,Paramètres!$A$1:$I$89,5,0)</f>
        <v>230.02668000000006</v>
      </c>
      <c r="FG102" s="13">
        <f t="shared" si="101"/>
        <v>56.288450331974616</v>
      </c>
      <c r="FH102" s="20">
        <f t="shared" si="76"/>
        <v>498.66551866152253</v>
      </c>
      <c r="FI102" s="59">
        <f t="shared" si="77"/>
        <v>775.78835801593266</v>
      </c>
      <c r="FJ102" s="59">
        <f ca="1">AVERAGE(OFFSET($FI$3,0,0,'Données projet'!$E$16+1,1))-AVERAGE(OFFSET($H$3,0,0,'Données projet'!$E$16+1,1))</f>
        <v>360.86062459677004</v>
      </c>
      <c r="FK102" s="59">
        <f t="shared" si="102"/>
        <v>186.0840067781198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17.985313396351813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17.985313396351813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2.8</v>
      </c>
      <c r="FZ102" s="12">
        <f>IF('Données projet'!$A$244&gt;35,FZ101+FY102-GH101,IF(A102&lt;'Données projet'!$A$244,$FW$205^A102,IF(A102='Données projet'!$A$244,'Données projet'!$B$244,FZ101+FY102-GH101)))</f>
        <v>279.19999999999993</v>
      </c>
      <c r="GA102" s="17">
        <f>FZ102*VLOOKUP('Données projet'!$B$17,Paramètres!$A$1:$I$89,3,0)*VLOOKUP('Données projet'!$B$17,Paramètres!$A$1:$I$89,5,0)</f>
        <v>283.10879999999997</v>
      </c>
      <c r="GB102" s="13">
        <f t="shared" si="103"/>
        <v>67.623564901653808</v>
      </c>
      <c r="GC102" s="20">
        <f t="shared" si="79"/>
        <v>610.85886887038032</v>
      </c>
      <c r="GD102" s="59">
        <f t="shared" si="80"/>
        <v>887.98170822479051</v>
      </c>
      <c r="GE102" s="59">
        <f ca="1">AVERAGE(OFFSET($GD$3,0,0,'Données projet'!$E$17+1,1))-AVERAGE(OFFSET($H$3,0,0,'Données projet'!$E$17+1,1))</f>
        <v>448.73339628506784</v>
      </c>
      <c r="GF102" s="59">
        <f t="shared" si="104"/>
        <v>273.35778700650803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28.376873556062304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28.376873556062304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282</v>
      </c>
      <c r="L103" s="12">
        <f>VLOOKUP(A103,'Données projet'!$A$35:$I$55,9,0)</f>
        <v>2.8</v>
      </c>
      <c r="M103" s="12">
        <f t="array" ref="M103">INDEX(L:L,MIN(IF(ISNUMBER(L103:L299),ROW(L103:L299),"")))</f>
        <v>2.8</v>
      </c>
      <c r="N103" s="13">
        <f>IF('Données projet'!$A$36&gt;35,N102+M103-V102,IF(A103&lt;'Données projet'!$A$36,$K$205^A103,IF(A103='Données projet'!$A$36,'Données projet'!$B$36,N102+M103-V102)))</f>
        <v>281.99999999999994</v>
      </c>
      <c r="O103" s="13">
        <f>N103*VLOOKUP('Données projet'!$B$9,Paramètres!$A$1:$I$89,3,0)*VLOOKUP('Données projet'!$B$9,Paramètres!$A$1:$I$89,5,0)</f>
        <v>255.15359999999993</v>
      </c>
      <c r="P103" s="13">
        <f t="shared" si="87"/>
        <v>61.688192762754426</v>
      </c>
      <c r="Q103" s="20">
        <f t="shared" si="107"/>
        <v>551.83278906179714</v>
      </c>
      <c r="R103" s="59">
        <f t="shared" si="55"/>
        <v>829.23684424550629</v>
      </c>
      <c r="S103" s="59">
        <f ca="1">AVERAGE(OFFSET($R$3,0,0,'Données projet'!$E$9+1,1))-AVERAGE(OFFSET($H$3,0,0,'Données projet'!$E$9+1,1))</f>
        <v>408.51124670343137</v>
      </c>
      <c r="T103" s="59">
        <f t="shared" si="88"/>
        <v>250.47702091764884</v>
      </c>
      <c r="U103" s="15">
        <f>IF(ISNA(VLOOKUP(A103,'Données projet'!$A$35:$I$55,3,0)),0,VLOOKUP(A103,'Données projet'!$A$35:$I$55,3,0))</f>
        <v>16</v>
      </c>
      <c r="V103" s="15">
        <f>IF(ISNA(VLOOKUP(A103,'Données projet'!$A$35:$I$55,4,0)),0,VLOOKUP(A103,'Données projet'!$A$35:$I$55,4,0))</f>
        <v>21</v>
      </c>
      <c r="W103" s="16">
        <f>IF(ISNA(VLOOKUP(A103,'Données projet'!$A$35:$I$55,5,0)),0%,VLOOKUP(A103,'Données projet'!$A$35:$I$55,5,0)*VLOOKUP('Données projet'!$B$9,Paramètres!$A$1:$I$89,7,0))</f>
        <v>0.30099999999999999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31.146826400602198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31.146826400602198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-2.8421709430404007E-13</v>
      </c>
      <c r="AJ103" s="13">
        <f>AI103*VLOOKUP('Données projet'!$B$10,Paramètres!$A$1:$I$89,3,0)*VLOOKUP('Données projet'!$B$10,Paramètres!$A$1:$I$89,5,0)</f>
        <v>-2.2612312022829427E-13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327.22763817565902</v>
      </c>
      <c r="AO103" s="59">
        <f t="shared" si="90"/>
        <v>311.68541696405975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69.929979245739943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69.929979245739943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2.8421709430404007E-14</v>
      </c>
      <c r="BE103" s="13">
        <f>BD103*VLOOKUP('Données projet'!$B$11,Paramètres!$A$1:$I$89,3,0)*VLOOKUP('Données projet'!$B$11,Paramètres!$A$1:$I$89,5,0)</f>
        <v>1.8178525351686402E-14</v>
      </c>
      <c r="BF103" s="13">
        <f t="shared" si="91"/>
        <v>3.3304129621647644E-13</v>
      </c>
      <c r="BG103" s="20">
        <f t="shared" si="61"/>
        <v>6.1170785589788349E-13</v>
      </c>
      <c r="BH103" s="59">
        <f t="shared" si="62"/>
        <v>277.40405518370983</v>
      </c>
      <c r="BI103" s="59">
        <f ca="1">AVERAGE(OFFSET($BH$3,0,0,'Données projet'!$E$11+1,1))-AVERAGE(OFFSET($H$3,0,0,'Données projet'!$E$11+1,1))</f>
        <v>169.46470423366029</v>
      </c>
      <c r="BJ103" s="59">
        <f t="shared" si="92"/>
        <v>230.78141128389288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15.149301029844938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15.149301029844938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-1.7053025658242404E-13</v>
      </c>
      <c r="BZ103" s="13">
        <f>BY103*VLOOKUP('Données projet'!$B$12,Paramètres!$A$1:$I$89,3,0)*VLOOKUP('Données projet'!$B$12,Paramètres!$A$1:$I$89,5,0)</f>
        <v>-1.4897523215040567E-13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342.79161436526499</v>
      </c>
      <c r="CE103" s="59">
        <f t="shared" si="94"/>
        <v>315.50730924873733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81.422021312121629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81.422021312121629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-5.6843418860808015E-14</v>
      </c>
      <c r="CU103" s="17">
        <f>CT103*VLOOKUP('Données projet'!$B$13,Paramètres!$A$1:$I$89,3,0)*VLOOKUP('Données projet'!$B$13,Paramètres!$A$1:$I$89,5,0)</f>
        <v>-3.813056537183002E-14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201.84651193684252</v>
      </c>
      <c r="CZ103" s="59">
        <f t="shared" si="96"/>
        <v>138.00705940844708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66.423949507655209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66.423949507655209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1.1368683772161603E-13</v>
      </c>
      <c r="DP103" s="17">
        <f>DO103*VLOOKUP('Données projet'!$B$14,Paramètres!$A$1:$I$89,3,0)*VLOOKUP('Données projet'!$B$14,Paramètres!$A$1:$I$89,5,0)</f>
        <v>8.3355189417488869E-14</v>
      </c>
      <c r="DQ103" s="13">
        <f t="shared" si="97"/>
        <v>1.2790518435140618E-12</v>
      </c>
      <c r="DR103" s="20">
        <f t="shared" si="70"/>
        <v>2.3728589156891171E-12</v>
      </c>
      <c r="DS103" s="59">
        <f t="shared" si="71"/>
        <v>277.40405518371159</v>
      </c>
      <c r="DT103" s="59">
        <f ca="1">AVERAGE(OFFSET($DS$3,0,0,'Données projet'!$E$14+1,1))-AVERAGE(OFFSET($H$3,0,0,'Données projet'!$E$14+1,1))</f>
        <v>242.21240859696931</v>
      </c>
      <c r="DU103" s="59">
        <f t="shared" si="98"/>
        <v>340.92165104349192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28.549877988002901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28.549877988002901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216</v>
      </c>
      <c r="EH103" s="12">
        <f>VLOOKUP(A103,'Données projet'!$A$191:$I$211,9,0)</f>
        <v>2.2999999999999998</v>
      </c>
      <c r="EI103" s="12">
        <f t="array" ref="EI103">INDEX(EH:EH,MIN(IF(ISNUMBER(EH103:EH299),ROW(EH103:EH299),"")))</f>
        <v>2.2999999999999998</v>
      </c>
      <c r="EJ103" s="12">
        <f>IF('Données projet'!$A$192&gt;35,EJ102+EI103-ER102,IF(A103&lt;'Données projet'!$A$192,$EG$205^A103,IF(A103='Données projet'!$A$192,'Données projet'!$B$192,EJ102+EI103-ER102)))</f>
        <v>216.00000000000006</v>
      </c>
      <c r="EK103" s="17">
        <f>EJ103*VLOOKUP('Données projet'!$B$15,Paramètres!$A$1:$I$89,3,0)*VLOOKUP('Données projet'!$B$15,Paramètres!$A$1:$I$89,5,0)</f>
        <v>208.91520000000008</v>
      </c>
      <c r="EL103" s="13">
        <f t="shared" si="99"/>
        <v>51.698458198123369</v>
      </c>
      <c r="EM103" s="20">
        <f t="shared" si="73"/>
        <v>453.90212136173164</v>
      </c>
      <c r="EN103" s="59">
        <f t="shared" si="74"/>
        <v>731.30617654544085</v>
      </c>
      <c r="EO103" s="59">
        <f ca="1">AVERAGE(OFFSET($EN$3,0,0,'Données projet'!$E$15+1,1))-AVERAGE(OFFSET($H$3,0,0,'Données projet'!$E$15+1,1))</f>
        <v>331.7059599630698</v>
      </c>
      <c r="EP103" s="59">
        <f t="shared" si="100"/>
        <v>173.19148969173838</v>
      </c>
      <c r="EQ103" s="15">
        <f>IF(ISNA(VLOOKUP(A103,'Données projet'!$A$191:$I$211,3,0)),0,VLOOKUP(A103,'Données projet'!$A$191:$I$211,3,0))</f>
        <v>16</v>
      </c>
      <c r="ER103" s="15">
        <f>IF(ISNA(VLOOKUP(A103,'Données projet'!$A$191:$I$211,4,0)),0,VLOOKUP(A103,'Données projet'!$A$191:$I$211,4,0))</f>
        <v>14</v>
      </c>
      <c r="ES103" s="16">
        <f>IF(ISNA(VLOOKUP(A103,'Données projet'!$A$191:$I$211,5,0)),0%,VLOOKUP(A103,'Données projet'!$A$191:$I$211,5,0)*VLOOKUP('Données projet'!$B$15,Paramètres!$A$1:$I$89,7,0))</f>
        <v>0.25800000000000001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9.7145239716959679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9.7145239716959679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216</v>
      </c>
      <c r="FC103" s="12">
        <f>VLOOKUP(A103,'Données projet'!$A$217:$I$237,9,0)</f>
        <v>2.2999999999999998</v>
      </c>
      <c r="FD103" s="12">
        <f t="array" ref="FD103">INDEX(FC:FC,MIN(IF(ISNUMBER(FC103:FC299),ROW(FC103:FC299),"")))</f>
        <v>2.2999999999999998</v>
      </c>
      <c r="FE103" s="12">
        <f>IF('Données projet'!$A$218&gt;35,FE102+FD103-FM102,IF(A103&lt;'Données projet'!$A$218,$FB$205^A103,IF(A103='Données projet'!$A$218,'Données projet'!$B$218,FE102+FD103-FM102)))</f>
        <v>216.00000000000006</v>
      </c>
      <c r="FF103" s="17">
        <f>FE103*VLOOKUP('Données projet'!$B$16,Paramètres!$A$1:$I$89,3,0)*VLOOKUP('Données projet'!$B$16,Paramètres!$A$1:$I$89,5,0)</f>
        <v>232.50240000000005</v>
      </c>
      <c r="FG103" s="13">
        <f t="shared" si="101"/>
        <v>56.823417677671891</v>
      </c>
      <c r="FH103" s="20">
        <f t="shared" si="76"/>
        <v>503.90913245527855</v>
      </c>
      <c r="FI103" s="59">
        <f t="shared" si="77"/>
        <v>781.31318763898776</v>
      </c>
      <c r="FJ103" s="59">
        <f ca="1">AVERAGE(OFFSET($FI$3,0,0,'Données projet'!$E$16+1,1))-AVERAGE(OFFSET($H$3,0,0,'Données projet'!$E$16+1,1))</f>
        <v>360.86062459677004</v>
      </c>
      <c r="FK103" s="59">
        <f t="shared" si="102"/>
        <v>186.0840067781198</v>
      </c>
      <c r="FL103" s="15">
        <f>IF(ISNA(VLOOKUP(A103,'Données projet'!$A$217:$I$237,3,0)),0,VLOOKUP(A103,'Données projet'!$A$217:$I$237,3,0))</f>
        <v>16</v>
      </c>
      <c r="FM103" s="15">
        <f>IF(ISNA(VLOOKUP(A103,'Données projet'!$A$217:$I$237,4,0)),0,VLOOKUP(A103,'Données projet'!$A$217:$I$237,4,0))</f>
        <v>14</v>
      </c>
      <c r="FN103" s="16">
        <f>IF(ISNA(VLOOKUP(A103,'Données projet'!$A$217:$I$237,5,0)),0%,VLOOKUP(A103,'Données projet'!$A$217:$I$237,5,0)*VLOOKUP('Données projet'!$B$16,Paramètres!$A$1:$I$89,7,0))</f>
        <v>0.30099999999999999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22.646990296461667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22.646990296461667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>
        <f>VLOOKUP(A103,'Données projet'!$A$243:$I$263,2,0)</f>
        <v>282</v>
      </c>
      <c r="FX103" s="12">
        <f>VLOOKUP(A103,'Données projet'!$A$243:$I$263,9,0)</f>
        <v>2.8</v>
      </c>
      <c r="FY103" s="12">
        <f t="array" ref="FY103">INDEX(FX:FX,MIN(IF(ISNUMBER(FX103:FX299),ROW(FX103:FX299),"")))</f>
        <v>2.8</v>
      </c>
      <c r="FZ103" s="12">
        <f>IF('Données projet'!$A$244&gt;35,FZ102+FY103-GH102,IF(A103&lt;'Données projet'!$A$244,$FW$205^A103,IF(A103='Données projet'!$A$244,'Données projet'!$B$244,FZ102+FY103-GH102)))</f>
        <v>281.99999999999994</v>
      </c>
      <c r="GA103" s="17">
        <f>FZ103*VLOOKUP('Données projet'!$B$17,Paramètres!$A$1:$I$89,3,0)*VLOOKUP('Données projet'!$B$17,Paramètres!$A$1:$I$89,5,0)</f>
        <v>285.94799999999998</v>
      </c>
      <c r="GB103" s="13">
        <f t="shared" si="103"/>
        <v>68.222450362989377</v>
      </c>
      <c r="GC103" s="20">
        <f t="shared" si="79"/>
        <v>616.84686771553982</v>
      </c>
      <c r="GD103" s="59">
        <f t="shared" si="80"/>
        <v>894.25092289924896</v>
      </c>
      <c r="GE103" s="59">
        <f ca="1">AVERAGE(OFFSET($GD$3,0,0,'Données projet'!$E$17+1,1))-AVERAGE(OFFSET($H$3,0,0,'Données projet'!$E$17+1,1))</f>
        <v>448.73339628506784</v>
      </c>
      <c r="GF103" s="59">
        <f t="shared" si="104"/>
        <v>273.35778700650803</v>
      </c>
      <c r="GG103" s="15">
        <f>IF(ISNA(VLOOKUP(A103,'Données projet'!$A$243:$I$263,3,0)),0,VLOOKUP(A103,'Données projet'!$A$243:$I$263,3,0))</f>
        <v>16</v>
      </c>
      <c r="GH103" s="15">
        <f>IF(ISNA(VLOOKUP(A103,'Données projet'!$A$243:$I$263,4,0)),0,VLOOKUP(A103,'Données projet'!$A$243:$I$263,4,0))</f>
        <v>21</v>
      </c>
      <c r="GI103" s="16">
        <f>IF(ISNA(VLOOKUP(A103,'Données projet'!$A$243:$I$263,5,0)),0%,VLOOKUP(A103,'Données projet'!$A$243:$I$263,5,0)*VLOOKUP('Données projet'!$B$17,Paramètres!$A$1:$I$89,7,0))</f>
        <v>0.30099999999999999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34.905926138605921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34.905926138605921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2.4</v>
      </c>
      <c r="N104" s="13">
        <f>IF('Données projet'!$A$36&gt;35,N103+M104-V103,IF(A104&lt;'Données projet'!$A$36,$K$205^A104,IF(A104='Données projet'!$A$36,'Données projet'!$B$36,N103+M104-V103)))</f>
        <v>263.39999999999992</v>
      </c>
      <c r="O104" s="13">
        <f>N104*VLOOKUP('Données projet'!$B$9,Paramètres!$A$1:$I$89,3,0)*VLOOKUP('Données projet'!$B$9,Paramètres!$A$1:$I$89,5,0)</f>
        <v>238.32431999999991</v>
      </c>
      <c r="P104" s="13">
        <f t="shared" si="87"/>
        <v>58.078852882738758</v>
      </c>
      <c r="Q104" s="20">
        <f t="shared" si="107"/>
        <v>516.23552610410309</v>
      </c>
      <c r="R104" s="59">
        <f t="shared" si="55"/>
        <v>793.91591865117744</v>
      </c>
      <c r="S104" s="59">
        <f ca="1">AVERAGE(OFFSET($R$3,0,0,'Données projet'!$E$9+1,1))-AVERAGE(OFFSET($H$3,0,0,'Données projet'!$E$9+1,1))</f>
        <v>408.51124670343137</v>
      </c>
      <c r="T104" s="59">
        <f t="shared" si="88"/>
        <v>250.47702091764884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30.536056132574625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30.536056132574625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-2.8421709430404007E-13</v>
      </c>
      <c r="AJ104" s="13">
        <f>AI104*VLOOKUP('Données projet'!$B$10,Paramètres!$A$1:$I$89,3,0)*VLOOKUP('Données projet'!$B$10,Paramètres!$A$1:$I$89,5,0)</f>
        <v>-2.2612312022829427E-13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327.22763817565902</v>
      </c>
      <c r="AO104" s="59">
        <f t="shared" si="90"/>
        <v>311.68541696405975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68.558695005806683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68.558695005806683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2.8421709430404007E-14</v>
      </c>
      <c r="BE104" s="13">
        <f>BD104*VLOOKUP('Données projet'!$B$11,Paramètres!$A$1:$I$89,3,0)*VLOOKUP('Données projet'!$B$11,Paramètres!$A$1:$I$89,5,0)</f>
        <v>1.8178525351686402E-14</v>
      </c>
      <c r="BF104" s="13">
        <f t="shared" si="91"/>
        <v>3.3304129621647644E-13</v>
      </c>
      <c r="BG104" s="20">
        <f t="shared" si="61"/>
        <v>6.1170785589788349E-13</v>
      </c>
      <c r="BH104" s="59">
        <f t="shared" si="62"/>
        <v>277.68039254707503</v>
      </c>
      <c r="BI104" s="59">
        <f ca="1">AVERAGE(OFFSET($BH$3,0,0,'Données projet'!$E$11+1,1))-AVERAGE(OFFSET($H$3,0,0,'Données projet'!$E$11+1,1))</f>
        <v>169.46470423366029</v>
      </c>
      <c r="BJ104" s="59">
        <f t="shared" si="92"/>
        <v>230.78141128389288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14.852232476810917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14.852232476810917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-1.7053025658242404E-13</v>
      </c>
      <c r="BZ104" s="13">
        <f>BY104*VLOOKUP('Données projet'!$B$12,Paramètres!$A$1:$I$89,3,0)*VLOOKUP('Données projet'!$B$12,Paramètres!$A$1:$I$89,5,0)</f>
        <v>-1.4897523215040567E-13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342.79161436526499</v>
      </c>
      <c r="CE104" s="59">
        <f t="shared" si="94"/>
        <v>315.50730924873733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79.825385136720158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79.825385136720158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-5.6843418860808015E-14</v>
      </c>
      <c r="CU104" s="17">
        <f>CT104*VLOOKUP('Données projet'!$B$13,Paramètres!$A$1:$I$89,3,0)*VLOOKUP('Données projet'!$B$13,Paramètres!$A$1:$I$89,5,0)</f>
        <v>-3.813056537183002E-14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201.84651193684252</v>
      </c>
      <c r="CZ104" s="59">
        <f t="shared" si="96"/>
        <v>138.00705940844708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65.121416372418807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65.121416372418807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1.1368683772161603E-13</v>
      </c>
      <c r="DP104" s="17">
        <f>DO104*VLOOKUP('Données projet'!$B$14,Paramètres!$A$1:$I$89,3,0)*VLOOKUP('Données projet'!$B$14,Paramètres!$A$1:$I$89,5,0)</f>
        <v>8.3355189417488869E-14</v>
      </c>
      <c r="DQ104" s="13">
        <f t="shared" si="97"/>
        <v>1.2790518435140618E-12</v>
      </c>
      <c r="DR104" s="20">
        <f t="shared" si="70"/>
        <v>2.3728589156891171E-12</v>
      </c>
      <c r="DS104" s="59">
        <f t="shared" si="71"/>
        <v>277.68039254707679</v>
      </c>
      <c r="DT104" s="59">
        <f ca="1">AVERAGE(OFFSET($DS$3,0,0,'Données projet'!$E$14+1,1))-AVERAGE(OFFSET($H$3,0,0,'Données projet'!$E$14+1,1))</f>
        <v>242.21240859696931</v>
      </c>
      <c r="DU104" s="59">
        <f t="shared" si="98"/>
        <v>340.92165104349192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27.990032294364276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27.990032294364276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1.7</v>
      </c>
      <c r="EJ104" s="12">
        <f>IF('Données projet'!$A$192&gt;35,EJ103+EI104-ER103,IF(A104&lt;'Données projet'!$A$192,$EG$205^A104,IF(A104='Données projet'!$A$192,'Données projet'!$B$192,EJ103+EI104-ER103)))</f>
        <v>203.70000000000005</v>
      </c>
      <c r="EK104" s="17">
        <f>EJ104*VLOOKUP('Données projet'!$B$15,Paramètres!$A$1:$I$89,3,0)*VLOOKUP('Données projet'!$B$15,Paramètres!$A$1:$I$89,5,0)</f>
        <v>197.01864000000003</v>
      </c>
      <c r="EL104" s="13">
        <f t="shared" si="99"/>
        <v>49.088383409067326</v>
      </c>
      <c r="EM104" s="20">
        <f t="shared" si="73"/>
        <v>428.63639910412559</v>
      </c>
      <c r="EN104" s="59">
        <f t="shared" si="74"/>
        <v>706.31679165119999</v>
      </c>
      <c r="EO104" s="59">
        <f ca="1">AVERAGE(OFFSET($EN$3,0,0,'Données projet'!$E$15+1,1))-AVERAGE(OFFSET($H$3,0,0,'Données projet'!$E$15+1,1))</f>
        <v>331.7059599630698</v>
      </c>
      <c r="EP104" s="59">
        <f t="shared" si="100"/>
        <v>173.19148969173838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9.5240280818855609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9.5240280818855609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1.7</v>
      </c>
      <c r="FE104" s="12">
        <f>IF('Données projet'!$A$218&gt;35,FE103+FD104-FM103,IF(A104&lt;'Données projet'!$A$218,$FB$205^A104,IF(A104='Données projet'!$A$218,'Données projet'!$B$218,FE103+FD104-FM103)))</f>
        <v>203.70000000000005</v>
      </c>
      <c r="FF104" s="17">
        <f>FE104*VLOOKUP('Données projet'!$B$16,Paramètres!$A$1:$I$89,3,0)*VLOOKUP('Données projet'!$B$16,Paramètres!$A$1:$I$89,5,0)</f>
        <v>219.26268000000005</v>
      </c>
      <c r="FG104" s="13">
        <f t="shared" si="101"/>
        <v>53.95460156443098</v>
      </c>
      <c r="FH104" s="20">
        <f t="shared" si="76"/>
        <v>475.85343205805066</v>
      </c>
      <c r="FI104" s="59">
        <f t="shared" si="77"/>
        <v>753.53382460512512</v>
      </c>
      <c r="FJ104" s="59">
        <f ca="1">AVERAGE(OFFSET($FI$3,0,0,'Données projet'!$E$16+1,1))-AVERAGE(OFFSET($H$3,0,0,'Données projet'!$E$16+1,1))</f>
        <v>360.86062459677004</v>
      </c>
      <c r="FK104" s="59">
        <f t="shared" si="102"/>
        <v>186.0840067781198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22.202896630048183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22.202896630048183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2.4</v>
      </c>
      <c r="FZ104" s="12">
        <f>IF('Données projet'!$A$244&gt;35,FZ103+FY104-GH103,IF(A104&lt;'Données projet'!$A$244,$FW$205^A104,IF(A104='Données projet'!$A$244,'Données projet'!$B$244,FZ103+FY104-GH103)))</f>
        <v>263.39999999999992</v>
      </c>
      <c r="GA104" s="17">
        <f>FZ104*VLOOKUP('Données projet'!$B$17,Paramètres!$A$1:$I$89,3,0)*VLOOKUP('Données projet'!$B$17,Paramètres!$A$1:$I$89,5,0)</f>
        <v>267.08759999999995</v>
      </c>
      <c r="GB104" s="13">
        <f t="shared" si="103"/>
        <v>64.230794913549857</v>
      </c>
      <c r="GC104" s="20">
        <f t="shared" si="79"/>
        <v>577.04620447443256</v>
      </c>
      <c r="GD104" s="59">
        <f t="shared" si="80"/>
        <v>854.7265970215069</v>
      </c>
      <c r="GE104" s="59">
        <f ca="1">AVERAGE(OFFSET($GD$3,0,0,'Données projet'!$E$17+1,1))-AVERAGE(OFFSET($H$3,0,0,'Données projet'!$E$17+1,1))</f>
        <v>448.73339628506784</v>
      </c>
      <c r="GF104" s="59">
        <f t="shared" si="104"/>
        <v>273.35778700650803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34.221442217540542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34.221442217540542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2.4</v>
      </c>
      <c r="N105" s="13">
        <f>IF('Données projet'!$A$36&gt;35,N104+M105-V104,IF(A105&lt;'Données projet'!$A$36,$K$205^A105,IF(A105='Données projet'!$A$36,'Données projet'!$B$36,N104+M105-V104)))</f>
        <v>265.7999999999999</v>
      </c>
      <c r="O105" s="13">
        <f>N105*VLOOKUP('Données projet'!$B$9,Paramètres!$A$1:$I$89,3,0)*VLOOKUP('Données projet'!$B$9,Paramètres!$A$1:$I$89,5,0)</f>
        <v>240.4958399999999</v>
      </c>
      <c r="P105" s="13">
        <f t="shared" si="87"/>
        <v>58.546200055878181</v>
      </c>
      <c r="Q105" s="20">
        <f t="shared" si="107"/>
        <v>520.83155309732092</v>
      </c>
      <c r="R105" s="59">
        <f t="shared" si="55"/>
        <v>798.78348917230392</v>
      </c>
      <c r="S105" s="59">
        <f ca="1">AVERAGE(OFFSET($R$3,0,0,'Données projet'!$E$9+1,1))-AVERAGE(OFFSET($H$3,0,0,'Données projet'!$E$9+1,1))</f>
        <v>408.51124670343137</v>
      </c>
      <c r="T105" s="59">
        <f t="shared" si="88"/>
        <v>250.47702091764884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29.937262696969995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29.937262696969995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-2.8421709430404007E-13</v>
      </c>
      <c r="AJ105" s="13">
        <f>AI105*VLOOKUP('Données projet'!$B$10,Paramètres!$A$1:$I$89,3,0)*VLOOKUP('Données projet'!$B$10,Paramètres!$A$1:$I$89,5,0)</f>
        <v>-2.2612312022829427E-13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327.22763817565902</v>
      </c>
      <c r="AO105" s="59">
        <f t="shared" si="90"/>
        <v>311.68541696405975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67.214300813417708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67.214300813417708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2.8421709430404007E-14</v>
      </c>
      <c r="BE105" s="13">
        <f>BD105*VLOOKUP('Données projet'!$B$11,Paramètres!$A$1:$I$89,3,0)*VLOOKUP('Données projet'!$B$11,Paramètres!$A$1:$I$89,5,0)</f>
        <v>1.8178525351686402E-14</v>
      </c>
      <c r="BF105" s="13">
        <f t="shared" si="91"/>
        <v>3.3304129621647644E-13</v>
      </c>
      <c r="BG105" s="20">
        <f t="shared" si="61"/>
        <v>6.1170785589788349E-13</v>
      </c>
      <c r="BH105" s="59">
        <f t="shared" si="62"/>
        <v>277.95193607498356</v>
      </c>
      <c r="BI105" s="59">
        <f ca="1">AVERAGE(OFFSET($BH$3,0,0,'Données projet'!$E$11+1,1))-AVERAGE(OFFSET($H$3,0,0,'Données projet'!$E$11+1,1))</f>
        <v>169.46470423366029</v>
      </c>
      <c r="BJ105" s="59">
        <f t="shared" si="92"/>
        <v>230.78141128389288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14.560989256907966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14.560989256907966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-1.7053025658242404E-13</v>
      </c>
      <c r="BZ105" s="13">
        <f>BY105*VLOOKUP('Données projet'!$B$12,Paramètres!$A$1:$I$89,3,0)*VLOOKUP('Données projet'!$B$12,Paramètres!$A$1:$I$89,5,0)</f>
        <v>-1.4897523215040567E-13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342.79161436526499</v>
      </c>
      <c r="CE105" s="59">
        <f t="shared" si="94"/>
        <v>315.50730924873733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78.260058022866403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78.260058022866403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-5.6843418860808015E-14</v>
      </c>
      <c r="CU105" s="17">
        <f>CT105*VLOOKUP('Données projet'!$B$13,Paramètres!$A$1:$I$89,3,0)*VLOOKUP('Données projet'!$B$13,Paramètres!$A$1:$I$89,5,0)</f>
        <v>-3.813056537183002E-14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201.84651193684252</v>
      </c>
      <c r="CZ105" s="59">
        <f t="shared" si="96"/>
        <v>138.00705940844708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63.844425117497622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63.844425117497622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1.1368683772161603E-13</v>
      </c>
      <c r="DP105" s="17">
        <f>DO105*VLOOKUP('Données projet'!$B$14,Paramètres!$A$1:$I$89,3,0)*VLOOKUP('Données projet'!$B$14,Paramètres!$A$1:$I$89,5,0)</f>
        <v>8.3355189417488869E-14</v>
      </c>
      <c r="DQ105" s="13">
        <f t="shared" si="97"/>
        <v>1.2790518435140618E-12</v>
      </c>
      <c r="DR105" s="20">
        <f t="shared" si="70"/>
        <v>2.3728589156891171E-12</v>
      </c>
      <c r="DS105" s="59">
        <f t="shared" si="71"/>
        <v>277.95193607498533</v>
      </c>
      <c r="DT105" s="59">
        <f ca="1">AVERAGE(OFFSET($DS$3,0,0,'Données projet'!$E$14+1,1))-AVERAGE(OFFSET($H$3,0,0,'Données projet'!$E$14+1,1))</f>
        <v>242.21240859696931</v>
      </c>
      <c r="DU105" s="59">
        <f t="shared" si="98"/>
        <v>340.92165104349192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27.441164833305749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27.441164833305749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1.7</v>
      </c>
      <c r="EJ105" s="12">
        <f>IF('Données projet'!$A$192&gt;35,EJ104+EI105-ER104,IF(A105&lt;'Données projet'!$A$192,$EG$205^A105,IF(A105='Données projet'!$A$192,'Données projet'!$B$192,EJ104+EI105-ER104)))</f>
        <v>205.40000000000003</v>
      </c>
      <c r="EK105" s="17">
        <f>EJ105*VLOOKUP('Données projet'!$B$15,Paramètres!$A$1:$I$89,3,0)*VLOOKUP('Données projet'!$B$15,Paramètres!$A$1:$I$89,5,0)</f>
        <v>198.66288000000003</v>
      </c>
      <c r="EL105" s="13">
        <f t="shared" si="99"/>
        <v>49.450194593588002</v>
      </c>
      <c r="EM105" s="20">
        <f t="shared" si="73"/>
        <v>432.13027158383244</v>
      </c>
      <c r="EN105" s="59">
        <f t="shared" si="74"/>
        <v>710.08220765881538</v>
      </c>
      <c r="EO105" s="59">
        <f ca="1">AVERAGE(OFFSET($EN$3,0,0,'Données projet'!$E$15+1,1))-AVERAGE(OFFSET($H$3,0,0,'Données projet'!$E$15+1,1))</f>
        <v>331.7059599630698</v>
      </c>
      <c r="EP105" s="59">
        <f t="shared" si="100"/>
        <v>173.19148969173838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9.3372677002833164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9.3372677002833164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1.7</v>
      </c>
      <c r="FE105" s="12">
        <f>IF('Données projet'!$A$218&gt;35,FE104+FD105-FM104,IF(A105&lt;'Données projet'!$A$218,$FB$205^A105,IF(A105='Données projet'!$A$218,'Données projet'!$B$218,FE104+FD105-FM104)))</f>
        <v>205.40000000000003</v>
      </c>
      <c r="FF105" s="17">
        <f>FE105*VLOOKUP('Données projet'!$B$16,Paramètres!$A$1:$I$89,3,0)*VLOOKUP('Données projet'!$B$16,Paramètres!$A$1:$I$89,5,0)</f>
        <v>221.09256000000002</v>
      </c>
      <c r="FG105" s="13">
        <f t="shared" si="101"/>
        <v>54.352279730763904</v>
      </c>
      <c r="FH105" s="20">
        <f t="shared" si="76"/>
        <v>479.73309586441377</v>
      </c>
      <c r="FI105" s="59">
        <f t="shared" si="77"/>
        <v>757.68503193939671</v>
      </c>
      <c r="FJ105" s="59">
        <f ca="1">AVERAGE(OFFSET($FI$3,0,0,'Données projet'!$E$16+1,1))-AVERAGE(OFFSET($H$3,0,0,'Données projet'!$E$16+1,1))</f>
        <v>360.86062459677004</v>
      </c>
      <c r="FK105" s="59">
        <f t="shared" si="102"/>
        <v>186.0840067781198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21.76751136956268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21.76751136956268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2.4</v>
      </c>
      <c r="FZ105" s="12">
        <f>IF('Données projet'!$A$244&gt;35,FZ104+FY105-GH104,IF(A105&lt;'Données projet'!$A$244,$FW$205^A105,IF(A105='Données projet'!$A$244,'Données projet'!$B$244,FZ104+FY105-GH104)))</f>
        <v>265.7999999999999</v>
      </c>
      <c r="GA105" s="17">
        <f>FZ105*VLOOKUP('Données projet'!$B$17,Paramètres!$A$1:$I$89,3,0)*VLOOKUP('Données projet'!$B$17,Paramètres!$A$1:$I$89,5,0)</f>
        <v>269.52119999999996</v>
      </c>
      <c r="GB105" s="13">
        <f t="shared" si="103"/>
        <v>64.747645349489986</v>
      </c>
      <c r="GC105" s="20">
        <f t="shared" si="79"/>
        <v>582.18490565036154</v>
      </c>
      <c r="GD105" s="59">
        <f t="shared" si="80"/>
        <v>860.13684172534454</v>
      </c>
      <c r="GE105" s="59">
        <f ca="1">AVERAGE(OFFSET($GD$3,0,0,'Données projet'!$E$17+1,1))-AVERAGE(OFFSET($H$3,0,0,'Données projet'!$E$17+1,1))</f>
        <v>448.73339628506784</v>
      </c>
      <c r="GF105" s="59">
        <f t="shared" si="104"/>
        <v>273.35778700650803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33.550380608673287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33.550380608673287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2.4</v>
      </c>
      <c r="N106" s="13">
        <f>IF('Données projet'!$A$36&gt;35,N105+M106-V105,IF(A106&lt;'Données projet'!$A$36,$K$205^A106,IF(A106='Données projet'!$A$36,'Données projet'!$B$36,N105+M106-V105)))</f>
        <v>268.19999999999987</v>
      </c>
      <c r="O106" s="13">
        <f>N106*VLOOKUP('Données projet'!$B$9,Paramètres!$A$1:$I$89,3,0)*VLOOKUP('Données projet'!$B$9,Paramètres!$A$1:$I$89,5,0)</f>
        <v>242.66735999999989</v>
      </c>
      <c r="P106" s="13">
        <f t="shared" si="87"/>
        <v>59.013056290731797</v>
      </c>
      <c r="Q106" s="20">
        <f t="shared" si="107"/>
        <v>525.42672503969095</v>
      </c>
      <c r="R106" s="59">
        <f t="shared" si="55"/>
        <v>803.64549396945358</v>
      </c>
      <c r="S106" s="59">
        <f ca="1">AVERAGE(OFFSET($R$3,0,0,'Données projet'!$E$9+1,1))-AVERAGE(OFFSET($H$3,0,0,'Données projet'!$E$9+1,1))</f>
        <v>408.51124670343137</v>
      </c>
      <c r="T106" s="59">
        <f t="shared" si="88"/>
        <v>250.47702091764884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29.350211235409642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29.350211235409642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-2.8421709430404007E-13</v>
      </c>
      <c r="AJ106" s="13">
        <f>AI106*VLOOKUP('Données projet'!$B$10,Paramètres!$A$1:$I$89,3,0)*VLOOKUP('Données projet'!$B$10,Paramètres!$A$1:$I$89,5,0)</f>
        <v>-2.2612312022829427E-13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327.22763817565902</v>
      </c>
      <c r="AO106" s="59">
        <f t="shared" si="90"/>
        <v>311.68541696405975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65.896269371141997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65.896269371141997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2.8421709430404007E-14</v>
      </c>
      <c r="BE106" s="13">
        <f>BD106*VLOOKUP('Données projet'!$B$11,Paramètres!$A$1:$I$89,3,0)*VLOOKUP('Données projet'!$B$11,Paramètres!$A$1:$I$89,5,0)</f>
        <v>1.8178525351686402E-14</v>
      </c>
      <c r="BF106" s="13">
        <f t="shared" si="91"/>
        <v>3.3304129621647644E-13</v>
      </c>
      <c r="BG106" s="20">
        <f t="shared" si="61"/>
        <v>6.1170785589788349E-13</v>
      </c>
      <c r="BH106" s="59">
        <f t="shared" si="62"/>
        <v>278.21876892976331</v>
      </c>
      <c r="BI106" s="59">
        <f ca="1">AVERAGE(OFFSET($BH$3,0,0,'Données projet'!$E$11+1,1))-AVERAGE(OFFSET($H$3,0,0,'Données projet'!$E$11+1,1))</f>
        <v>169.46470423366029</v>
      </c>
      <c r="BJ106" s="59">
        <f t="shared" si="92"/>
        <v>230.78141128389288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14.275457138906489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14.275457138906489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-1.7053025658242404E-13</v>
      </c>
      <c r="BZ106" s="13">
        <f>BY106*VLOOKUP('Données projet'!$B$12,Paramètres!$A$1:$I$89,3,0)*VLOOKUP('Données projet'!$B$12,Paramètres!$A$1:$I$89,5,0)</f>
        <v>-1.4897523215040567E-13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342.79161436526499</v>
      </c>
      <c r="CE106" s="59">
        <f t="shared" si="94"/>
        <v>315.50730924873733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76.72542601896005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76.72542601896005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-5.6843418860808015E-14</v>
      </c>
      <c r="CU106" s="17">
        <f>CT106*VLOOKUP('Données projet'!$B$13,Paramètres!$A$1:$I$89,3,0)*VLOOKUP('Données projet'!$B$13,Paramètres!$A$1:$I$89,5,0)</f>
        <v>-3.813056537183002E-14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201.84651193684252</v>
      </c>
      <c r="CZ106" s="59">
        <f t="shared" si="96"/>
        <v>138.00705940844708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62.592474882197685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62.592474882197685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1.1368683772161603E-13</v>
      </c>
      <c r="DP106" s="17">
        <f>DO106*VLOOKUP('Données projet'!$B$14,Paramètres!$A$1:$I$89,3,0)*VLOOKUP('Données projet'!$B$14,Paramètres!$A$1:$I$89,5,0)</f>
        <v>8.3355189417488869E-14</v>
      </c>
      <c r="DQ106" s="13">
        <f t="shared" si="97"/>
        <v>1.2790518435140618E-12</v>
      </c>
      <c r="DR106" s="20">
        <f t="shared" si="70"/>
        <v>2.3728589156891171E-12</v>
      </c>
      <c r="DS106" s="59">
        <f t="shared" si="71"/>
        <v>278.21876892976508</v>
      </c>
      <c r="DT106" s="59">
        <f ca="1">AVERAGE(OFFSET($DS$3,0,0,'Données projet'!$E$14+1,1))-AVERAGE(OFFSET($H$3,0,0,'Données projet'!$E$14+1,1))</f>
        <v>242.21240859696931</v>
      </c>
      <c r="DU106" s="59">
        <f t="shared" si="98"/>
        <v>340.92165104349192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26.903060328382484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26.903060328382484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1.7</v>
      </c>
      <c r="EJ106" s="12">
        <f>IF('Données projet'!$A$192&gt;35,EJ105+EI106-ER105,IF(A106&lt;'Données projet'!$A$192,$EG$205^A106,IF(A106='Données projet'!$A$192,'Données projet'!$B$192,EJ105+EI106-ER105)))</f>
        <v>207.10000000000002</v>
      </c>
      <c r="EK106" s="17">
        <f>EJ106*VLOOKUP('Données projet'!$B$15,Paramètres!$A$1:$I$89,3,0)*VLOOKUP('Données projet'!$B$15,Paramètres!$A$1:$I$89,5,0)</f>
        <v>200.30712000000003</v>
      </c>
      <c r="EL106" s="13">
        <f t="shared" si="99"/>
        <v>49.811657377011194</v>
      </c>
      <c r="EM106" s="20">
        <f t="shared" si="73"/>
        <v>435.62353726496121</v>
      </c>
      <c r="EN106" s="59">
        <f t="shared" si="74"/>
        <v>713.84230619472396</v>
      </c>
      <c r="EO106" s="59">
        <f ca="1">AVERAGE(OFFSET($EN$3,0,0,'Données projet'!$E$15+1,1))-AVERAGE(OFFSET($H$3,0,0,'Données projet'!$E$15+1,1))</f>
        <v>331.7059599630698</v>
      </c>
      <c r="EP106" s="59">
        <f t="shared" si="100"/>
        <v>173.19148969173838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9.1541695758517072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9.1541695758517072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1.7</v>
      </c>
      <c r="FE106" s="12">
        <f>IF('Données projet'!$A$218&gt;35,FE105+FD106-FM105,IF(A106&lt;'Données projet'!$A$218,$FB$205^A106,IF(A106='Données projet'!$A$218,'Données projet'!$B$218,FE105+FD106-FM105)))</f>
        <v>207.10000000000002</v>
      </c>
      <c r="FF106" s="17">
        <f>FE106*VLOOKUP('Données projet'!$B$16,Paramètres!$A$1:$I$89,3,0)*VLOOKUP('Données projet'!$B$16,Paramètres!$A$1:$I$89,5,0)</f>
        <v>222.92244000000002</v>
      </c>
      <c r="FG106" s="13">
        <f t="shared" si="101"/>
        <v>54.749574958383199</v>
      </c>
      <c r="FH106" s="20">
        <f t="shared" si="76"/>
        <v>483.61209271918409</v>
      </c>
      <c r="FI106" s="59">
        <f t="shared" si="77"/>
        <v>761.83086164894678</v>
      </c>
      <c r="FJ106" s="59">
        <f ca="1">AVERAGE(OFFSET($FI$3,0,0,'Données projet'!$E$16+1,1))-AVERAGE(OFFSET($H$3,0,0,'Données projet'!$E$16+1,1))</f>
        <v>360.86062459677004</v>
      </c>
      <c r="FK106" s="59">
        <f t="shared" si="102"/>
        <v>186.0840067781198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21.340663748476508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21.340663748476508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2.4</v>
      </c>
      <c r="FZ106" s="12">
        <f>IF('Données projet'!$A$244&gt;35,FZ105+FY106-GH105,IF(A106&lt;'Données projet'!$A$244,$FW$205^A106,IF(A106='Données projet'!$A$244,'Données projet'!$B$244,FZ105+FY106-GH105)))</f>
        <v>268.19999999999987</v>
      </c>
      <c r="GA106" s="17">
        <f>FZ106*VLOOKUP('Données projet'!$B$17,Paramètres!$A$1:$I$89,3,0)*VLOOKUP('Données projet'!$B$17,Paramètres!$A$1:$I$89,5,0)</f>
        <v>271.95479999999992</v>
      </c>
      <c r="GB106" s="13">
        <f t="shared" si="103"/>
        <v>65.263952845017386</v>
      </c>
      <c r="GC106" s="20">
        <f t="shared" si="79"/>
        <v>587.32266120507177</v>
      </c>
      <c r="GD106" s="59">
        <f t="shared" si="80"/>
        <v>865.5414301348344</v>
      </c>
      <c r="GE106" s="59">
        <f ca="1">AVERAGE(OFFSET($GD$3,0,0,'Données projet'!$E$17+1,1))-AVERAGE(OFFSET($H$3,0,0,'Données projet'!$E$17+1,1))</f>
        <v>448.73339628506784</v>
      </c>
      <c r="GF106" s="59">
        <f t="shared" si="104"/>
        <v>273.35778700650803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32.892478108648753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32.892478108648753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2.4</v>
      </c>
      <c r="N107" s="13">
        <f>IF('Données projet'!$A$36&gt;35,N106+M107-V106,IF(A107&lt;'Données projet'!$A$36,$K$205^A107,IF(A107='Données projet'!$A$36,'Données projet'!$B$36,N106+M107-V106)))</f>
        <v>270.59999999999985</v>
      </c>
      <c r="O107" s="13">
        <f>N107*VLOOKUP('Données projet'!$B$9,Paramètres!$A$1:$I$89,3,0)*VLOOKUP('Données projet'!$B$9,Paramètres!$A$1:$I$89,5,0)</f>
        <v>244.83887999999985</v>
      </c>
      <c r="P107" s="13">
        <f t="shared" si="87"/>
        <v>59.47942648942773</v>
      </c>
      <c r="Q107" s="20">
        <f t="shared" si="107"/>
        <v>530.02105046908639</v>
      </c>
      <c r="R107" s="59">
        <f t="shared" si="55"/>
        <v>808.50202330014736</v>
      </c>
      <c r="S107" s="59">
        <f ca="1">AVERAGE(OFFSET($R$3,0,0,'Données projet'!$E$9+1,1))-AVERAGE(OFFSET($H$3,0,0,'Données projet'!$E$9+1,1))</f>
        <v>408.51124670343137</v>
      </c>
      <c r="T107" s="59">
        <f t="shared" si="88"/>
        <v>250.47702091764884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28.77467149494445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28.77467149494445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-2.8421709430404007E-13</v>
      </c>
      <c r="AJ107" s="13">
        <f>AI107*VLOOKUP('Données projet'!$B$10,Paramètres!$A$1:$I$89,3,0)*VLOOKUP('Données projet'!$B$10,Paramètres!$A$1:$I$89,5,0)</f>
        <v>-2.2612312022829427E-13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327.22763817565902</v>
      </c>
      <c r="AO107" s="59">
        <f t="shared" si="90"/>
        <v>311.68541696405975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64.60408372152952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64.60408372152952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2.8421709430404007E-14</v>
      </c>
      <c r="BE107" s="13">
        <f>BD107*VLOOKUP('Données projet'!$B$11,Paramètres!$A$1:$I$89,3,0)*VLOOKUP('Données projet'!$B$11,Paramètres!$A$1:$I$89,5,0)</f>
        <v>1.8178525351686402E-14</v>
      </c>
      <c r="BF107" s="13">
        <f t="shared" si="91"/>
        <v>3.3304129621647644E-13</v>
      </c>
      <c r="BG107" s="20">
        <f t="shared" si="61"/>
        <v>6.1170785589788349E-13</v>
      </c>
      <c r="BH107" s="59">
        <f t="shared" si="62"/>
        <v>278.48097283106154</v>
      </c>
      <c r="BI107" s="59">
        <f ca="1">AVERAGE(OFFSET($BH$3,0,0,'Données projet'!$E$11+1,1))-AVERAGE(OFFSET($H$3,0,0,'Données projet'!$E$11+1,1))</f>
        <v>169.46470423366029</v>
      </c>
      <c r="BJ107" s="59">
        <f t="shared" si="92"/>
        <v>230.78141128389288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13.995524131581627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13.995524131581627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-1.7053025658242404E-13</v>
      </c>
      <c r="BZ107" s="13">
        <f>BY107*VLOOKUP('Données projet'!$B$12,Paramètres!$A$1:$I$89,3,0)*VLOOKUP('Données projet'!$B$12,Paramètres!$A$1:$I$89,5,0)</f>
        <v>-1.4897523215040567E-13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342.79161436526499</v>
      </c>
      <c r="CE107" s="59">
        <f t="shared" si="94"/>
        <v>315.50730924873733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75.220887212617214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75.220887212617214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-5.6843418860808015E-14</v>
      </c>
      <c r="CU107" s="17">
        <f>CT107*VLOOKUP('Données projet'!$B$13,Paramètres!$A$1:$I$89,3,0)*VLOOKUP('Données projet'!$B$13,Paramètres!$A$1:$I$89,5,0)</f>
        <v>-3.813056537183002E-14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201.84651193684252</v>
      </c>
      <c r="CZ107" s="59">
        <f t="shared" si="96"/>
        <v>138.00705940844708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61.365074627397739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61.365074627397739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1.1368683772161603E-13</v>
      </c>
      <c r="DP107" s="17">
        <f>DO107*VLOOKUP('Données projet'!$B$14,Paramètres!$A$1:$I$89,3,0)*VLOOKUP('Données projet'!$B$14,Paramètres!$A$1:$I$89,5,0)</f>
        <v>8.3355189417488869E-14</v>
      </c>
      <c r="DQ107" s="13">
        <f t="shared" si="97"/>
        <v>1.2790518435140618E-12</v>
      </c>
      <c r="DR107" s="20">
        <f t="shared" si="70"/>
        <v>2.3728589156891171E-12</v>
      </c>
      <c r="DS107" s="59">
        <f t="shared" si="71"/>
        <v>278.4809728310633</v>
      </c>
      <c r="DT107" s="59">
        <f ca="1">AVERAGE(OFFSET($DS$3,0,0,'Données projet'!$E$14+1,1))-AVERAGE(OFFSET($H$3,0,0,'Données projet'!$E$14+1,1))</f>
        <v>242.21240859696931</v>
      </c>
      <c r="DU107" s="59">
        <f t="shared" si="98"/>
        <v>340.92165104349192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26.375507724589426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26.375507724589426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1.7</v>
      </c>
      <c r="EJ107" s="12">
        <f>IF('Données projet'!$A$192&gt;35,EJ106+EI107-ER106,IF(A107&lt;'Données projet'!$A$192,$EG$205^A107,IF(A107='Données projet'!$A$192,'Données projet'!$B$192,EJ106+EI107-ER106)))</f>
        <v>208.8</v>
      </c>
      <c r="EK107" s="17">
        <f>EJ107*VLOOKUP('Données projet'!$B$15,Paramètres!$A$1:$I$89,3,0)*VLOOKUP('Données projet'!$B$15,Paramètres!$A$1:$I$89,5,0)</f>
        <v>201.95136000000002</v>
      </c>
      <c r="EL107" s="13">
        <f t="shared" si="99"/>
        <v>50.172774950657931</v>
      </c>
      <c r="EM107" s="20">
        <f t="shared" si="73"/>
        <v>439.11620170572928</v>
      </c>
      <c r="EN107" s="59">
        <f t="shared" si="74"/>
        <v>717.59717453679013</v>
      </c>
      <c r="EO107" s="59">
        <f ca="1">AVERAGE(OFFSET($EN$3,0,0,'Données projet'!$E$15+1,1))-AVERAGE(OFFSET($H$3,0,0,'Données projet'!$E$15+1,1))</f>
        <v>331.7059599630698</v>
      </c>
      <c r="EP107" s="59">
        <f t="shared" si="100"/>
        <v>173.19148969173838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8.9746618939613718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8.9746618939613718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1.7</v>
      </c>
      <c r="FE107" s="12">
        <f>IF('Données projet'!$A$218&gt;35,FE106+FD107-FM106,IF(A107&lt;'Données projet'!$A$218,$FB$205^A107,IF(A107='Données projet'!$A$218,'Données projet'!$B$218,FE106+FD107-FM106)))</f>
        <v>208.8</v>
      </c>
      <c r="FF107" s="17">
        <f>FE107*VLOOKUP('Données projet'!$B$16,Paramètres!$A$1:$I$89,3,0)*VLOOKUP('Données projet'!$B$16,Paramètres!$A$1:$I$89,5,0)</f>
        <v>224.75232000000003</v>
      </c>
      <c r="FG107" s="13">
        <f t="shared" si="101"/>
        <v>55.146490754971083</v>
      </c>
      <c r="FH107" s="20">
        <f t="shared" si="76"/>
        <v>487.4904287315747</v>
      </c>
      <c r="FI107" s="59">
        <f t="shared" si="77"/>
        <v>765.97140156263561</v>
      </c>
      <c r="FJ107" s="59">
        <f ca="1">AVERAGE(OFFSET($FI$3,0,0,'Données projet'!$E$16+1,1))-AVERAGE(OFFSET($H$3,0,0,'Données projet'!$E$16+1,1))</f>
        <v>360.86062459677004</v>
      </c>
      <c r="FK107" s="59">
        <f t="shared" si="102"/>
        <v>186.0840067781198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20.922186348888495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20.922186348888495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2.4</v>
      </c>
      <c r="FZ107" s="12">
        <f>IF('Données projet'!$A$244&gt;35,FZ106+FY107-GH106,IF(A107&lt;'Données projet'!$A$244,$FW$205^A107,IF(A107='Données projet'!$A$244,'Données projet'!$B$244,FZ106+FY107-GH106)))</f>
        <v>270.59999999999985</v>
      </c>
      <c r="GA107" s="17">
        <f>FZ107*VLOOKUP('Données projet'!$B$17,Paramètres!$A$1:$I$89,3,0)*VLOOKUP('Données projet'!$B$17,Paramètres!$A$1:$I$89,5,0)</f>
        <v>274.38839999999988</v>
      </c>
      <c r="GB107" s="13">
        <f t="shared" si="103"/>
        <v>65.77972282151319</v>
      </c>
      <c r="GC107" s="20">
        <f t="shared" si="79"/>
        <v>592.45948058080182</v>
      </c>
      <c r="GD107" s="59">
        <f t="shared" si="80"/>
        <v>870.94045341186279</v>
      </c>
      <c r="GE107" s="59">
        <f ca="1">AVERAGE(OFFSET($GD$3,0,0,'Données projet'!$E$17+1,1))-AVERAGE(OFFSET($H$3,0,0,'Données projet'!$E$17+1,1))</f>
        <v>448.73339628506784</v>
      </c>
      <c r="GF107" s="59">
        <f t="shared" si="104"/>
        <v>273.35778700650803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32.247476675368794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32.247476675368794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2.4</v>
      </c>
      <c r="N108" s="13">
        <f>IF('Données projet'!$A$36&gt;35,N107+M108-V107,IF(A108&lt;'Données projet'!$A$36,$K$205^A108,IF(A108='Données projet'!$A$36,'Données projet'!$B$36,N107+M108-V107)))</f>
        <v>272.99999999999983</v>
      </c>
      <c r="O108" s="13">
        <f>N108*VLOOKUP('Données projet'!$B$9,Paramètres!$A$1:$I$89,3,0)*VLOOKUP('Données projet'!$B$9,Paramètres!$A$1:$I$89,5,0)</f>
        <v>247.01039999999983</v>
      </c>
      <c r="P108" s="13">
        <f t="shared" si="87"/>
        <v>59.945315462121762</v>
      </c>
      <c r="Q108" s="20">
        <f t="shared" si="107"/>
        <v>534.61453776319513</v>
      </c>
      <c r="R108" s="59">
        <f t="shared" si="55"/>
        <v>813.35316584406689</v>
      </c>
      <c r="S108" s="59">
        <f ca="1">AVERAGE(OFFSET($R$3,0,0,'Données projet'!$E$9+1,1))-AVERAGE(OFFSET($H$3,0,0,'Données projet'!$E$9+1,1))</f>
        <v>408.51124670343137</v>
      </c>
      <c r="T108" s="59">
        <f t="shared" si="88"/>
        <v>250.47702091764884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28.210417737745203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28.210417737745203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-2.8421709430404007E-13</v>
      </c>
      <c r="AJ108" s="13">
        <f>AI108*VLOOKUP('Données projet'!$B$10,Paramètres!$A$1:$I$89,3,0)*VLOOKUP('Données projet'!$B$10,Paramètres!$A$1:$I$89,5,0)</f>
        <v>-2.2612312022829427E-13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327.22763817565902</v>
      </c>
      <c r="AO108" s="59">
        <f t="shared" si="90"/>
        <v>311.68541696405975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63.337237044350516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63.337237044350516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2.8421709430404007E-14</v>
      </c>
      <c r="BE108" s="13">
        <f>BD108*VLOOKUP('Données projet'!$B$11,Paramètres!$A$1:$I$89,3,0)*VLOOKUP('Données projet'!$B$11,Paramètres!$A$1:$I$89,5,0)</f>
        <v>1.8178525351686402E-14</v>
      </c>
      <c r="BF108" s="13">
        <f t="shared" si="91"/>
        <v>3.3304129621647644E-13</v>
      </c>
      <c r="BG108" s="20">
        <f t="shared" si="61"/>
        <v>6.1170785589788349E-13</v>
      </c>
      <c r="BH108" s="59">
        <f t="shared" si="62"/>
        <v>278.73862808087239</v>
      </c>
      <c r="BI108" s="59">
        <f ca="1">AVERAGE(OFFSET($BH$3,0,0,'Données projet'!$E$11+1,1))-AVERAGE(OFFSET($H$3,0,0,'Données projet'!$E$11+1,1))</f>
        <v>169.46470423366029</v>
      </c>
      <c r="BJ108" s="59">
        <f t="shared" si="92"/>
        <v>230.78141128389288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13.72108043978813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13.72108043978813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-1.7053025658242404E-13</v>
      </c>
      <c r="BZ108" s="13">
        <f>BY108*VLOOKUP('Données projet'!$B$12,Paramètres!$A$1:$I$89,3,0)*VLOOKUP('Données projet'!$B$12,Paramètres!$A$1:$I$89,5,0)</f>
        <v>-1.4897523215040567E-13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342.79161436526499</v>
      </c>
      <c r="CE108" s="59">
        <f t="shared" si="94"/>
        <v>315.50730924873733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73.745851494588692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73.745851494588692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-5.6843418860808015E-14</v>
      </c>
      <c r="CU108" s="17">
        <f>CT108*VLOOKUP('Données projet'!$B$13,Paramètres!$A$1:$I$89,3,0)*VLOOKUP('Données projet'!$B$13,Paramètres!$A$1:$I$89,5,0)</f>
        <v>-3.813056537183002E-14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201.84651193684252</v>
      </c>
      <c r="CZ108" s="59">
        <f t="shared" si="96"/>
        <v>138.00705940844708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60.161742942954184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60.161742942954184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1.1368683772161603E-13</v>
      </c>
      <c r="DP108" s="17">
        <f>DO108*VLOOKUP('Données projet'!$B$14,Paramètres!$A$1:$I$89,3,0)*VLOOKUP('Données projet'!$B$14,Paramètres!$A$1:$I$89,5,0)</f>
        <v>8.3355189417488869E-14</v>
      </c>
      <c r="DQ108" s="13">
        <f t="shared" si="97"/>
        <v>1.2790518435140618E-12</v>
      </c>
      <c r="DR108" s="20">
        <f t="shared" si="70"/>
        <v>2.3728589156891171E-12</v>
      </c>
      <c r="DS108" s="59">
        <f t="shared" si="71"/>
        <v>278.73862808087415</v>
      </c>
      <c r="DT108" s="59">
        <f ca="1">AVERAGE(OFFSET($DS$3,0,0,'Données projet'!$E$14+1,1))-AVERAGE(OFFSET($H$3,0,0,'Données projet'!$E$14+1,1))</f>
        <v>242.21240859696931</v>
      </c>
      <c r="DU108" s="59">
        <f t="shared" si="98"/>
        <v>340.92165104349192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25.858300105581431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25.858300105581431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1.7</v>
      </c>
      <c r="EJ108" s="12">
        <f>IF('Données projet'!$A$192&gt;35,EJ107+EI108-ER107,IF(A108&lt;'Données projet'!$A$192,$EG$205^A108,IF(A108='Données projet'!$A$192,'Données projet'!$B$192,EJ107+EI108-ER107)))</f>
        <v>210.5</v>
      </c>
      <c r="EK108" s="17">
        <f>EJ108*VLOOKUP('Données projet'!$B$15,Paramètres!$A$1:$I$89,3,0)*VLOOKUP('Données projet'!$B$15,Paramètres!$A$1:$I$89,5,0)</f>
        <v>203.59559999999999</v>
      </c>
      <c r="EL108" s="13">
        <f t="shared" si="99"/>
        <v>50.533550450883013</v>
      </c>
      <c r="EM108" s="20">
        <f t="shared" si="73"/>
        <v>442.60827036862128</v>
      </c>
      <c r="EN108" s="59">
        <f t="shared" si="74"/>
        <v>721.34689844949298</v>
      </c>
      <c r="EO108" s="59">
        <f ca="1">AVERAGE(OFFSET($EN$3,0,0,'Données projet'!$E$15+1,1))-AVERAGE(OFFSET($H$3,0,0,'Données projet'!$E$15+1,1))</f>
        <v>331.7059599630698</v>
      </c>
      <c r="EP108" s="59">
        <f t="shared" si="100"/>
        <v>173.19148969173838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8.7986742482240317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8.7986742482240317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1.7</v>
      </c>
      <c r="FE108" s="12">
        <f>IF('Données projet'!$A$218&gt;35,FE107+FD108-FM107,IF(A108&lt;'Données projet'!$A$218,$FB$205^A108,IF(A108='Données projet'!$A$218,'Données projet'!$B$218,FE107+FD108-FM107)))</f>
        <v>210.5</v>
      </c>
      <c r="FF108" s="17">
        <f>FE108*VLOOKUP('Données projet'!$B$16,Paramètres!$A$1:$I$89,3,0)*VLOOKUP('Données projet'!$B$16,Paramètres!$A$1:$I$89,5,0)</f>
        <v>226.58219999999997</v>
      </c>
      <c r="FG108" s="13">
        <f t="shared" si="101"/>
        <v>55.543030567794936</v>
      </c>
      <c r="FH108" s="20">
        <f t="shared" si="76"/>
        <v>491.36810990557609</v>
      </c>
      <c r="FI108" s="59">
        <f t="shared" si="77"/>
        <v>770.1067379864478</v>
      </c>
      <c r="FJ108" s="59">
        <f ca="1">AVERAGE(OFFSET($FI$3,0,0,'Données projet'!$E$16+1,1))-AVERAGE(OFFSET($H$3,0,0,'Données projet'!$E$16+1,1))</f>
        <v>360.86062459677004</v>
      </c>
      <c r="FK108" s="59">
        <f t="shared" si="102"/>
        <v>186.0840067781198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20.511915035860394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20.511915035860394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2.4</v>
      </c>
      <c r="FZ108" s="12">
        <f>IF('Données projet'!$A$244&gt;35,FZ107+FY108-GH107,IF(A108&lt;'Données projet'!$A$244,$FW$205^A108,IF(A108='Données projet'!$A$244,'Données projet'!$B$244,FZ107+FY108-GH107)))</f>
        <v>272.99999999999983</v>
      </c>
      <c r="GA108" s="17">
        <f>FZ108*VLOOKUP('Données projet'!$B$17,Paramètres!$A$1:$I$89,3,0)*VLOOKUP('Données projet'!$B$17,Paramètres!$A$1:$I$89,5,0)</f>
        <v>276.82199999999983</v>
      </c>
      <c r="GB108" s="13">
        <f t="shared" si="103"/>
        <v>66.29496059864374</v>
      </c>
      <c r="GC108" s="20">
        <f t="shared" si="79"/>
        <v>597.59537304263756</v>
      </c>
      <c r="GD108" s="59">
        <f t="shared" si="80"/>
        <v>876.33400112350932</v>
      </c>
      <c r="GE108" s="59">
        <f ca="1">AVERAGE(OFFSET($GD$3,0,0,'Données projet'!$E$17+1,1))-AVERAGE(OFFSET($H$3,0,0,'Données projet'!$E$17+1,1))</f>
        <v>448.73339628506784</v>
      </c>
      <c r="GF108" s="59">
        <f t="shared" si="104"/>
        <v>273.35778700650803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31.615123326783429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31.615123326783429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2.4</v>
      </c>
      <c r="N109" s="13">
        <f>IF('Données projet'!$A$36&gt;35,N108+M109-V108,IF(A109&lt;'Données projet'!$A$36,$K$205^A109,IF(A109='Données projet'!$A$36,'Données projet'!$B$36,N108+M109-V108)))</f>
        <v>275.39999999999981</v>
      </c>
      <c r="O109" s="13">
        <f>N109*VLOOKUP('Données projet'!$B$9,Paramètres!$A$1:$I$89,3,0)*VLOOKUP('Données projet'!$B$9,Paramètres!$A$1:$I$89,5,0)</f>
        <v>249.18191999999982</v>
      </c>
      <c r="P109" s="13">
        <f t="shared" si="87"/>
        <v>60.410727929515545</v>
      </c>
      <c r="Q109" s="20">
        <f t="shared" si="107"/>
        <v>539.20719514390589</v>
      </c>
      <c r="R109" s="59">
        <f t="shared" si="55"/>
        <v>818.19900873203505</v>
      </c>
      <c r="S109" s="59">
        <f ca="1">AVERAGE(OFFSET($R$3,0,0,'Données projet'!$E$9+1,1))-AVERAGE(OFFSET($H$3,0,0,'Données projet'!$E$9+1,1))</f>
        <v>408.51124670343137</v>
      </c>
      <c r="T109" s="59">
        <f t="shared" si="88"/>
        <v>250.47702091764884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27.657228652563823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27.657228652563823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-2.8421709430404007E-13</v>
      </c>
      <c r="AJ109" s="13">
        <f>AI109*VLOOKUP('Données projet'!$B$10,Paramètres!$A$1:$I$89,3,0)*VLOOKUP('Données projet'!$B$10,Paramètres!$A$1:$I$89,5,0)</f>
        <v>-2.2612312022829427E-13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327.22763817565902</v>
      </c>
      <c r="AO109" s="59">
        <f t="shared" si="90"/>
        <v>311.68541696405975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62.095232457810816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62.095232457810816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2.8421709430404007E-14</v>
      </c>
      <c r="BE109" s="13">
        <f>BD109*VLOOKUP('Données projet'!$B$11,Paramètres!$A$1:$I$89,3,0)*VLOOKUP('Données projet'!$B$11,Paramètres!$A$1:$I$89,5,0)</f>
        <v>1.8178525351686402E-14</v>
      </c>
      <c r="BF109" s="13">
        <f t="shared" si="91"/>
        <v>3.3304129621647644E-13</v>
      </c>
      <c r="BG109" s="20">
        <f t="shared" si="61"/>
        <v>6.1170785589788349E-13</v>
      </c>
      <c r="BH109" s="59">
        <f t="shared" si="62"/>
        <v>278.99181358812973</v>
      </c>
      <c r="BI109" s="59">
        <f ca="1">AVERAGE(OFFSET($BH$3,0,0,'Données projet'!$E$11+1,1))-AVERAGE(OFFSET($H$3,0,0,'Données projet'!$E$11+1,1))</f>
        <v>169.46470423366029</v>
      </c>
      <c r="BJ109" s="59">
        <f t="shared" si="92"/>
        <v>230.78141128389288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13.452018421396581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13.452018421396581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-1.7053025658242404E-13</v>
      </c>
      <c r="BZ109" s="13">
        <f>BY109*VLOOKUP('Données projet'!$B$12,Paramètres!$A$1:$I$89,3,0)*VLOOKUP('Données projet'!$B$12,Paramètres!$A$1:$I$89,5,0)</f>
        <v>-1.4897523215040567E-13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342.79161436526499</v>
      </c>
      <c r="CE109" s="59">
        <f t="shared" si="94"/>
        <v>315.50730924873733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72.299740327307759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72.299740327307759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-5.6843418860808015E-14</v>
      </c>
      <c r="CU109" s="17">
        <f>CT109*VLOOKUP('Données projet'!$B$13,Paramètres!$A$1:$I$89,3,0)*VLOOKUP('Données projet'!$B$13,Paramètres!$A$1:$I$89,5,0)</f>
        <v>-3.813056537183002E-14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201.84651193684252</v>
      </c>
      <c r="CZ109" s="59">
        <f t="shared" si="96"/>
        <v>138.00705940844708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58.982007858882717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58.982007858882717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1.1368683772161603E-13</v>
      </c>
      <c r="DP109" s="17">
        <f>DO109*VLOOKUP('Données projet'!$B$14,Paramètres!$A$1:$I$89,3,0)*VLOOKUP('Données projet'!$B$14,Paramètres!$A$1:$I$89,5,0)</f>
        <v>8.3355189417488869E-14</v>
      </c>
      <c r="DQ109" s="13">
        <f t="shared" si="97"/>
        <v>1.2790518435140618E-12</v>
      </c>
      <c r="DR109" s="20">
        <f t="shared" si="70"/>
        <v>2.3728589156891171E-12</v>
      </c>
      <c r="DS109" s="59">
        <f t="shared" si="71"/>
        <v>278.99181358813149</v>
      </c>
      <c r="DT109" s="59">
        <f ca="1">AVERAGE(OFFSET($DS$3,0,0,'Données projet'!$E$14+1,1))-AVERAGE(OFFSET($H$3,0,0,'Données projet'!$E$14+1,1))</f>
        <v>242.21240859696931</v>
      </c>
      <c r="DU109" s="59">
        <f t="shared" si="98"/>
        <v>340.92165104349192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25.351234612516688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25.351234612516688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1.7</v>
      </c>
      <c r="EJ109" s="12">
        <f>IF('Données projet'!$A$192&gt;35,EJ108+EI109-ER108,IF(A109&lt;'Données projet'!$A$192,$EG$205^A109,IF(A109='Données projet'!$A$192,'Données projet'!$B$192,EJ108+EI109-ER108)))</f>
        <v>212.2</v>
      </c>
      <c r="EK109" s="17">
        <f>EJ109*VLOOKUP('Données projet'!$B$15,Paramètres!$A$1:$I$89,3,0)*VLOOKUP('Données projet'!$B$15,Paramètres!$A$1:$I$89,5,0)</f>
        <v>205.23983999999999</v>
      </c>
      <c r="EL109" s="13">
        <f t="shared" si="99"/>
        <v>50.893986960458122</v>
      </c>
      <c r="EM109" s="20">
        <f t="shared" si="73"/>
        <v>446.0997486227979</v>
      </c>
      <c r="EN109" s="59">
        <f t="shared" si="74"/>
        <v>725.09156221092701</v>
      </c>
      <c r="EO109" s="59">
        <f ca="1">AVERAGE(OFFSET($EN$3,0,0,'Données projet'!$E$15+1,1))-AVERAGE(OFFSET($H$3,0,0,'Données projet'!$E$15+1,1))</f>
        <v>331.7059599630698</v>
      </c>
      <c r="EP109" s="59">
        <f t="shared" si="100"/>
        <v>173.19148969173838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8.6261376128777361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8.6261376128777361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1.7</v>
      </c>
      <c r="FE109" s="12">
        <f>IF('Données projet'!$A$218&gt;35,FE108+FD109-FM108,IF(A109&lt;'Données projet'!$A$218,$FB$205^A109,IF(A109='Données projet'!$A$218,'Données projet'!$B$218,FE108+FD109-FM108)))</f>
        <v>212.2</v>
      </c>
      <c r="FF109" s="17">
        <f>FE109*VLOOKUP('Données projet'!$B$16,Paramètres!$A$1:$I$89,3,0)*VLOOKUP('Données projet'!$B$16,Paramètres!$A$1:$I$89,5,0)</f>
        <v>228.41207999999997</v>
      </c>
      <c r="FG109" s="13">
        <f t="shared" si="101"/>
        <v>55.939197785226767</v>
      </c>
      <c r="FH109" s="20">
        <f t="shared" si="76"/>
        <v>495.24514214260324</v>
      </c>
      <c r="FI109" s="59">
        <f t="shared" si="77"/>
        <v>774.23695573073235</v>
      </c>
      <c r="FJ109" s="59">
        <f ca="1">AVERAGE(OFFSET($FI$3,0,0,'Données projet'!$E$16+1,1))-AVERAGE(OFFSET($H$3,0,0,'Données projet'!$E$16+1,1))</f>
        <v>360.86062459677004</v>
      </c>
      <c r="FK109" s="59">
        <f t="shared" si="102"/>
        <v>186.0840067781198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20.10968889303998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20.10968889303998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2.4</v>
      </c>
      <c r="FZ109" s="12">
        <f>IF('Données projet'!$A$244&gt;35,FZ108+FY109-GH108,IF(A109&lt;'Données projet'!$A$244,$FW$205^A109,IF(A109='Données projet'!$A$244,'Données projet'!$B$244,FZ108+FY109-GH108)))</f>
        <v>275.39999999999981</v>
      </c>
      <c r="GA109" s="17">
        <f>FZ109*VLOOKUP('Données projet'!$B$17,Paramètres!$A$1:$I$89,3,0)*VLOOKUP('Données projet'!$B$17,Paramètres!$A$1:$I$89,5,0)</f>
        <v>279.25559999999984</v>
      </c>
      <c r="GB109" s="13">
        <f t="shared" si="103"/>
        <v>66.809671397146104</v>
      </c>
      <c r="GC109" s="20">
        <f t="shared" si="79"/>
        <v>602.73034768336242</v>
      </c>
      <c r="GD109" s="59">
        <f t="shared" si="80"/>
        <v>881.72216127149159</v>
      </c>
      <c r="GE109" s="59">
        <f ca="1">AVERAGE(OFFSET($GD$3,0,0,'Données projet'!$E$17+1,1))-AVERAGE(OFFSET($H$3,0,0,'Données projet'!$E$17+1,1))</f>
        <v>448.73339628506784</v>
      </c>
      <c r="GF109" s="59">
        <f t="shared" si="104"/>
        <v>273.35778700650803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30.995170041666366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30.995170041666366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2.4</v>
      </c>
      <c r="N110" s="13">
        <f>IF('Données projet'!$A$36&gt;35,N109+M110-V109,IF(A110&lt;'Données projet'!$A$36,$K$205^A110,IF(A110='Données projet'!$A$36,'Données projet'!$B$36,N109+M110-V109)))</f>
        <v>277.79999999999978</v>
      </c>
      <c r="O110" s="13">
        <f>N110*VLOOKUP('Données projet'!$B$9,Paramètres!$A$1:$I$89,3,0)*VLOOKUP('Données projet'!$B$9,Paramètres!$A$1:$I$89,5,0)</f>
        <v>251.35343999999978</v>
      </c>
      <c r="P110" s="13">
        <f t="shared" si="87"/>
        <v>60.875668525284958</v>
      </c>
      <c r="Q110" s="20">
        <f t="shared" si="107"/>
        <v>543.7990306815376</v>
      </c>
      <c r="R110" s="59">
        <f t="shared" si="55"/>
        <v>823.03963757441124</v>
      </c>
      <c r="S110" s="59">
        <f ca="1">AVERAGE(OFFSET($R$3,0,0,'Données projet'!$E$9+1,1))-AVERAGE(OFFSET($H$3,0,0,'Données projet'!$E$9+1,1))</f>
        <v>408.51124670343137</v>
      </c>
      <c r="T110" s="59">
        <f t="shared" si="88"/>
        <v>250.47702091764884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27.114887267930825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27.114887267930825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-2.8421709430404007E-13</v>
      </c>
      <c r="AJ110" s="13">
        <f>AI110*VLOOKUP('Données projet'!$B$10,Paramètres!$A$1:$I$89,3,0)*VLOOKUP('Données projet'!$B$10,Paramètres!$A$1:$I$89,5,0)</f>
        <v>-2.2612312022829427E-13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327.22763817565902</v>
      </c>
      <c r="AO110" s="59">
        <f t="shared" si="90"/>
        <v>311.68541696405975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60.877582823665165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60.877582823665165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2.8421709430404007E-14</v>
      </c>
      <c r="BE110" s="13">
        <f>BD110*VLOOKUP('Données projet'!$B$11,Paramètres!$A$1:$I$89,3,0)*VLOOKUP('Données projet'!$B$11,Paramètres!$A$1:$I$89,5,0)</f>
        <v>1.8178525351686402E-14</v>
      </c>
      <c r="BF110" s="13">
        <f t="shared" si="91"/>
        <v>3.3304129621647644E-13</v>
      </c>
      <c r="BG110" s="20">
        <f t="shared" si="61"/>
        <v>6.1170785589788349E-13</v>
      </c>
      <c r="BH110" s="59">
        <f t="shared" si="62"/>
        <v>279.24060689287427</v>
      </c>
      <c r="BI110" s="59">
        <f ca="1">AVERAGE(OFFSET($BH$3,0,0,'Données projet'!$E$11+1,1))-AVERAGE(OFFSET($H$3,0,0,'Données projet'!$E$11+1,1))</f>
        <v>169.46470423366029</v>
      </c>
      <c r="BJ110" s="59">
        <f t="shared" si="92"/>
        <v>230.78141128389288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13.188232545074062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13.188232545074062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-1.7053025658242404E-13</v>
      </c>
      <c r="BZ110" s="13">
        <f>BY110*VLOOKUP('Données projet'!$B$12,Paramètres!$A$1:$I$89,3,0)*VLOOKUP('Données projet'!$B$12,Paramètres!$A$1:$I$89,5,0)</f>
        <v>-1.4897523215040567E-13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342.79161436526499</v>
      </c>
      <c r="CE110" s="59">
        <f t="shared" si="94"/>
        <v>315.50730924873733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70.881986517976486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70.881986517976486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-5.6843418860808015E-14</v>
      </c>
      <c r="CU110" s="17">
        <f>CT110*VLOOKUP('Données projet'!$B$13,Paramètres!$A$1:$I$89,3,0)*VLOOKUP('Données projet'!$B$13,Paramètres!$A$1:$I$89,5,0)</f>
        <v>-3.813056537183002E-14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201.84651193684252</v>
      </c>
      <c r="CZ110" s="59">
        <f t="shared" si="96"/>
        <v>138.00705940844708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57.825406660242535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57.825406660242535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1.1368683772161603E-13</v>
      </c>
      <c r="DP110" s="17">
        <f>DO110*VLOOKUP('Données projet'!$B$14,Paramètres!$A$1:$I$89,3,0)*VLOOKUP('Données projet'!$B$14,Paramètres!$A$1:$I$89,5,0)</f>
        <v>8.3355189417488869E-14</v>
      </c>
      <c r="DQ110" s="13">
        <f t="shared" si="97"/>
        <v>1.2790518435140618E-12</v>
      </c>
      <c r="DR110" s="20">
        <f t="shared" si="70"/>
        <v>2.3728589156891171E-12</v>
      </c>
      <c r="DS110" s="59">
        <f t="shared" si="71"/>
        <v>279.24060689287603</v>
      </c>
      <c r="DT110" s="59">
        <f ca="1">AVERAGE(OFFSET($DS$3,0,0,'Données projet'!$E$14+1,1))-AVERAGE(OFFSET($H$3,0,0,'Données projet'!$E$14+1,1))</f>
        <v>242.21240859696931</v>
      </c>
      <c r="DU110" s="59">
        <f t="shared" si="98"/>
        <v>340.92165104349192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24.854112364491531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24.854112364491531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1.7</v>
      </c>
      <c r="EJ110" s="12">
        <f>IF('Données projet'!$A$192&gt;35,EJ109+EI110-ER109,IF(A110&lt;'Données projet'!$A$192,$EG$205^A110,IF(A110='Données projet'!$A$192,'Données projet'!$B$192,EJ109+EI110-ER109)))</f>
        <v>213.89999999999998</v>
      </c>
      <c r="EK110" s="17">
        <f>EJ110*VLOOKUP('Données projet'!$B$15,Paramètres!$A$1:$I$89,3,0)*VLOOKUP('Données projet'!$B$15,Paramètres!$A$1:$I$89,5,0)</f>
        <v>206.88408000000001</v>
      </c>
      <c r="EL110" s="13">
        <f t="shared" si="99"/>
        <v>51.254087509908629</v>
      </c>
      <c r="EM110" s="20">
        <f t="shared" si="73"/>
        <v>449.59064174642413</v>
      </c>
      <c r="EN110" s="59">
        <f t="shared" si="74"/>
        <v>728.83124863929777</v>
      </c>
      <c r="EO110" s="59">
        <f ca="1">AVERAGE(OFFSET($EN$3,0,0,'Données projet'!$E$15+1,1))-AVERAGE(OFFSET($H$3,0,0,'Données projet'!$E$15+1,1))</f>
        <v>331.7059599630698</v>
      </c>
      <c r="EP110" s="59">
        <f t="shared" si="100"/>
        <v>173.19148969173838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8.4569843157136244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8.4569843157136244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1.7</v>
      </c>
      <c r="FE110" s="12">
        <f>IF('Données projet'!$A$218&gt;35,FE109+FD110-FM109,IF(A110&lt;'Données projet'!$A$218,$FB$205^A110,IF(A110='Données projet'!$A$218,'Données projet'!$B$218,FE109+FD110-FM109)))</f>
        <v>213.89999999999998</v>
      </c>
      <c r="FF110" s="17">
        <f>FE110*VLOOKUP('Données projet'!$B$16,Paramètres!$A$1:$I$89,3,0)*VLOOKUP('Données projet'!$B$16,Paramètres!$A$1:$I$89,5,0)</f>
        <v>230.24195999999998</v>
      </c>
      <c r="FG110" s="13">
        <f t="shared" si="101"/>
        <v>56.334995738213458</v>
      </c>
      <c r="FH110" s="20">
        <f t="shared" si="76"/>
        <v>499.12153124405501</v>
      </c>
      <c r="FI110" s="59">
        <f t="shared" si="77"/>
        <v>778.36213813692871</v>
      </c>
      <c r="FJ110" s="59">
        <f ca="1">AVERAGE(OFFSET($FI$3,0,0,'Données projet'!$E$16+1,1))-AVERAGE(OFFSET($H$3,0,0,'Données projet'!$E$16+1,1))</f>
        <v>360.86062459677004</v>
      </c>
      <c r="FK110" s="59">
        <f t="shared" si="102"/>
        <v>186.0840067781198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19.715350159546553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19.715350159546553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2.4</v>
      </c>
      <c r="FZ110" s="12">
        <f>IF('Données projet'!$A$244&gt;35,FZ109+FY110-GH109,IF(A110&lt;'Données projet'!$A$244,$FW$205^A110,IF(A110='Données projet'!$A$244,'Données projet'!$B$244,FZ109+FY110-GH109)))</f>
        <v>277.79999999999978</v>
      </c>
      <c r="GA110" s="17">
        <f>FZ110*VLOOKUP('Données projet'!$B$17,Paramètres!$A$1:$I$89,3,0)*VLOOKUP('Données projet'!$B$17,Paramètres!$A$1:$I$89,5,0)</f>
        <v>281.6891999999998</v>
      </c>
      <c r="GB110" s="13">
        <f t="shared" si="103"/>
        <v>67.32386034151358</v>
      </c>
      <c r="GC110" s="20">
        <f t="shared" si="79"/>
        <v>607.86441342813578</v>
      </c>
      <c r="GD110" s="59">
        <f t="shared" si="80"/>
        <v>887.10502032100942</v>
      </c>
      <c r="GE110" s="59">
        <f ca="1">AVERAGE(OFFSET($GD$3,0,0,'Données projet'!$E$17+1,1))-AVERAGE(OFFSET($H$3,0,0,'Données projet'!$E$17+1,1))</f>
        <v>448.73339628506784</v>
      </c>
      <c r="GF110" s="59">
        <f t="shared" si="104"/>
        <v>273.35778700650803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30.387373662336284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30.387373662336284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2.4</v>
      </c>
      <c r="N111" s="13">
        <f>IF('Données projet'!$A$36&gt;35,N110+M111-V110,IF(A111&lt;'Données projet'!$A$36,$K$205^A111,IF(A111='Données projet'!$A$36,'Données projet'!$B$36,N110+M111-V110)))</f>
        <v>280.19999999999976</v>
      </c>
      <c r="O111" s="13">
        <f>N111*VLOOKUP('Données projet'!$B$9,Paramètres!$A$1:$I$89,3,0)*VLOOKUP('Données projet'!$B$9,Paramètres!$A$1:$I$89,5,0)</f>
        <v>253.52495999999977</v>
      </c>
      <c r="P111" s="13">
        <f t="shared" si="87"/>
        <v>61.34014179842216</v>
      </c>
      <c r="Q111" s="20">
        <f t="shared" si="107"/>
        <v>548.39005229891814</v>
      </c>
      <c r="R111" s="59">
        <f t="shared" si="55"/>
        <v>827.87513648891741</v>
      </c>
      <c r="S111" s="59">
        <f ca="1">AVERAGE(OFFSET($R$3,0,0,'Données projet'!$E$9+1,1))-AVERAGE(OFFSET($H$3,0,0,'Données projet'!$E$9+1,1))</f>
        <v>408.51124670343137</v>
      </c>
      <c r="T111" s="59">
        <f t="shared" si="88"/>
        <v>250.47702091764884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26.583180867054899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26.583180867054899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-2.8421709430404007E-13</v>
      </c>
      <c r="AJ111" s="13">
        <f>AI111*VLOOKUP('Données projet'!$B$10,Paramètres!$A$1:$I$89,3,0)*VLOOKUP('Données projet'!$B$10,Paramètres!$A$1:$I$89,5,0)</f>
        <v>-2.2612312022829427E-13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327.22763817565902</v>
      </c>
      <c r="AO111" s="59">
        <f t="shared" si="90"/>
        <v>311.68541696405975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59.683810556152167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59.683810556152167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2.8421709430404007E-14</v>
      </c>
      <c r="BE111" s="13">
        <f>BD111*VLOOKUP('Données projet'!$B$11,Paramètres!$A$1:$I$89,3,0)*VLOOKUP('Données projet'!$B$11,Paramètres!$A$1:$I$89,5,0)</f>
        <v>1.8178525351686402E-14</v>
      </c>
      <c r="BF111" s="13">
        <f t="shared" si="91"/>
        <v>3.3304129621647644E-13</v>
      </c>
      <c r="BG111" s="20">
        <f t="shared" si="61"/>
        <v>6.1170785589788349E-13</v>
      </c>
      <c r="BH111" s="59">
        <f t="shared" si="62"/>
        <v>279.48508418999995</v>
      </c>
      <c r="BI111" s="59">
        <f ca="1">AVERAGE(OFFSET($BH$3,0,0,'Données projet'!$E$11+1,1))-AVERAGE(OFFSET($H$3,0,0,'Données projet'!$E$11+1,1))</f>
        <v>169.46470423366029</v>
      </c>
      <c r="BJ111" s="59">
        <f t="shared" si="92"/>
        <v>230.78141128389288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12.92961934889273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12.92961934889273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-1.7053025658242404E-13</v>
      </c>
      <c r="BZ111" s="13">
        <f>BY111*VLOOKUP('Données projet'!$B$12,Paramètres!$A$1:$I$89,3,0)*VLOOKUP('Données projet'!$B$12,Paramètres!$A$1:$I$89,5,0)</f>
        <v>-1.4897523215040567E-13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342.79161436526499</v>
      </c>
      <c r="CE111" s="59">
        <f t="shared" si="94"/>
        <v>315.50730924873733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69.492033996101767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69.492033996101767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-5.6843418860808015E-14</v>
      </c>
      <c r="CU111" s="17">
        <f>CT111*VLOOKUP('Données projet'!$B$13,Paramètres!$A$1:$I$89,3,0)*VLOOKUP('Données projet'!$B$13,Paramètres!$A$1:$I$89,5,0)</f>
        <v>-3.813056537183002E-14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201.84651193684252</v>
      </c>
      <c r="CZ111" s="59">
        <f t="shared" si="96"/>
        <v>138.00705940844708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56.691485705650621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56.691485705650621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1.1368683772161603E-13</v>
      </c>
      <c r="DP111" s="17">
        <f>DO111*VLOOKUP('Données projet'!$B$14,Paramètres!$A$1:$I$89,3,0)*VLOOKUP('Données projet'!$B$14,Paramètres!$A$1:$I$89,5,0)</f>
        <v>8.3355189417488869E-14</v>
      </c>
      <c r="DQ111" s="13">
        <f t="shared" si="97"/>
        <v>1.2790518435140618E-12</v>
      </c>
      <c r="DR111" s="20">
        <f t="shared" si="70"/>
        <v>2.3728589156891171E-12</v>
      </c>
      <c r="DS111" s="59">
        <f t="shared" si="71"/>
        <v>279.48508419000171</v>
      </c>
      <c r="DT111" s="59">
        <f ca="1">AVERAGE(OFFSET($DS$3,0,0,'Données projet'!$E$14+1,1))-AVERAGE(OFFSET($H$3,0,0,'Données projet'!$E$14+1,1))</f>
        <v>242.21240859696931</v>
      </c>
      <c r="DU111" s="59">
        <f t="shared" si="98"/>
        <v>340.92165104349192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24.366738380535516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24.366738380535516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1.7</v>
      </c>
      <c r="EJ111" s="12">
        <f>IF('Données projet'!$A$192&gt;35,EJ110+EI111-ER110,IF(A111&lt;'Données projet'!$A$192,$EG$205^A111,IF(A111='Données projet'!$A$192,'Données projet'!$B$192,EJ110+EI111-ER110)))</f>
        <v>215.59999999999997</v>
      </c>
      <c r="EK111" s="17">
        <f>EJ111*VLOOKUP('Données projet'!$B$15,Paramètres!$A$1:$I$89,3,0)*VLOOKUP('Données projet'!$B$15,Paramètres!$A$1:$I$89,5,0)</f>
        <v>208.52831999999995</v>
      </c>
      <c r="EL111" s="13">
        <f t="shared" si="99"/>
        <v>51.613855078807369</v>
      </c>
      <c r="EM111" s="20">
        <f t="shared" si="73"/>
        <v>453.08095492892272</v>
      </c>
      <c r="EN111" s="59">
        <f t="shared" si="74"/>
        <v>732.56603911892205</v>
      </c>
      <c r="EO111" s="59">
        <f ca="1">AVERAGE(OFFSET($EN$3,0,0,'Données projet'!$E$15+1,1))-AVERAGE(OFFSET($H$3,0,0,'Données projet'!$E$15+1,1))</f>
        <v>331.7059599630698</v>
      </c>
      <c r="EP111" s="59">
        <f t="shared" si="100"/>
        <v>173.19148969173838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8.2911480115335774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8.2911480115335774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1.7</v>
      </c>
      <c r="FE111" s="12">
        <f>IF('Données projet'!$A$218&gt;35,FE110+FD111-FM110,IF(A111&lt;'Données projet'!$A$218,$FB$205^A111,IF(A111='Données projet'!$A$218,'Données projet'!$B$218,FE110+FD111-FM110)))</f>
        <v>215.59999999999997</v>
      </c>
      <c r="FF111" s="17">
        <f>FE111*VLOOKUP('Données projet'!$B$16,Paramètres!$A$1:$I$89,3,0)*VLOOKUP('Données projet'!$B$16,Paramètres!$A$1:$I$89,5,0)</f>
        <v>232.07183999999992</v>
      </c>
      <c r="FG111" s="13">
        <f t="shared" si="101"/>
        <v>56.730427701698169</v>
      </c>
      <c r="FH111" s="20">
        <f t="shared" si="76"/>
        <v>502.9972829137908</v>
      </c>
      <c r="FI111" s="59">
        <f t="shared" si="77"/>
        <v>782.48236710379012</v>
      </c>
      <c r="FJ111" s="59">
        <f ca="1">AVERAGE(OFFSET($FI$3,0,0,'Données projet'!$E$16+1,1))-AVERAGE(OFFSET($H$3,0,0,'Données projet'!$E$16+1,1))</f>
        <v>360.86062459677004</v>
      </c>
      <c r="FK111" s="59">
        <f t="shared" si="102"/>
        <v>186.0840067781198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19.328744168094055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19.328744168094055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2.4</v>
      </c>
      <c r="FZ111" s="12">
        <f>IF('Données projet'!$A$244&gt;35,FZ110+FY111-GH110,IF(A111&lt;'Données projet'!$A$244,$FW$205^A111,IF(A111='Données projet'!$A$244,'Données projet'!$B$244,FZ110+FY111-GH110)))</f>
        <v>280.19999999999976</v>
      </c>
      <c r="GA111" s="17">
        <f>FZ111*VLOOKUP('Données projet'!$B$17,Paramètres!$A$1:$I$89,3,0)*VLOOKUP('Données projet'!$B$17,Paramètres!$A$1:$I$89,5,0)</f>
        <v>284.12279999999976</v>
      </c>
      <c r="GB111" s="13">
        <f t="shared" si="103"/>
        <v>67.8375324625855</v>
      </c>
      <c r="GC111" s="20">
        <f t="shared" si="79"/>
        <v>612.99757903900263</v>
      </c>
      <c r="GD111" s="59">
        <f t="shared" si="80"/>
        <v>892.4826632290019</v>
      </c>
      <c r="GE111" s="59">
        <f ca="1">AVERAGE(OFFSET($GD$3,0,0,'Données projet'!$E$17+1,1))-AVERAGE(OFFSET($H$3,0,0,'Données projet'!$E$17+1,1))</f>
        <v>448.73339628506784</v>
      </c>
      <c r="GF111" s="59">
        <f t="shared" si="104"/>
        <v>273.35778700650803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29.791495799285677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29.791495799285677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2.4</v>
      </c>
      <c r="N112" s="13">
        <f>IF('Données projet'!$A$36&gt;35,N111+M112-V111,IF(A112&lt;'Données projet'!$A$36,$K$205^A112,IF(A112='Données projet'!$A$36,'Données projet'!$B$36,N111+M112-V111)))</f>
        <v>282.59999999999974</v>
      </c>
      <c r="O112" s="13">
        <f>N112*VLOOKUP('Données projet'!$B$9,Paramètres!$A$1:$I$89,3,0)*VLOOKUP('Données projet'!$B$9,Paramètres!$A$1:$I$89,5,0)</f>
        <v>255.69647999999978</v>
      </c>
      <c r="P112" s="13">
        <f t="shared" si="87"/>
        <v>61.80415221549498</v>
      </c>
      <c r="Q112" s="20">
        <f t="shared" si="107"/>
        <v>552.98026777532004</v>
      </c>
      <c r="R112" s="59">
        <f t="shared" si="55"/>
        <v>832.70558812790932</v>
      </c>
      <c r="S112" s="59">
        <f ca="1">AVERAGE(OFFSET($R$3,0,0,'Données projet'!$E$9+1,1))-AVERAGE(OFFSET($H$3,0,0,'Données projet'!$E$9+1,1))</f>
        <v>408.51124670343137</v>
      </c>
      <c r="T112" s="59">
        <f t="shared" si="88"/>
        <v>250.47702091764884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26.061900904391269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26.061900904391269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-2.8421709430404007E-13</v>
      </c>
      <c r="AJ112" s="13">
        <f>AI112*VLOOKUP('Données projet'!$B$10,Paramètres!$A$1:$I$89,3,0)*VLOOKUP('Données projet'!$B$10,Paramètres!$A$1:$I$89,5,0)</f>
        <v>-2.2612312022829427E-13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327.22763817565902</v>
      </c>
      <c r="AO112" s="59">
        <f t="shared" si="90"/>
        <v>311.68541696405975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58.513447434675911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58.513447434675911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2.8421709430404007E-14</v>
      </c>
      <c r="BE112" s="13">
        <f>BD112*VLOOKUP('Données projet'!$B$11,Paramètres!$A$1:$I$89,3,0)*VLOOKUP('Données projet'!$B$11,Paramètres!$A$1:$I$89,5,0)</f>
        <v>1.8178525351686402E-14</v>
      </c>
      <c r="BF112" s="13">
        <f t="shared" si="91"/>
        <v>3.3304129621647644E-13</v>
      </c>
      <c r="BG112" s="20">
        <f t="shared" si="61"/>
        <v>6.1170785589788349E-13</v>
      </c>
      <c r="BH112" s="59">
        <f t="shared" si="62"/>
        <v>279.7253203525899</v>
      </c>
      <c r="BI112" s="59">
        <f ca="1">AVERAGE(OFFSET($BH$3,0,0,'Données projet'!$E$11+1,1))-AVERAGE(OFFSET($H$3,0,0,'Données projet'!$E$11+1,1))</f>
        <v>169.46470423366029</v>
      </c>
      <c r="BJ112" s="59">
        <f t="shared" si="92"/>
        <v>230.78141128389288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12.67607739975004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12.67607739975004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-1.7053025658242404E-13</v>
      </c>
      <c r="BZ112" s="13">
        <f>BY112*VLOOKUP('Données projet'!$B$12,Paramètres!$A$1:$I$89,3,0)*VLOOKUP('Données projet'!$B$12,Paramètres!$A$1:$I$89,5,0)</f>
        <v>-1.4897523215040567E-13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342.79161436526499</v>
      </c>
      <c r="CE112" s="59">
        <f t="shared" si="94"/>
        <v>315.50730924873733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68.129337595393679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68.129337595393679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-5.6843418860808015E-14</v>
      </c>
      <c r="CU112" s="17">
        <f>CT112*VLOOKUP('Données projet'!$B$13,Paramètres!$A$1:$I$89,3,0)*VLOOKUP('Données projet'!$B$13,Paramètres!$A$1:$I$89,5,0)</f>
        <v>-3.813056537183002E-14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201.84651193684252</v>
      </c>
      <c r="CZ112" s="59">
        <f t="shared" si="96"/>
        <v>138.00705940844708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55.579800249354761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55.579800249354761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1.1368683772161603E-13</v>
      </c>
      <c r="DP112" s="17">
        <f>DO112*VLOOKUP('Données projet'!$B$14,Paramètres!$A$1:$I$89,3,0)*VLOOKUP('Données projet'!$B$14,Paramètres!$A$1:$I$89,5,0)</f>
        <v>8.3355189417488869E-14</v>
      </c>
      <c r="DQ112" s="13">
        <f t="shared" si="97"/>
        <v>1.2790518435140618E-12</v>
      </c>
      <c r="DR112" s="20">
        <f t="shared" si="70"/>
        <v>2.3728589156891171E-12</v>
      </c>
      <c r="DS112" s="59">
        <f t="shared" si="71"/>
        <v>279.72532035259167</v>
      </c>
      <c r="DT112" s="59">
        <f ca="1">AVERAGE(OFFSET($DS$3,0,0,'Données projet'!$E$14+1,1))-AVERAGE(OFFSET($H$3,0,0,'Données projet'!$E$14+1,1))</f>
        <v>242.21240859696931</v>
      </c>
      <c r="DU112" s="59">
        <f t="shared" si="98"/>
        <v>340.92165104349192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23.888921503136103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23.888921503136103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1.7</v>
      </c>
      <c r="EJ112" s="12">
        <f>IF('Données projet'!$A$192&gt;35,EJ111+EI112-ER111,IF(A112&lt;'Données projet'!$A$192,$EG$205^A112,IF(A112='Données projet'!$A$192,'Données projet'!$B$192,EJ111+EI112-ER111)))</f>
        <v>217.29999999999995</v>
      </c>
      <c r="EK112" s="17">
        <f>EJ112*VLOOKUP('Données projet'!$B$15,Paramètres!$A$1:$I$89,3,0)*VLOOKUP('Données projet'!$B$15,Paramètres!$A$1:$I$89,5,0)</f>
        <v>210.17255999999995</v>
      </c>
      <c r="EL112" s="13">
        <f t="shared" si="99"/>
        <v>51.973292597026166</v>
      </c>
      <c r="EM112" s="20">
        <f t="shared" si="73"/>
        <v>456.57069327315384</v>
      </c>
      <c r="EN112" s="59">
        <f t="shared" si="74"/>
        <v>736.29601362574317</v>
      </c>
      <c r="EO112" s="59">
        <f ca="1">AVERAGE(OFFSET($EN$3,0,0,'Données projet'!$E$15+1,1))-AVERAGE(OFFSET($H$3,0,0,'Données projet'!$E$15+1,1))</f>
        <v>331.7059599630698</v>
      </c>
      <c r="EP112" s="59">
        <f t="shared" si="100"/>
        <v>173.19148969173838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8.1285636561283443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8.1285636561283443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1.7</v>
      </c>
      <c r="FE112" s="12">
        <f>IF('Données projet'!$A$218&gt;35,FE111+FD112-FM111,IF(A112&lt;'Données projet'!$A$218,$FB$205^A112,IF(A112='Données projet'!$A$218,'Données projet'!$B$218,FE111+FD112-FM111)))</f>
        <v>217.29999999999995</v>
      </c>
      <c r="FF112" s="17">
        <f>FE112*VLOOKUP('Données projet'!$B$16,Paramètres!$A$1:$I$89,3,0)*VLOOKUP('Données projet'!$B$16,Paramètres!$A$1:$I$89,5,0)</f>
        <v>233.90171999999993</v>
      </c>
      <c r="FG112" s="13">
        <f t="shared" si="101"/>
        <v>57.125496895995951</v>
      </c>
      <c r="FH112" s="20">
        <f t="shared" si="76"/>
        <v>506.87240276052609</v>
      </c>
      <c r="FI112" s="59">
        <f t="shared" si="77"/>
        <v>786.59772311311531</v>
      </c>
      <c r="FJ112" s="59">
        <f ca="1">AVERAGE(OFFSET($FI$3,0,0,'Données projet'!$E$16+1,1))-AVERAGE(OFFSET($H$3,0,0,'Données projet'!$E$16+1,1))</f>
        <v>360.86062459677004</v>
      </c>
      <c r="FK112" s="59">
        <f t="shared" si="102"/>
        <v>186.0840067781198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18.949719284327568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18.949719284327568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2.4</v>
      </c>
      <c r="FZ112" s="12">
        <f>IF('Données projet'!$A$244&gt;35,FZ111+FY112-GH111,IF(A112&lt;'Données projet'!$A$244,$FW$205^A112,IF(A112='Données projet'!$A$244,'Données projet'!$B$244,FZ111+FY112-GH111)))</f>
        <v>282.59999999999974</v>
      </c>
      <c r="GA112" s="17">
        <f>FZ112*VLOOKUP('Données projet'!$B$17,Paramètres!$A$1:$I$89,3,0)*VLOOKUP('Données projet'!$B$17,Paramètres!$A$1:$I$89,5,0)</f>
        <v>286.55639999999971</v>
      </c>
      <c r="GB112" s="13">
        <f t="shared" si="103"/>
        <v>68.350692700046267</v>
      </c>
      <c r="GC112" s="20">
        <f t="shared" si="79"/>
        <v>618.12985311924672</v>
      </c>
      <c r="GD112" s="59">
        <f t="shared" si="80"/>
        <v>897.855173471836</v>
      </c>
      <c r="GE112" s="59">
        <f ca="1">AVERAGE(OFFSET($GD$3,0,0,'Données projet'!$E$17+1,1))-AVERAGE(OFFSET($H$3,0,0,'Données projet'!$E$17+1,1))</f>
        <v>448.73339628506784</v>
      </c>
      <c r="GF112" s="59">
        <f t="shared" si="104"/>
        <v>273.35778700650803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29.207302737679882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29.207302737679882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285</v>
      </c>
      <c r="L113" s="12">
        <f>VLOOKUP(A113,'Données projet'!$A$35:$I$55,9,0)</f>
        <v>2.4</v>
      </c>
      <c r="M113" s="12">
        <f t="array" ref="M113">INDEX(L:L,MIN(IF(ISNUMBER(L113:L309),ROW(L113:L309),"")))</f>
        <v>2.4</v>
      </c>
      <c r="N113" s="13">
        <f>IF('Données projet'!$A$36&gt;35,N112+M113-V112,IF(A113&lt;'Données projet'!$A$36,$K$205^A113,IF(A113='Données projet'!$A$36,'Données projet'!$B$36,N112+M113-V112)))</f>
        <v>284.99999999999972</v>
      </c>
      <c r="O113" s="13">
        <f>N113*VLOOKUP('Données projet'!$B$9,Paramètres!$A$1:$I$89,3,0)*VLOOKUP('Données projet'!$B$9,Paramètres!$A$1:$I$89,5,0)</f>
        <v>257.86799999999971</v>
      </c>
      <c r="P113" s="13">
        <f t="shared" si="87"/>
        <v>62.267704162827471</v>
      </c>
      <c r="Q113" s="20">
        <f t="shared" si="107"/>
        <v>557.56968475025735</v>
      </c>
      <c r="R113" s="59">
        <f t="shared" si="55"/>
        <v>837.53107370510315</v>
      </c>
      <c r="S113" s="59">
        <f ca="1">AVERAGE(OFFSET($R$3,0,0,'Données projet'!$E$9+1,1))-AVERAGE(OFFSET($H$3,0,0,'Données projet'!$E$9+1,1))</f>
        <v>408.51124670343137</v>
      </c>
      <c r="T113" s="59">
        <f t="shared" si="88"/>
        <v>250.47702091764884</v>
      </c>
      <c r="U113" s="15">
        <f>IF(ISNA(VLOOKUP(A113,'Données projet'!$A$35:$I$55,3,0)),0,VLOOKUP(A113,'Données projet'!$A$35:$I$55,3,0))</f>
        <v>17</v>
      </c>
      <c r="V113" s="15">
        <f>IF(ISNA(VLOOKUP(A113,'Données projet'!$A$35:$I$55,4,0)),0,VLOOKUP(A113,'Données projet'!$A$35:$I$55,4,0))</f>
        <v>19</v>
      </c>
      <c r="W113" s="16">
        <f>IF(ISNA(VLOOKUP(A113,'Données projet'!$A$35:$I$55,5,0)),0%,VLOOKUP(A113,'Données projet'!$A$35:$I$55,5,0)*VLOOKUP('Données projet'!$B$9,Paramètres!$A$1:$I$89,7,0))</f>
        <v>0.34400000000000003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32.088343585533728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32.088343585533728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-2.8421709430404007E-13</v>
      </c>
      <c r="AJ113" s="13">
        <f>AI113*VLOOKUP('Données projet'!$B$10,Paramètres!$A$1:$I$89,3,0)*VLOOKUP('Données projet'!$B$10,Paramètres!$A$1:$I$89,5,0)</f>
        <v>-2.2612312022829427E-13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327.22763817565902</v>
      </c>
      <c r="AO113" s="59">
        <f t="shared" si="90"/>
        <v>311.68541696405975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57.366034420160787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57.366034420160787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2.8421709430404007E-14</v>
      </c>
      <c r="BE113" s="13">
        <f>BD113*VLOOKUP('Données projet'!$B$11,Paramètres!$A$1:$I$89,3,0)*VLOOKUP('Données projet'!$B$11,Paramètres!$A$1:$I$89,5,0)</f>
        <v>1.8178525351686402E-14</v>
      </c>
      <c r="BF113" s="13">
        <f t="shared" si="91"/>
        <v>3.3304129621647644E-13</v>
      </c>
      <c r="BG113" s="20">
        <f t="shared" si="61"/>
        <v>6.1170785589788349E-13</v>
      </c>
      <c r="BH113" s="59">
        <f t="shared" si="62"/>
        <v>279.96138895484648</v>
      </c>
      <c r="BI113" s="59">
        <f ca="1">AVERAGE(OFFSET($BH$3,0,0,'Données projet'!$E$11+1,1))-AVERAGE(OFFSET($H$3,0,0,'Données projet'!$E$11+1,1))</f>
        <v>169.46470423366029</v>
      </c>
      <c r="BJ113" s="59">
        <f t="shared" si="92"/>
        <v>230.78141128389288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12.42750725358472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12.42750725358472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-1.7053025658242404E-13</v>
      </c>
      <c r="BZ113" s="13">
        <f>BY113*VLOOKUP('Données projet'!$B$12,Paramètres!$A$1:$I$89,3,0)*VLOOKUP('Données projet'!$B$12,Paramètres!$A$1:$I$89,5,0)</f>
        <v>-1.4897523215040567E-13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342.79161436526499</v>
      </c>
      <c r="CE113" s="59">
        <f t="shared" si="94"/>
        <v>315.50730924873733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66.793362839940741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66.793362839940741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-5.6843418860808015E-14</v>
      </c>
      <c r="CU113" s="17">
        <f>CT113*VLOOKUP('Données projet'!$B$13,Paramètres!$A$1:$I$89,3,0)*VLOOKUP('Données projet'!$B$13,Paramètres!$A$1:$I$89,5,0)</f>
        <v>-3.813056537183002E-14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201.84651193684252</v>
      </c>
      <c r="CZ113" s="59">
        <f t="shared" si="96"/>
        <v>138.00705940844708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54.489914266795687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54.489914266795687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1.1368683772161603E-13</v>
      </c>
      <c r="DP113" s="17">
        <f>DO113*VLOOKUP('Données projet'!$B$14,Paramètres!$A$1:$I$89,3,0)*VLOOKUP('Données projet'!$B$14,Paramètres!$A$1:$I$89,5,0)</f>
        <v>8.3355189417488869E-14</v>
      </c>
      <c r="DQ113" s="13">
        <f t="shared" si="97"/>
        <v>1.2790518435140618E-12</v>
      </c>
      <c r="DR113" s="20">
        <f t="shared" si="70"/>
        <v>2.3728589156891171E-12</v>
      </c>
      <c r="DS113" s="59">
        <f t="shared" si="71"/>
        <v>279.96138895484825</v>
      </c>
      <c r="DT113" s="59">
        <f ca="1">AVERAGE(OFFSET($DS$3,0,0,'Données projet'!$E$14+1,1))-AVERAGE(OFFSET($H$3,0,0,'Données projet'!$E$14+1,1))</f>
        <v>242.21240859696931</v>
      </c>
      <c r="DU113" s="59">
        <f t="shared" si="98"/>
        <v>340.92165104349192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23.420474323262972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23.420474323262972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219</v>
      </c>
      <c r="EH113" s="12">
        <f>VLOOKUP(A113,'Données projet'!$A$191:$I$211,9,0)</f>
        <v>1.7</v>
      </c>
      <c r="EI113" s="12">
        <f t="array" ref="EI113">INDEX(EH:EH,MIN(IF(ISNUMBER(EH113:EH309),ROW(EH113:EH309),"")))</f>
        <v>1.7</v>
      </c>
      <c r="EJ113" s="12">
        <f>IF('Données projet'!$A$192&gt;35,EJ112+EI113-ER112,IF(A113&lt;'Données projet'!$A$192,$EG$205^A113,IF(A113='Données projet'!$A$192,'Données projet'!$B$192,EJ112+EI113-ER112)))</f>
        <v>218.99999999999994</v>
      </c>
      <c r="EK113" s="17">
        <f>EJ113*VLOOKUP('Données projet'!$B$15,Paramètres!$A$1:$I$89,3,0)*VLOOKUP('Données projet'!$B$15,Paramètres!$A$1:$I$89,5,0)</f>
        <v>211.81679999999997</v>
      </c>
      <c r="EL113" s="13">
        <f t="shared" si="99"/>
        <v>52.332402945946782</v>
      </c>
      <c r="EM113" s="20">
        <f t="shared" si="73"/>
        <v>460.05986179752387</v>
      </c>
      <c r="EN113" s="59">
        <f t="shared" si="74"/>
        <v>740.02125075236972</v>
      </c>
      <c r="EO113" s="59">
        <f ca="1">AVERAGE(OFFSET($EN$3,0,0,'Données projet'!$E$15+1,1))-AVERAGE(OFFSET($H$3,0,0,'Données projet'!$E$15+1,1))</f>
        <v>331.7059599630698</v>
      </c>
      <c r="EP113" s="59">
        <f t="shared" si="100"/>
        <v>173.19148969173838</v>
      </c>
      <c r="EQ113" s="15">
        <f>IF(ISNA(VLOOKUP(A113,'Données projet'!$A$191:$I$211,3,0)),0,VLOOKUP(A113,'Données projet'!$A$191:$I$211,3,0))</f>
        <v>18</v>
      </c>
      <c r="ER113" s="15">
        <f>IF(ISNA(VLOOKUP(A113,'Données projet'!$A$191:$I$211,4,0)),0,VLOOKUP(A113,'Données projet'!$A$191:$I$211,4,0))</f>
        <v>13</v>
      </c>
      <c r="ES113" s="16">
        <f>IF(ISNA(VLOOKUP(A113,'Données projet'!$A$191:$I$211,5,0)),0%,VLOOKUP(A113,'Données projet'!$A$191:$I$211,5,0)*VLOOKUP('Données projet'!$B$15,Paramètres!$A$1:$I$89,7,0))</f>
        <v>0.30099999999999999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12.152989932358688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12.152989932358688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>
        <f>VLOOKUP(A113,'Données projet'!$A$217:$I$237,2,0)</f>
        <v>219</v>
      </c>
      <c r="FC113" s="12">
        <f>VLOOKUP(A113,'Données projet'!$A$217:$I$237,9,0)</f>
        <v>1.7</v>
      </c>
      <c r="FD113" s="12">
        <f t="array" ref="FD113">INDEX(FC:FC,MIN(IF(ISNUMBER(FC113:FC309),ROW(FC113:FC309),"")))</f>
        <v>1.7</v>
      </c>
      <c r="FE113" s="12">
        <f>IF('Données projet'!$A$218&gt;35,FE112+FD113-FM112,IF(A113&lt;'Données projet'!$A$218,$FB$205^A113,IF(A113='Données projet'!$A$218,'Données projet'!$B$218,FE112+FD113-FM112)))</f>
        <v>218.99999999999994</v>
      </c>
      <c r="FF113" s="17">
        <f>FE113*VLOOKUP('Données projet'!$B$16,Paramètres!$A$1:$I$89,3,0)*VLOOKUP('Données projet'!$B$16,Paramètres!$A$1:$I$89,5,0)</f>
        <v>235.73159999999993</v>
      </c>
      <c r="FG113" s="13">
        <f t="shared" si="101"/>
        <v>57.520206488125218</v>
      </c>
      <c r="FH113" s="20">
        <f t="shared" si="76"/>
        <v>510.74689630015132</v>
      </c>
      <c r="FI113" s="59">
        <f t="shared" si="77"/>
        <v>790.70828525499724</v>
      </c>
      <c r="FJ113" s="59">
        <f ca="1">AVERAGE(OFFSET($FI$3,0,0,'Données projet'!$E$16+1,1))-AVERAGE(OFFSET($H$3,0,0,'Données projet'!$E$16+1,1))</f>
        <v>360.86062459677004</v>
      </c>
      <c r="FK113" s="59">
        <f t="shared" si="102"/>
        <v>186.0840067781198</v>
      </c>
      <c r="FL113" s="15">
        <f>IF(ISNA(VLOOKUP(A113,'Données projet'!$A$217:$I$237,3,0)),0,VLOOKUP(A113,'Données projet'!$A$217:$I$237,3,0))</f>
        <v>18</v>
      </c>
      <c r="FM113" s="15">
        <f>IF(ISNA(VLOOKUP(A113,'Données projet'!$A$217:$I$237,4,0)),0,VLOOKUP(A113,'Données projet'!$A$217:$I$237,4,0))</f>
        <v>13</v>
      </c>
      <c r="FN113" s="16">
        <f>IF(ISNA(VLOOKUP(A113,'Données projet'!$A$217:$I$237,5,0)),0%,VLOOKUP(A113,'Données projet'!$A$217:$I$237,5,0)*VLOOKUP('Données projet'!$B$16,Paramètres!$A$1:$I$89,7,0))</f>
        <v>0.30099999999999999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23.234316349928417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23.234316349928417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>
        <f>VLOOKUP(A113,'Données projet'!$A$243:$I$263,2,0)</f>
        <v>285</v>
      </c>
      <c r="FX113" s="12">
        <f>VLOOKUP(A113,'Données projet'!$A$243:$I$263,9,0)</f>
        <v>2.4</v>
      </c>
      <c r="FY113" s="12">
        <f t="array" ref="FY113">INDEX(FX:FX,MIN(IF(ISNUMBER(FX113:FX309),ROW(FX113:FX309),"")))</f>
        <v>2.4</v>
      </c>
      <c r="FZ113" s="12">
        <f>IF('Données projet'!$A$244&gt;35,FZ112+FY113-GH112,IF(A113&lt;'Données projet'!$A$244,$FW$205^A113,IF(A113='Données projet'!$A$244,'Données projet'!$B$244,FZ112+FY113-GH112)))</f>
        <v>284.99999999999972</v>
      </c>
      <c r="GA113" s="17">
        <f>FZ113*VLOOKUP('Données projet'!$B$17,Paramètres!$A$1:$I$89,3,0)*VLOOKUP('Données projet'!$B$17,Paramètres!$A$1:$I$89,5,0)</f>
        <v>288.98999999999972</v>
      </c>
      <c r="GB113" s="13">
        <f t="shared" si="103"/>
        <v>68.863345904836791</v>
      </c>
      <c r="GC113" s="20">
        <f t="shared" si="79"/>
        <v>623.26124411759019</v>
      </c>
      <c r="GD113" s="59">
        <f t="shared" si="80"/>
        <v>903.22263307243611</v>
      </c>
      <c r="GE113" s="59">
        <f ca="1">AVERAGE(OFFSET($GD$3,0,0,'Données projet'!$E$17+1,1))-AVERAGE(OFFSET($H$3,0,0,'Données projet'!$E$17+1,1))</f>
        <v>448.73339628506784</v>
      </c>
      <c r="GF113" s="59">
        <f t="shared" si="104"/>
        <v>273.35778700650803</v>
      </c>
      <c r="GG113" s="15">
        <f>IF(ISNA(VLOOKUP(A113,'Données projet'!$A$243:$I$263,3,0)),0,VLOOKUP(A113,'Données projet'!$A$243:$I$263,3,0))</f>
        <v>17</v>
      </c>
      <c r="GH113" s="15">
        <f>IF(ISNA(VLOOKUP(A113,'Données projet'!$A$243:$I$263,4,0)),0,VLOOKUP(A113,'Données projet'!$A$243:$I$263,4,0))</f>
        <v>19</v>
      </c>
      <c r="GI113" s="16">
        <f>IF(ISNA(VLOOKUP(A113,'Données projet'!$A$243:$I$263,5,0)),0%,VLOOKUP(A113,'Données projet'!$A$243:$I$263,5,0)*VLOOKUP('Données projet'!$B$17,Paramètres!$A$1:$I$89,7,0))</f>
        <v>0.34400000000000003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35.961074707925739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35.961074707925739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1.9</v>
      </c>
      <c r="N114" s="13">
        <f>IF('Données projet'!$A$36&gt;35,N113+M114-V113,IF(A114&lt;'Données projet'!$A$36,$K$205^A114,IF(A114='Données projet'!$A$36,'Données projet'!$B$36,N113+M114-V113)))</f>
        <v>267.89999999999969</v>
      </c>
      <c r="O114" s="13">
        <f>N114*VLOOKUP('Données projet'!$B$9,Paramètres!$A$1:$I$89,3,0)*VLOOKUP('Données projet'!$B$9,Paramètres!$A$1:$I$89,5,0)</f>
        <v>242.39591999999971</v>
      </c>
      <c r="P114" s="13">
        <f t="shared" si="87"/>
        <v>58.954725941114695</v>
      </c>
      <c r="Q114" s="20">
        <f t="shared" si="107"/>
        <v>524.85237501410757</v>
      </c>
      <c r="R114" s="59">
        <f t="shared" si="55"/>
        <v>805.04573730873108</v>
      </c>
      <c r="S114" s="59">
        <f ca="1">AVERAGE(OFFSET($R$3,0,0,'Données projet'!$E$9+1,1))-AVERAGE(OFFSET($H$3,0,0,'Données projet'!$E$9+1,1))</f>
        <v>408.51124670343137</v>
      </c>
      <c r="T114" s="59">
        <f t="shared" si="88"/>
        <v>250.47702091764884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31.459110739778428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31.459110739778428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-2.8421709430404007E-13</v>
      </c>
      <c r="AJ114" s="13">
        <f>AI114*VLOOKUP('Données projet'!$B$10,Paramètres!$A$1:$I$89,3,0)*VLOOKUP('Données projet'!$B$10,Paramètres!$A$1:$I$89,5,0)</f>
        <v>-2.2612312022829427E-13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327.22763817565902</v>
      </c>
      <c r="AO114" s="59">
        <f t="shared" si="90"/>
        <v>311.68541696405975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56.241121475007475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56.241121475007475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2.8421709430404007E-14</v>
      </c>
      <c r="BE114" s="13">
        <f>BD114*VLOOKUP('Données projet'!$B$11,Paramètres!$A$1:$I$89,3,0)*VLOOKUP('Données projet'!$B$11,Paramètres!$A$1:$I$89,5,0)</f>
        <v>1.8178525351686402E-14</v>
      </c>
      <c r="BF114" s="13">
        <f t="shared" si="91"/>
        <v>3.3304129621647644E-13</v>
      </c>
      <c r="BG114" s="20">
        <f t="shared" si="61"/>
        <v>6.1170785589788349E-13</v>
      </c>
      <c r="BH114" s="59">
        <f t="shared" si="62"/>
        <v>280.19336229462419</v>
      </c>
      <c r="BI114" s="59">
        <f ca="1">AVERAGE(OFFSET($BH$3,0,0,'Données projet'!$E$11+1,1))-AVERAGE(OFFSET($H$3,0,0,'Données projet'!$E$11+1,1))</f>
        <v>169.46470423366029</v>
      </c>
      <c r="BJ114" s="59">
        <f t="shared" si="92"/>
        <v>230.78141128389288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12.183811416372881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12.183811416372881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-1.7053025658242404E-13</v>
      </c>
      <c r="BZ114" s="13">
        <f>BY114*VLOOKUP('Données projet'!$B$12,Paramètres!$A$1:$I$89,3,0)*VLOOKUP('Données projet'!$B$12,Paramètres!$A$1:$I$89,5,0)</f>
        <v>-1.4897523215040567E-13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342.79161436526499</v>
      </c>
      <c r="CE114" s="59">
        <f t="shared" si="94"/>
        <v>315.50730924873733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65.483585734578099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65.483585734578099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-5.6843418860808015E-14</v>
      </c>
      <c r="CU114" s="17">
        <f>CT114*VLOOKUP('Données projet'!$B$13,Paramètres!$A$1:$I$89,3,0)*VLOOKUP('Données projet'!$B$13,Paramètres!$A$1:$I$89,5,0)</f>
        <v>-3.813056537183002E-14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201.84651193684252</v>
      </c>
      <c r="CZ114" s="59">
        <f t="shared" si="96"/>
        <v>138.00705940844708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53.421400283589783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53.421400283589783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1.1368683772161603E-13</v>
      </c>
      <c r="DP114" s="17">
        <f>DO114*VLOOKUP('Données projet'!$B$14,Paramètres!$A$1:$I$89,3,0)*VLOOKUP('Données projet'!$B$14,Paramètres!$A$1:$I$89,5,0)</f>
        <v>8.3355189417488869E-14</v>
      </c>
      <c r="DQ114" s="13">
        <f t="shared" si="97"/>
        <v>1.2790518435140618E-12</v>
      </c>
      <c r="DR114" s="20">
        <f t="shared" si="70"/>
        <v>2.3728589156891171E-12</v>
      </c>
      <c r="DS114" s="59">
        <f t="shared" si="71"/>
        <v>280.19336229462596</v>
      </c>
      <c r="DT114" s="59">
        <f ca="1">AVERAGE(OFFSET($DS$3,0,0,'Données projet'!$E$14+1,1))-AVERAGE(OFFSET($H$3,0,0,'Données projet'!$E$14+1,1))</f>
        <v>242.21240859696931</v>
      </c>
      <c r="DU114" s="59">
        <f t="shared" si="98"/>
        <v>340.92165104349192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22.961213106862587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22.961213106862587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1.5</v>
      </c>
      <c r="EJ114" s="12">
        <f>IF('Données projet'!$A$192&gt;35,EJ113+EI114-ER113,IF(A114&lt;'Données projet'!$A$192,$EG$205^A114,IF(A114='Données projet'!$A$192,'Données projet'!$B$192,EJ113+EI114-ER113)))</f>
        <v>207.49999999999994</v>
      </c>
      <c r="EK114" s="17">
        <f>EJ114*VLOOKUP('Données projet'!$B$15,Paramètres!$A$1:$I$89,3,0)*VLOOKUP('Données projet'!$B$15,Paramètres!$A$1:$I$89,5,0)</f>
        <v>200.69399999999996</v>
      </c>
      <c r="EL114" s="13">
        <f t="shared" si="99"/>
        <v>49.896657157731141</v>
      </c>
      <c r="EM114" s="20">
        <f t="shared" si="73"/>
        <v>436.44539454971499</v>
      </c>
      <c r="EN114" s="59">
        <f t="shared" si="74"/>
        <v>716.63875684433856</v>
      </c>
      <c r="EO114" s="59">
        <f ca="1">AVERAGE(OFFSET($EN$3,0,0,'Données projet'!$E$15+1,1))-AVERAGE(OFFSET($H$3,0,0,'Données projet'!$E$15+1,1))</f>
        <v>331.7059599630698</v>
      </c>
      <c r="EP114" s="59">
        <f t="shared" si="100"/>
        <v>173.19148969173838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11.914677212377059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11.914677212377059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1.5</v>
      </c>
      <c r="FE114" s="12">
        <f>IF('Données projet'!$A$218&gt;35,FE113+FD114-FM113,IF(A114&lt;'Données projet'!$A$218,$FB$205^A114,IF(A114='Données projet'!$A$218,'Données projet'!$B$218,FE113+FD114-FM113)))</f>
        <v>207.49999999999994</v>
      </c>
      <c r="FF114" s="17">
        <f>FE114*VLOOKUP('Données projet'!$B$16,Paramètres!$A$1:$I$89,3,0)*VLOOKUP('Données projet'!$B$16,Paramètres!$A$1:$I$89,5,0)</f>
        <v>223.35299999999992</v>
      </c>
      <c r="FG114" s="13">
        <f t="shared" si="101"/>
        <v>54.843000917506586</v>
      </c>
      <c r="FH114" s="20">
        <f t="shared" si="76"/>
        <v>484.52470159799054</v>
      </c>
      <c r="FI114" s="59">
        <f t="shared" si="77"/>
        <v>764.71806389261405</v>
      </c>
      <c r="FJ114" s="59">
        <f ca="1">AVERAGE(OFFSET($FI$3,0,0,'Données projet'!$E$16+1,1))-AVERAGE(OFFSET($H$3,0,0,'Données projet'!$E$16+1,1))</f>
        <v>360.86062459677004</v>
      </c>
      <c r="FK114" s="59">
        <f t="shared" si="102"/>
        <v>186.0840067781198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22.778705577839972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22.778705577839972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1.9</v>
      </c>
      <c r="FZ114" s="12">
        <f>IF('Données projet'!$A$244&gt;35,FZ113+FY114-GH113,IF(A114&lt;'Données projet'!$A$244,$FW$205^A114,IF(A114='Données projet'!$A$244,'Données projet'!$B$244,FZ113+FY114-GH113)))</f>
        <v>267.89999999999969</v>
      </c>
      <c r="GA114" s="17">
        <f>FZ114*VLOOKUP('Données projet'!$B$17,Paramètres!$A$1:$I$89,3,0)*VLOOKUP('Données projet'!$B$17,Paramètres!$A$1:$I$89,5,0)</f>
        <v>271.65059999999971</v>
      </c>
      <c r="GB114" s="13">
        <f t="shared" si="103"/>
        <v>65.199443913839758</v>
      </c>
      <c r="GC114" s="20">
        <f t="shared" si="79"/>
        <v>586.68049314993721</v>
      </c>
      <c r="GD114" s="59">
        <f t="shared" si="80"/>
        <v>866.87385544456083</v>
      </c>
      <c r="GE114" s="59">
        <f ca="1">AVERAGE(OFFSET($GD$3,0,0,'Données projet'!$E$17+1,1))-AVERAGE(OFFSET($H$3,0,0,'Données projet'!$E$17+1,1))</f>
        <v>448.73339628506784</v>
      </c>
      <c r="GF114" s="59">
        <f t="shared" si="104"/>
        <v>273.35778700650803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35.255899966993077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35.255899966993077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1.9</v>
      </c>
      <c r="N115" s="13">
        <f>IF('Données projet'!$A$36&gt;35,N114+M115-V114,IF(A115&lt;'Données projet'!$A$36,$K$205^A115,IF(A115='Données projet'!$A$36,'Données projet'!$B$36,N114+M115-V114)))</f>
        <v>269.79999999999967</v>
      </c>
      <c r="O115" s="13">
        <f>N115*VLOOKUP('Données projet'!$B$9,Paramètres!$A$1:$I$89,3,0)*VLOOKUP('Données projet'!$B$9,Paramètres!$A$1:$I$89,5,0)</f>
        <v>244.11503999999971</v>
      </c>
      <c r="P115" s="13">
        <f t="shared" si="87"/>
        <v>59.324023461758955</v>
      </c>
      <c r="Q115" s="20">
        <f t="shared" si="107"/>
        <v>528.48970219589626</v>
      </c>
      <c r="R115" s="59">
        <f t="shared" si="55"/>
        <v>808.91101361146707</v>
      </c>
      <c r="S115" s="59">
        <f ca="1">AVERAGE(OFFSET($R$3,0,0,'Données projet'!$E$9+1,1))-AVERAGE(OFFSET($H$3,0,0,'Données projet'!$E$9+1,1))</f>
        <v>408.51124670343137</v>
      </c>
      <c r="T115" s="59">
        <f t="shared" si="88"/>
        <v>250.47702091764884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30.84221676633425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30.84221676633425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-2.8421709430404007E-13</v>
      </c>
      <c r="AJ115" s="13">
        <f>AI115*VLOOKUP('Données projet'!$B$10,Paramètres!$A$1:$I$89,3,0)*VLOOKUP('Données projet'!$B$10,Paramètres!$A$1:$I$89,5,0)</f>
        <v>-2.2612312022829427E-13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327.22763817565902</v>
      </c>
      <c r="AO115" s="59">
        <f t="shared" si="90"/>
        <v>311.68541696405975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55.138267386579471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55.138267386579471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2.8421709430404007E-14</v>
      </c>
      <c r="BE115" s="13">
        <f>BD115*VLOOKUP('Données projet'!$B$11,Paramètres!$A$1:$I$89,3,0)*VLOOKUP('Données projet'!$B$11,Paramètres!$A$1:$I$89,5,0)</f>
        <v>1.8178525351686402E-14</v>
      </c>
      <c r="BF115" s="13">
        <f t="shared" si="91"/>
        <v>3.3304129621647644E-13</v>
      </c>
      <c r="BG115" s="20">
        <f t="shared" si="61"/>
        <v>6.1170785589788349E-13</v>
      </c>
      <c r="BH115" s="59">
        <f t="shared" si="62"/>
        <v>280.42131141557149</v>
      </c>
      <c r="BI115" s="59">
        <f ca="1">AVERAGE(OFFSET($BH$3,0,0,'Données projet'!$E$11+1,1))-AVERAGE(OFFSET($H$3,0,0,'Données projet'!$E$11+1,1))</f>
        <v>169.46470423366029</v>
      </c>
      <c r="BJ115" s="59">
        <f t="shared" si="92"/>
        <v>230.78141128389288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11.944894305888985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11.944894305888985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-1.7053025658242404E-13</v>
      </c>
      <c r="BZ115" s="13">
        <f>BY115*VLOOKUP('Données projet'!$B$12,Paramètres!$A$1:$I$89,3,0)*VLOOKUP('Données projet'!$B$12,Paramètres!$A$1:$I$89,5,0)</f>
        <v>-1.4897523215040567E-13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342.79161436526499</v>
      </c>
      <c r="CE115" s="59">
        <f t="shared" si="94"/>
        <v>315.50730924873733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64.199492559366476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64.199492559366476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-5.6843418860808015E-14</v>
      </c>
      <c r="CU115" s="17">
        <f>CT115*VLOOKUP('Données projet'!$B$13,Paramètres!$A$1:$I$89,3,0)*VLOOKUP('Données projet'!$B$13,Paramètres!$A$1:$I$89,5,0)</f>
        <v>-3.813056537183002E-14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201.84651193684252</v>
      </c>
      <c r="CZ115" s="59">
        <f t="shared" si="96"/>
        <v>138.00705940844708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52.373839207865373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52.373839207865373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1.1368683772161603E-13</v>
      </c>
      <c r="DP115" s="17">
        <f>DO115*VLOOKUP('Données projet'!$B$14,Paramètres!$A$1:$I$89,3,0)*VLOOKUP('Données projet'!$B$14,Paramètres!$A$1:$I$89,5,0)</f>
        <v>8.3355189417488869E-14</v>
      </c>
      <c r="DQ115" s="13">
        <f t="shared" si="97"/>
        <v>1.2790518435140618E-12</v>
      </c>
      <c r="DR115" s="20">
        <f t="shared" si="70"/>
        <v>2.3728589156891171E-12</v>
      </c>
      <c r="DS115" s="59">
        <f t="shared" si="71"/>
        <v>280.42131141557326</v>
      </c>
      <c r="DT115" s="59">
        <f ca="1">AVERAGE(OFFSET($DS$3,0,0,'Données projet'!$E$14+1,1))-AVERAGE(OFFSET($H$3,0,0,'Données projet'!$E$14+1,1))</f>
        <v>242.21240859696931</v>
      </c>
      <c r="DU115" s="59">
        <f t="shared" si="98"/>
        <v>340.92165104349192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22.510957722794132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22.510957722794132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1.5</v>
      </c>
      <c r="EJ115" s="12">
        <f>IF('Données projet'!$A$192&gt;35,EJ114+EI115-ER114,IF(A115&lt;'Données projet'!$A$192,$EG$205^A115,IF(A115='Données projet'!$A$192,'Données projet'!$B$192,EJ114+EI115-ER114)))</f>
        <v>208.99999999999994</v>
      </c>
      <c r="EK115" s="17">
        <f>EJ115*VLOOKUP('Données projet'!$B$15,Paramètres!$A$1:$I$89,3,0)*VLOOKUP('Données projet'!$B$15,Paramètres!$A$1:$I$89,5,0)</f>
        <v>202.14479999999995</v>
      </c>
      <c r="EL115" s="13">
        <f t="shared" si="99"/>
        <v>50.215236821738628</v>
      </c>
      <c r="EM115" s="20">
        <f t="shared" si="73"/>
        <v>439.52706413119466</v>
      </c>
      <c r="EN115" s="59">
        <f t="shared" si="74"/>
        <v>719.94837554676553</v>
      </c>
      <c r="EO115" s="59">
        <f ca="1">AVERAGE(OFFSET($EN$3,0,0,'Données projet'!$E$15+1,1))-AVERAGE(OFFSET($H$3,0,0,'Données projet'!$E$15+1,1))</f>
        <v>331.7059599630698</v>
      </c>
      <c r="EP115" s="59">
        <f t="shared" si="100"/>
        <v>173.19148969173838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11.681037659477864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11.681037659477864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1.5</v>
      </c>
      <c r="FE115" s="12">
        <f>IF('Données projet'!$A$218&gt;35,FE114+FD115-FM114,IF(A115&lt;'Données projet'!$A$218,$FB$205^A115,IF(A115='Données projet'!$A$218,'Données projet'!$B$218,FE114+FD115-FM114)))</f>
        <v>208.99999999999994</v>
      </c>
      <c r="FF115" s="17">
        <f>FE115*VLOOKUP('Données projet'!$B$16,Paramètres!$A$1:$I$89,3,0)*VLOOKUP('Données projet'!$B$16,Paramètres!$A$1:$I$89,5,0)</f>
        <v>224.96759999999992</v>
      </c>
      <c r="FG115" s="13">
        <f t="shared" si="101"/>
        <v>55.193161946335238</v>
      </c>
      <c r="FH115" s="20">
        <f t="shared" si="76"/>
        <v>487.94666038986696</v>
      </c>
      <c r="FI115" s="59">
        <f t="shared" si="77"/>
        <v>768.36797180543783</v>
      </c>
      <c r="FJ115" s="59">
        <f ca="1">AVERAGE(OFFSET($FI$3,0,0,'Données projet'!$E$16+1,1))-AVERAGE(OFFSET($H$3,0,0,'Données projet'!$E$16+1,1))</f>
        <v>360.86062459677004</v>
      </c>
      <c r="FK115" s="59">
        <f t="shared" si="102"/>
        <v>186.0840067781198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22.332029055097049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22.332029055097049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1.9</v>
      </c>
      <c r="FZ115" s="12">
        <f>IF('Données projet'!$A$244&gt;35,FZ114+FY115-GH114,IF(A115&lt;'Données projet'!$A$244,$FW$205^A115,IF(A115='Données projet'!$A$244,'Données projet'!$B$244,FZ114+FY115-GH114)))</f>
        <v>269.79999999999967</v>
      </c>
      <c r="GA115" s="17">
        <f>FZ115*VLOOKUP('Données projet'!$B$17,Paramètres!$A$1:$I$89,3,0)*VLOOKUP('Données projet'!$B$17,Paramètres!$A$1:$I$89,5,0)</f>
        <v>273.57719999999972</v>
      </c>
      <c r="GB115" s="13">
        <f t="shared" si="103"/>
        <v>65.607858889914979</v>
      </c>
      <c r="GC115" s="20">
        <f t="shared" si="79"/>
        <v>590.74731089993463</v>
      </c>
      <c r="GD115" s="59">
        <f t="shared" si="80"/>
        <v>871.16862231550544</v>
      </c>
      <c r="GE115" s="59">
        <f ca="1">AVERAGE(OFFSET($GD$3,0,0,'Données projet'!$E$17+1,1))-AVERAGE(OFFSET($H$3,0,0,'Données projet'!$E$17+1,1))</f>
        <v>448.73339628506784</v>
      </c>
      <c r="GF115" s="59">
        <f t="shared" si="104"/>
        <v>273.35778700650803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34.564553272615981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34.564553272615981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1.9</v>
      </c>
      <c r="N116" s="13">
        <f>IF('Données projet'!$A$36&gt;35,N115+M116-V115,IF(A116&lt;'Données projet'!$A$36,$K$205^A116,IF(A116='Données projet'!$A$36,'Données projet'!$B$36,N115+M116-V115)))</f>
        <v>271.69999999999965</v>
      </c>
      <c r="O116" s="13">
        <f>N116*VLOOKUP('Données projet'!$B$9,Paramètres!$A$1:$I$89,3,0)*VLOOKUP('Données projet'!$B$9,Paramètres!$A$1:$I$89,5,0)</f>
        <v>245.83415999999968</v>
      </c>
      <c r="P116" s="13">
        <f t="shared" si="87"/>
        <v>59.693018383856781</v>
      </c>
      <c r="Q116" s="20">
        <f t="shared" si="107"/>
        <v>532.12650235188346</v>
      </c>
      <c r="R116" s="59">
        <f t="shared" si="55"/>
        <v>812.77180848077114</v>
      </c>
      <c r="S116" s="59">
        <f ca="1">AVERAGE(OFFSET($R$3,0,0,'Données projet'!$E$9+1,1))-AVERAGE(OFFSET($H$3,0,0,'Données projet'!$E$9+1,1))</f>
        <v>408.51124670343137</v>
      </c>
      <c r="T116" s="59">
        <f t="shared" si="88"/>
        <v>250.47702091764884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30.237419707441141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30.237419707441141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-2.8421709430404007E-13</v>
      </c>
      <c r="AJ116" s="13">
        <f>AI116*VLOOKUP('Données projet'!$B$10,Paramètres!$A$1:$I$89,3,0)*VLOOKUP('Données projet'!$B$10,Paramètres!$A$1:$I$89,5,0)</f>
        <v>-2.2612312022829427E-13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327.22763817565902</v>
      </c>
      <c r="AO116" s="59">
        <f t="shared" si="90"/>
        <v>311.68541696405975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54.057039594150964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54.057039594150964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2.8421709430404007E-14</v>
      </c>
      <c r="BE116" s="13">
        <f>BD116*VLOOKUP('Données projet'!$B$11,Paramètres!$A$1:$I$89,3,0)*VLOOKUP('Données projet'!$B$11,Paramètres!$A$1:$I$89,5,0)</f>
        <v>1.8178525351686402E-14</v>
      </c>
      <c r="BF116" s="13">
        <f t="shared" si="91"/>
        <v>3.3304129621647644E-13</v>
      </c>
      <c r="BG116" s="20">
        <f t="shared" si="61"/>
        <v>6.1170785589788349E-13</v>
      </c>
      <c r="BH116" s="59">
        <f t="shared" si="62"/>
        <v>280.64530612888825</v>
      </c>
      <c r="BI116" s="59">
        <f ca="1">AVERAGE(OFFSET($BH$3,0,0,'Données projet'!$E$11+1,1))-AVERAGE(OFFSET($H$3,0,0,'Données projet'!$E$11+1,1))</f>
        <v>169.46470423366029</v>
      </c>
      <c r="BJ116" s="59">
        <f t="shared" si="92"/>
        <v>230.78141128389288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11.710662214216629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11.710662214216629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-1.7053025658242404E-13</v>
      </c>
      <c r="BZ116" s="13">
        <f>BY116*VLOOKUP('Données projet'!$B$12,Paramètres!$A$1:$I$89,3,0)*VLOOKUP('Données projet'!$B$12,Paramètres!$A$1:$I$89,5,0)</f>
        <v>-1.4897523215040567E-13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342.79161436526499</v>
      </c>
      <c r="CE116" s="59">
        <f t="shared" si="94"/>
        <v>315.50730924873733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62.940579668101243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62.940579668101243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-5.6843418860808015E-14</v>
      </c>
      <c r="CU116" s="17">
        <f>CT116*VLOOKUP('Données projet'!$B$13,Paramètres!$A$1:$I$89,3,0)*VLOOKUP('Données projet'!$B$13,Paramètres!$A$1:$I$89,5,0)</f>
        <v>-3.813056537183002E-14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201.84651193684252</v>
      </c>
      <c r="CZ116" s="59">
        <f t="shared" si="96"/>
        <v>138.00705940844708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51.346820165886754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51.346820165886754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1.1368683772161603E-13</v>
      </c>
      <c r="DP116" s="17">
        <f>DO116*VLOOKUP('Données projet'!$B$14,Paramètres!$A$1:$I$89,3,0)*VLOOKUP('Données projet'!$B$14,Paramètres!$A$1:$I$89,5,0)</f>
        <v>8.3355189417488869E-14</v>
      </c>
      <c r="DQ116" s="13">
        <f t="shared" si="97"/>
        <v>1.2790518435140618E-12</v>
      </c>
      <c r="DR116" s="20">
        <f t="shared" si="70"/>
        <v>2.3728589156891171E-12</v>
      </c>
      <c r="DS116" s="59">
        <f t="shared" si="71"/>
        <v>280.64530612889001</v>
      </c>
      <c r="DT116" s="59">
        <f ca="1">AVERAGE(OFFSET($DS$3,0,0,'Données projet'!$E$14+1,1))-AVERAGE(OFFSET($H$3,0,0,'Données projet'!$E$14+1,1))</f>
        <v>242.21240859696931</v>
      </c>
      <c r="DU116" s="59">
        <f t="shared" si="98"/>
        <v>340.92165104349192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22.069531572178594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22.069531572178594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1.5</v>
      </c>
      <c r="EJ116" s="12">
        <f>IF('Données projet'!$A$192&gt;35,EJ115+EI116-ER115,IF(A116&lt;'Données projet'!$A$192,$EG$205^A116,IF(A116='Données projet'!$A$192,'Données projet'!$B$192,EJ115+EI116-ER115)))</f>
        <v>210.49999999999994</v>
      </c>
      <c r="EK116" s="17">
        <f>EJ116*VLOOKUP('Données projet'!$B$15,Paramètres!$A$1:$I$89,3,0)*VLOOKUP('Données projet'!$B$15,Paramètres!$A$1:$I$89,5,0)</f>
        <v>203.59559999999996</v>
      </c>
      <c r="EL116" s="13">
        <f t="shared" si="99"/>
        <v>50.533550450883013</v>
      </c>
      <c r="EM116" s="20">
        <f t="shared" si="73"/>
        <v>442.60827036862116</v>
      </c>
      <c r="EN116" s="59">
        <f t="shared" si="74"/>
        <v>723.25357649750879</v>
      </c>
      <c r="EO116" s="59">
        <f ca="1">AVERAGE(OFFSET($EN$3,0,0,'Données projet'!$E$15+1,1))-AVERAGE(OFFSET($H$3,0,0,'Données projet'!$E$15+1,1))</f>
        <v>331.7059599630698</v>
      </c>
      <c r="EP116" s="59">
        <f t="shared" si="100"/>
        <v>173.19148969173838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11.451979635704967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11.451979635704967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1.5</v>
      </c>
      <c r="FE116" s="12">
        <f>IF('Données projet'!$A$218&gt;35,FE115+FD116-FM115,IF(A116&lt;'Données projet'!$A$218,$FB$205^A116,IF(A116='Données projet'!$A$218,'Données projet'!$B$218,FE115+FD116-FM115)))</f>
        <v>210.49999999999994</v>
      </c>
      <c r="FF116" s="17">
        <f>FE116*VLOOKUP('Données projet'!$B$16,Paramètres!$A$1:$I$89,3,0)*VLOOKUP('Données projet'!$B$16,Paramètres!$A$1:$I$89,5,0)</f>
        <v>226.58219999999992</v>
      </c>
      <c r="FG116" s="13">
        <f t="shared" si="101"/>
        <v>55.543030567794936</v>
      </c>
      <c r="FH116" s="20">
        <f t="shared" si="76"/>
        <v>491.36810990557598</v>
      </c>
      <c r="FI116" s="59">
        <f t="shared" si="77"/>
        <v>772.0134160344636</v>
      </c>
      <c r="FJ116" s="59">
        <f ca="1">AVERAGE(OFFSET($FI$3,0,0,'Données projet'!$E$16+1,1))-AVERAGE(OFFSET($H$3,0,0,'Données projet'!$E$16+1,1))</f>
        <v>360.86062459677004</v>
      </c>
      <c r="FK116" s="59">
        <f t="shared" si="102"/>
        <v>186.0840067781198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21.894111586519337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21.894111586519337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1.9</v>
      </c>
      <c r="FZ116" s="12">
        <f>IF('Données projet'!$A$244&gt;35,FZ115+FY116-GH115,IF(A116&lt;'Données projet'!$A$244,$FW$205^A116,IF(A116='Données projet'!$A$244,'Données projet'!$B$244,FZ115+FY116-GH115)))</f>
        <v>271.69999999999965</v>
      </c>
      <c r="GA116" s="17">
        <f>FZ116*VLOOKUP('Données projet'!$B$17,Paramètres!$A$1:$I$89,3,0)*VLOOKUP('Données projet'!$B$17,Paramètres!$A$1:$I$89,5,0)</f>
        <v>275.50379999999967</v>
      </c>
      <c r="GB116" s="13">
        <f t="shared" si="103"/>
        <v>66.015939215007819</v>
      </c>
      <c r="GC116" s="20">
        <f t="shared" si="79"/>
        <v>594.81354579947129</v>
      </c>
      <c r="GD116" s="59">
        <f t="shared" si="80"/>
        <v>875.45885192835885</v>
      </c>
      <c r="GE116" s="59">
        <f ca="1">AVERAGE(OFFSET($GD$3,0,0,'Données projet'!$E$17+1,1))-AVERAGE(OFFSET($H$3,0,0,'Données projet'!$E$17+1,1))</f>
        <v>448.73339628506784</v>
      </c>
      <c r="GF116" s="59">
        <f t="shared" si="104"/>
        <v>273.35778700650803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33.886763465235774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33.886763465235774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1.9</v>
      </c>
      <c r="N117" s="13">
        <f>IF('Données projet'!$A$36&gt;35,N116+M117-V116,IF(A117&lt;'Données projet'!$A$36,$K$205^A117,IF(A117='Données projet'!$A$36,'Données projet'!$B$36,N116+M117-V116)))</f>
        <v>273.59999999999962</v>
      </c>
      <c r="O117" s="13">
        <f>N117*VLOOKUP('Données projet'!$B$9,Paramètres!$A$1:$I$89,3,0)*VLOOKUP('Données projet'!$B$9,Paramètres!$A$1:$I$89,5,0)</f>
        <v>247.55327999999963</v>
      </c>
      <c r="P117" s="13">
        <f t="shared" si="87"/>
        <v>60.061713068870198</v>
      </c>
      <c r="Q117" s="20">
        <f t="shared" si="107"/>
        <v>535.76277959494826</v>
      </c>
      <c r="R117" s="59">
        <f t="shared" si="55"/>
        <v>816.62819462965376</v>
      </c>
      <c r="S117" s="59">
        <f ca="1">AVERAGE(OFFSET($R$3,0,0,'Données projet'!$E$9+1,1))-AVERAGE(OFFSET($H$3,0,0,'Données projet'!$E$9+1,1))</f>
        <v>408.51124670343137</v>
      </c>
      <c r="T117" s="59">
        <f t="shared" si="88"/>
        <v>250.47702091764884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29.644482349983146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29.644482349983146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-2.8421709430404007E-13</v>
      </c>
      <c r="AJ117" s="13">
        <f>AI117*VLOOKUP('Données projet'!$B$10,Paramètres!$A$1:$I$89,3,0)*VLOOKUP('Données projet'!$B$10,Paramètres!$A$1:$I$89,5,0)</f>
        <v>-2.2612312022829427E-13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327.22763817565902</v>
      </c>
      <c r="AO117" s="59">
        <f t="shared" si="90"/>
        <v>311.68541696405975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52.997014019248148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52.997014019248148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2.8421709430404007E-14</v>
      </c>
      <c r="BE117" s="13">
        <f>BD117*VLOOKUP('Données projet'!$B$11,Paramètres!$A$1:$I$89,3,0)*VLOOKUP('Données projet'!$B$11,Paramètres!$A$1:$I$89,5,0)</f>
        <v>1.8178525351686402E-14</v>
      </c>
      <c r="BF117" s="13">
        <f t="shared" si="91"/>
        <v>3.3304129621647644E-13</v>
      </c>
      <c r="BG117" s="20">
        <f t="shared" si="61"/>
        <v>6.1170785589788349E-13</v>
      </c>
      <c r="BH117" s="59">
        <f t="shared" si="62"/>
        <v>280.86541503470607</v>
      </c>
      <c r="BI117" s="59">
        <f ca="1">AVERAGE(OFFSET($BH$3,0,0,'Données projet'!$E$11+1,1))-AVERAGE(OFFSET($H$3,0,0,'Données projet'!$E$11+1,1))</f>
        <v>169.46470423366029</v>
      </c>
      <c r="BJ117" s="59">
        <f t="shared" si="92"/>
        <v>230.78141128389288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11.481023270994498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11.481023270994498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-1.7053025658242404E-13</v>
      </c>
      <c r="BZ117" s="13">
        <f>BY117*VLOOKUP('Données projet'!$B$12,Paramètres!$A$1:$I$89,3,0)*VLOOKUP('Données projet'!$B$12,Paramètres!$A$1:$I$89,5,0)</f>
        <v>-1.4897523215040567E-13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342.79161436526499</v>
      </c>
      <c r="CE117" s="59">
        <f t="shared" si="94"/>
        <v>315.50730924873733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61.706353290772682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61.706353290772682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-5.6843418860808015E-14</v>
      </c>
      <c r="CU117" s="17">
        <f>CT117*VLOOKUP('Données projet'!$B$13,Paramètres!$A$1:$I$89,3,0)*VLOOKUP('Données projet'!$B$13,Paramètres!$A$1:$I$89,5,0)</f>
        <v>-3.813056537183002E-14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201.84651193684252</v>
      </c>
      <c r="CZ117" s="59">
        <f t="shared" si="96"/>
        <v>138.00705940844708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50.339940340901578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50.339940340901578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1.1368683772161603E-13</v>
      </c>
      <c r="DP117" s="17">
        <f>DO117*VLOOKUP('Données projet'!$B$14,Paramètres!$A$1:$I$89,3,0)*VLOOKUP('Données projet'!$B$14,Paramètres!$A$1:$I$89,5,0)</f>
        <v>8.3355189417488869E-14</v>
      </c>
      <c r="DQ117" s="13">
        <f t="shared" si="97"/>
        <v>1.2790518435140618E-12</v>
      </c>
      <c r="DR117" s="20">
        <f t="shared" si="70"/>
        <v>2.3728589156891171E-12</v>
      </c>
      <c r="DS117" s="59">
        <f t="shared" si="71"/>
        <v>280.86541503470784</v>
      </c>
      <c r="DT117" s="59">
        <f ca="1">AVERAGE(OFFSET($DS$3,0,0,'Données projet'!$E$14+1,1))-AVERAGE(OFFSET($H$3,0,0,'Données projet'!$E$14+1,1))</f>
        <v>242.21240859696931</v>
      </c>
      <c r="DU117" s="59">
        <f t="shared" si="98"/>
        <v>340.92165104349192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21.636761519133259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21.636761519133259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1.5</v>
      </c>
      <c r="EJ117" s="12">
        <f>IF('Données projet'!$A$192&gt;35,EJ116+EI117-ER116,IF(A117&lt;'Données projet'!$A$192,$EG$205^A117,IF(A117='Données projet'!$A$192,'Données projet'!$B$192,EJ116+EI117-ER116)))</f>
        <v>211.99999999999994</v>
      </c>
      <c r="EK117" s="17">
        <f>EJ117*VLOOKUP('Données projet'!$B$15,Paramètres!$A$1:$I$89,3,0)*VLOOKUP('Données projet'!$B$15,Paramètres!$A$1:$I$89,5,0)</f>
        <v>205.04639999999995</v>
      </c>
      <c r="EL117" s="13">
        <f t="shared" si="99"/>
        <v>50.851600160721752</v>
      </c>
      <c r="EM117" s="20">
        <f t="shared" si="73"/>
        <v>445.68901694659024</v>
      </c>
      <c r="EN117" s="59">
        <f t="shared" si="74"/>
        <v>726.55443198129569</v>
      </c>
      <c r="EO117" s="59">
        <f ca="1">AVERAGE(OFFSET($EN$3,0,0,'Données projet'!$E$15+1,1))-AVERAGE(OFFSET($H$3,0,0,'Données projet'!$E$15+1,1))</f>
        <v>331.7059599630698</v>
      </c>
      <c r="EP117" s="59">
        <f t="shared" si="100"/>
        <v>173.19148969173838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11.227413300066658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11.227413300066658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1.5</v>
      </c>
      <c r="FE117" s="12">
        <f>IF('Données projet'!$A$218&gt;35,FE116+FD117-FM116,IF(A117&lt;'Données projet'!$A$218,$FB$205^A117,IF(A117='Données projet'!$A$218,'Données projet'!$B$218,FE116+FD117-FM116)))</f>
        <v>211.99999999999994</v>
      </c>
      <c r="FF117" s="17">
        <f>FE117*VLOOKUP('Données projet'!$B$16,Paramètres!$A$1:$I$89,3,0)*VLOOKUP('Données projet'!$B$16,Paramètres!$A$1:$I$89,5,0)</f>
        <v>228.19679999999991</v>
      </c>
      <c r="FG117" s="13">
        <f t="shared" si="101"/>
        <v>55.892609107161952</v>
      </c>
      <c r="FH117" s="20">
        <f t="shared" si="76"/>
        <v>494.78905419497363</v>
      </c>
      <c r="FI117" s="59">
        <f t="shared" si="77"/>
        <v>775.65446922967908</v>
      </c>
      <c r="FJ117" s="59">
        <f ca="1">AVERAGE(OFFSET($FI$3,0,0,'Données projet'!$E$16+1,1))-AVERAGE(OFFSET($H$3,0,0,'Données projet'!$E$16+1,1))</f>
        <v>360.86062459677004</v>
      </c>
      <c r="FK117" s="59">
        <f t="shared" si="102"/>
        <v>186.0840067781198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21.464781412397155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21.464781412397155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1.9</v>
      </c>
      <c r="FZ117" s="12">
        <f>IF('Données projet'!$A$244&gt;35,FZ116+FY117-GH116,IF(A117&lt;'Données projet'!$A$244,$FW$205^A117,IF(A117='Données projet'!$A$244,'Données projet'!$B$244,FZ116+FY117-GH116)))</f>
        <v>273.59999999999962</v>
      </c>
      <c r="GA117" s="17">
        <f>FZ117*VLOOKUP('Données projet'!$B$17,Paramètres!$A$1:$I$89,3,0)*VLOOKUP('Données projet'!$B$17,Paramètres!$A$1:$I$89,5,0)</f>
        <v>277.43039999999968</v>
      </c>
      <c r="GB117" s="13">
        <f t="shared" si="103"/>
        <v>66.423687500715616</v>
      </c>
      <c r="GC117" s="20">
        <f t="shared" si="79"/>
        <v>598.87920239707921</v>
      </c>
      <c r="GD117" s="59">
        <f t="shared" si="80"/>
        <v>879.74461743178472</v>
      </c>
      <c r="GE117" s="59">
        <f ca="1">AVERAGE(OFFSET($GD$3,0,0,'Données projet'!$E$17+1,1))-AVERAGE(OFFSET($H$3,0,0,'Données projet'!$E$17+1,1))</f>
        <v>448.73339628506784</v>
      </c>
      <c r="GF117" s="59">
        <f t="shared" si="104"/>
        <v>273.35778700650803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33.22226470256733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33.22226470256733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1.9</v>
      </c>
      <c r="N118" s="13">
        <f>IF('Données projet'!$A$36&gt;35,N117+M118-V117,IF(A118&lt;'Données projet'!$A$36,$K$205^A118,IF(A118='Données projet'!$A$36,'Données projet'!$B$36,N117+M118-V117)))</f>
        <v>275.4999999999996</v>
      </c>
      <c r="O118" s="13">
        <f>N118*VLOOKUP('Données projet'!$B$9,Paramètres!$A$1:$I$89,3,0)*VLOOKUP('Données projet'!$B$9,Paramètres!$A$1:$I$89,5,0)</f>
        <v>249.27239999999964</v>
      </c>
      <c r="P118" s="13">
        <f t="shared" si="87"/>
        <v>60.430109843567656</v>
      </c>
      <c r="Q118" s="20">
        <f t="shared" si="107"/>
        <v>539.39853797754631</v>
      </c>
      <c r="R118" s="59">
        <f t="shared" si="55"/>
        <v>820.48024352064363</v>
      </c>
      <c r="S118" s="59">
        <f ca="1">AVERAGE(OFFSET($R$3,0,0,'Données projet'!$E$9+1,1))-AVERAGE(OFFSET($H$3,0,0,'Données projet'!$E$9+1,1))</f>
        <v>408.51124670343137</v>
      </c>
      <c r="T118" s="59">
        <f t="shared" si="88"/>
        <v>250.47702091764884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29.063172132448827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29.063172132448827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-2.8421709430404007E-13</v>
      </c>
      <c r="AJ118" s="13">
        <f>AI118*VLOOKUP('Données projet'!$B$10,Paramètres!$A$1:$I$89,3,0)*VLOOKUP('Données projet'!$B$10,Paramètres!$A$1:$I$89,5,0)</f>
        <v>-2.2612312022829427E-13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327.22763817565902</v>
      </c>
      <c r="AO118" s="59">
        <f t="shared" si="90"/>
        <v>311.68541696405975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51.957774899317414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51.957774899317414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2.8421709430404007E-14</v>
      </c>
      <c r="BE118" s="13">
        <f>BD118*VLOOKUP('Données projet'!$B$11,Paramètres!$A$1:$I$89,3,0)*VLOOKUP('Données projet'!$B$11,Paramètres!$A$1:$I$89,5,0)</f>
        <v>1.8178525351686402E-14</v>
      </c>
      <c r="BF118" s="13">
        <f t="shared" si="91"/>
        <v>3.3304129621647644E-13</v>
      </c>
      <c r="BG118" s="20">
        <f t="shared" si="61"/>
        <v>6.1170785589788349E-13</v>
      </c>
      <c r="BH118" s="59">
        <f t="shared" si="62"/>
        <v>281.08170554309788</v>
      </c>
      <c r="BI118" s="59">
        <f ca="1">AVERAGE(OFFSET($BH$3,0,0,'Données projet'!$E$11+1,1))-AVERAGE(OFFSET($H$3,0,0,'Données projet'!$E$11+1,1))</f>
        <v>169.46470423366029</v>
      </c>
      <c r="BJ118" s="59">
        <f t="shared" si="92"/>
        <v>230.78141128389288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11.25588740738303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11.25588740738303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-1.7053025658242404E-13</v>
      </c>
      <c r="BZ118" s="13">
        <f>BY118*VLOOKUP('Données projet'!$B$12,Paramètres!$A$1:$I$89,3,0)*VLOOKUP('Données projet'!$B$12,Paramètres!$A$1:$I$89,5,0)</f>
        <v>-1.4897523215040567E-13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342.79161436526499</v>
      </c>
      <c r="CE118" s="59">
        <f t="shared" si="94"/>
        <v>315.50730924873733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60.496329339899773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60.496329339899773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-5.6843418860808015E-14</v>
      </c>
      <c r="CU118" s="17">
        <f>CT118*VLOOKUP('Données projet'!$B$13,Paramètres!$A$1:$I$89,3,0)*VLOOKUP('Données projet'!$B$13,Paramètres!$A$1:$I$89,5,0)</f>
        <v>-3.813056537183002E-14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201.84651193684252</v>
      </c>
      <c r="CZ118" s="59">
        <f t="shared" si="96"/>
        <v>138.00705940844708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49.352804815148303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49.352804815148303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1.1368683772161603E-13</v>
      </c>
      <c r="DP118" s="17">
        <f>DO118*VLOOKUP('Données projet'!$B$14,Paramètres!$A$1:$I$89,3,0)*VLOOKUP('Données projet'!$B$14,Paramètres!$A$1:$I$89,5,0)</f>
        <v>8.3355189417488869E-14</v>
      </c>
      <c r="DQ118" s="13">
        <f t="shared" si="97"/>
        <v>1.2790518435140618E-12</v>
      </c>
      <c r="DR118" s="20">
        <f t="shared" si="70"/>
        <v>2.3728589156891171E-12</v>
      </c>
      <c r="DS118" s="59">
        <f t="shared" si="71"/>
        <v>281.08170554309964</v>
      </c>
      <c r="DT118" s="59">
        <f ca="1">AVERAGE(OFFSET($DS$3,0,0,'Données projet'!$E$14+1,1))-AVERAGE(OFFSET($H$3,0,0,'Données projet'!$E$14+1,1))</f>
        <v>242.21240859696931</v>
      </c>
      <c r="DU118" s="59">
        <f t="shared" si="98"/>
        <v>340.92165104349192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21.212477822864475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21.212477822864475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1.5</v>
      </c>
      <c r="EJ118" s="12">
        <f>IF('Données projet'!$A$192&gt;35,EJ117+EI118-ER117,IF(A118&lt;'Données projet'!$A$192,$EG$205^A118,IF(A118='Données projet'!$A$192,'Données projet'!$B$192,EJ117+EI118-ER117)))</f>
        <v>213.49999999999994</v>
      </c>
      <c r="EK118" s="17">
        <f>EJ118*VLOOKUP('Données projet'!$B$15,Paramètres!$A$1:$I$89,3,0)*VLOOKUP('Données projet'!$B$15,Paramètres!$A$1:$I$89,5,0)</f>
        <v>206.49719999999996</v>
      </c>
      <c r="EL118" s="13">
        <f t="shared" si="99"/>
        <v>51.169388035144998</v>
      </c>
      <c r="EM118" s="20">
        <f t="shared" si="73"/>
        <v>448.76930749454414</v>
      </c>
      <c r="EN118" s="59">
        <f t="shared" si="74"/>
        <v>729.85101303764145</v>
      </c>
      <c r="EO118" s="59">
        <f ca="1">AVERAGE(OFFSET($EN$3,0,0,'Données projet'!$E$15+1,1))-AVERAGE(OFFSET($H$3,0,0,'Données projet'!$E$15+1,1))</f>
        <v>331.7059599630698</v>
      </c>
      <c r="EP118" s="59">
        <f t="shared" si="100"/>
        <v>173.19148969173838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11.007250573298275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11.007250573298275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1.5</v>
      </c>
      <c r="FE118" s="12">
        <f>IF('Données projet'!$A$218&gt;35,FE117+FD118-FM117,IF(A118&lt;'Données projet'!$A$218,$FB$205^A118,IF(A118='Données projet'!$A$218,'Données projet'!$B$218,FE117+FD118-FM117)))</f>
        <v>213.49999999999994</v>
      </c>
      <c r="FF118" s="17">
        <f>FE118*VLOOKUP('Données projet'!$B$16,Paramètres!$A$1:$I$89,3,0)*VLOOKUP('Données projet'!$B$16,Paramètres!$A$1:$I$89,5,0)</f>
        <v>229.81139999999991</v>
      </c>
      <c r="FG118" s="13">
        <f t="shared" si="101"/>
        <v>56.241899854906286</v>
      </c>
      <c r="FH118" s="20">
        <f t="shared" si="76"/>
        <v>498.20949724729485</v>
      </c>
      <c r="FI118" s="59">
        <f t="shared" si="77"/>
        <v>779.29120279039216</v>
      </c>
      <c r="FJ118" s="59">
        <f ca="1">AVERAGE(OFFSET($FI$3,0,0,'Données projet'!$E$16+1,1))-AVERAGE(OFFSET($H$3,0,0,'Données projet'!$E$16+1,1))</f>
        <v>360.86062459677004</v>
      </c>
      <c r="FK118" s="59">
        <f t="shared" si="102"/>
        <v>186.0840067781198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21.043870141123957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21.043870141123957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1.9</v>
      </c>
      <c r="FZ118" s="12">
        <f>IF('Données projet'!$A$244&gt;35,FZ117+FY118-GH117,IF(A118&lt;'Données projet'!$A$244,$FW$205^A118,IF(A118='Données projet'!$A$244,'Données projet'!$B$244,FZ117+FY118-GH117)))</f>
        <v>275.4999999999996</v>
      </c>
      <c r="GA118" s="17">
        <f>FZ118*VLOOKUP('Données projet'!$B$17,Paramètres!$A$1:$I$89,3,0)*VLOOKUP('Données projet'!$B$17,Paramètres!$A$1:$I$89,5,0)</f>
        <v>279.35699999999963</v>
      </c>
      <c r="GB118" s="13">
        <f t="shared" si="103"/>
        <v>66.831106320267438</v>
      </c>
      <c r="GC118" s="20">
        <f t="shared" si="79"/>
        <v>602.94428517446511</v>
      </c>
      <c r="GD118" s="59">
        <f t="shared" si="80"/>
        <v>884.02599071756231</v>
      </c>
      <c r="GE118" s="59">
        <f ca="1">AVERAGE(OFFSET($GD$3,0,0,'Données projet'!$E$17+1,1))-AVERAGE(OFFSET($H$3,0,0,'Données projet'!$E$17+1,1))</f>
        <v>448.73339628506784</v>
      </c>
      <c r="GF118" s="59">
        <f t="shared" si="104"/>
        <v>273.35778700650803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32.570796355330593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32.570796355330593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1.9</v>
      </c>
      <c r="N119" s="13">
        <f>IF('Données projet'!$A$36&gt;35,N118+M119-V118,IF(A119&lt;'Données projet'!$A$36,$K$205^A119,IF(A119='Données projet'!$A$36,'Données projet'!$B$36,N118+M119-V118)))</f>
        <v>277.39999999999958</v>
      </c>
      <c r="O119" s="13">
        <f>N119*VLOOKUP('Données projet'!$B$9,Paramètres!$A$1:$I$89,3,0)*VLOOKUP('Données projet'!$B$9,Paramètres!$A$1:$I$89,5,0)</f>
        <v>250.99151999999961</v>
      </c>
      <c r="P119" s="13">
        <f t="shared" si="87"/>
        <v>60.7982110007693</v>
      </c>
      <c r="Q119" s="20">
        <f t="shared" si="107"/>
        <v>543.03378149300579</v>
      </c>
      <c r="R119" s="59">
        <f t="shared" si="55"/>
        <v>824.32802538772728</v>
      </c>
      <c r="S119" s="59">
        <f ca="1">AVERAGE(OFFSET($R$3,0,0,'Données projet'!$E$9+1,1))-AVERAGE(OFFSET($H$3,0,0,'Données projet'!$E$9+1,1))</f>
        <v>408.51124670343137</v>
      </c>
      <c r="T119" s="59">
        <f t="shared" si="88"/>
        <v>250.47702091764884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28.493261053716132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28.493261053716132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-2.8421709430404007E-13</v>
      </c>
      <c r="AJ119" s="13">
        <f>AI119*VLOOKUP('Données projet'!$B$10,Paramètres!$A$1:$I$89,3,0)*VLOOKUP('Données projet'!$B$10,Paramètres!$A$1:$I$89,5,0)</f>
        <v>-2.2612312022829427E-13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327.22763817565902</v>
      </c>
      <c r="AO119" s="59">
        <f t="shared" si="90"/>
        <v>311.68541696405975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50.938914624655247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50.938914624655247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2.8421709430404007E-14</v>
      </c>
      <c r="BE119" s="13">
        <f>BD119*VLOOKUP('Données projet'!$B$11,Paramètres!$A$1:$I$89,3,0)*VLOOKUP('Données projet'!$B$11,Paramètres!$A$1:$I$89,5,0)</f>
        <v>1.8178525351686402E-14</v>
      </c>
      <c r="BF119" s="13">
        <f t="shared" si="91"/>
        <v>3.3304129621647644E-13</v>
      </c>
      <c r="BG119" s="20">
        <f t="shared" si="61"/>
        <v>6.1170785589788349E-13</v>
      </c>
      <c r="BH119" s="59">
        <f t="shared" si="62"/>
        <v>281.29424389472211</v>
      </c>
      <c r="BI119" s="59">
        <f ca="1">AVERAGE(OFFSET($BH$3,0,0,'Données projet'!$E$11+1,1))-AVERAGE(OFFSET($H$3,0,0,'Données projet'!$E$11+1,1))</f>
        <v>169.46470423366029</v>
      </c>
      <c r="BJ119" s="59">
        <f t="shared" si="92"/>
        <v>230.78141128389288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11.035166320737664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11.035166320737664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-1.7053025658242404E-13</v>
      </c>
      <c r="BZ119" s="13">
        <f>BY119*VLOOKUP('Données projet'!$B$12,Paramètres!$A$1:$I$89,3,0)*VLOOKUP('Données projet'!$B$12,Paramètres!$A$1:$I$89,5,0)</f>
        <v>-1.4897523215040567E-13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342.79161436526499</v>
      </c>
      <c r="CE119" s="59">
        <f t="shared" si="94"/>
        <v>315.50730924873733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59.310033220661751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59.310033220661751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-5.6843418860808015E-14</v>
      </c>
      <c r="CU119" s="17">
        <f>CT119*VLOOKUP('Données projet'!$B$13,Paramètres!$A$1:$I$89,3,0)*VLOOKUP('Données projet'!$B$13,Paramètres!$A$1:$I$89,5,0)</f>
        <v>-3.813056537183002E-14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201.84651193684252</v>
      </c>
      <c r="CZ119" s="59">
        <f t="shared" si="96"/>
        <v>138.00705940844708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48.385026414961835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48.385026414961835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1.1368683772161603E-13</v>
      </c>
      <c r="DP119" s="17">
        <f>DO119*VLOOKUP('Données projet'!$B$14,Paramètres!$A$1:$I$89,3,0)*VLOOKUP('Données projet'!$B$14,Paramètres!$A$1:$I$89,5,0)</f>
        <v>8.3355189417488869E-14</v>
      </c>
      <c r="DQ119" s="13">
        <f t="shared" si="97"/>
        <v>1.2790518435140618E-12</v>
      </c>
      <c r="DR119" s="20">
        <f t="shared" si="70"/>
        <v>2.3728589156891171E-12</v>
      </c>
      <c r="DS119" s="59">
        <f t="shared" si="71"/>
        <v>281.29424389472388</v>
      </c>
      <c r="DT119" s="59">
        <f ca="1">AVERAGE(OFFSET($DS$3,0,0,'Données projet'!$E$14+1,1))-AVERAGE(OFFSET($H$3,0,0,'Données projet'!$E$14+1,1))</f>
        <v>242.21240859696931</v>
      </c>
      <c r="DU119" s="59">
        <f t="shared" si="98"/>
        <v>340.92165104349192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20.79651407109202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20.79651407109202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1.5</v>
      </c>
      <c r="EJ119" s="12">
        <f>IF('Données projet'!$A$192&gt;35,EJ118+EI119-ER118,IF(A119&lt;'Données projet'!$A$192,$EG$205^A119,IF(A119='Données projet'!$A$192,'Données projet'!$B$192,EJ118+EI119-ER118)))</f>
        <v>214.99999999999994</v>
      </c>
      <c r="EK119" s="17">
        <f>EJ119*VLOOKUP('Données projet'!$B$15,Paramètres!$A$1:$I$89,3,0)*VLOOKUP('Données projet'!$B$15,Paramètres!$A$1:$I$89,5,0)</f>
        <v>207.94799999999992</v>
      </c>
      <c r="EL119" s="13">
        <f t="shared" si="99"/>
        <v>51.486916127068838</v>
      </c>
      <c r="EM119" s="20">
        <f t="shared" si="73"/>
        <v>451.849145587978</v>
      </c>
      <c r="EN119" s="59">
        <f t="shared" si="74"/>
        <v>733.14338948269949</v>
      </c>
      <c r="EO119" s="59">
        <f ca="1">AVERAGE(OFFSET($EN$3,0,0,'Données projet'!$E$15+1,1))-AVERAGE(OFFSET($H$3,0,0,'Données projet'!$E$15+1,1))</f>
        <v>331.7059599630698</v>
      </c>
      <c r="EP119" s="59">
        <f t="shared" si="100"/>
        <v>173.19148969173838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10.791405103315817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10.791405103315817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1.5</v>
      </c>
      <c r="FE119" s="12">
        <f>IF('Données projet'!$A$218&gt;35,FE118+FD119-FM118,IF(A119&lt;'Données projet'!$A$218,$FB$205^A119,IF(A119='Données projet'!$A$218,'Données projet'!$B$218,FE118+FD119-FM118)))</f>
        <v>214.99999999999994</v>
      </c>
      <c r="FF119" s="17">
        <f>FE119*VLOOKUP('Données projet'!$B$16,Paramètres!$A$1:$I$89,3,0)*VLOOKUP('Données projet'!$B$16,Paramètres!$A$1:$I$89,5,0)</f>
        <v>231.4259999999999</v>
      </c>
      <c r="FG119" s="13">
        <f t="shared" si="101"/>
        <v>56.590905067453221</v>
      </c>
      <c r="FH119" s="20">
        <f t="shared" si="76"/>
        <v>501.62944299248085</v>
      </c>
      <c r="FI119" s="59">
        <f t="shared" si="77"/>
        <v>782.92368688720239</v>
      </c>
      <c r="FJ119" s="59">
        <f ca="1">AVERAGE(OFFSET($FI$3,0,0,'Données projet'!$E$16+1,1))-AVERAGE(OFFSET($H$3,0,0,'Données projet'!$E$16+1,1))</f>
        <v>360.86062459677004</v>
      </c>
      <c r="FK119" s="59">
        <f t="shared" si="102"/>
        <v>186.0840067781198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20.631212683149904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20.631212683149904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1.9</v>
      </c>
      <c r="FZ119" s="12">
        <f>IF('Données projet'!$A$244&gt;35,FZ118+FY119-GH118,IF(A119&lt;'Données projet'!$A$244,$FW$205^A119,IF(A119='Données projet'!$A$244,'Données projet'!$B$244,FZ118+FY119-GH118)))</f>
        <v>277.39999999999958</v>
      </c>
      <c r="GA119" s="17">
        <f>FZ119*VLOOKUP('Données projet'!$B$17,Paramètres!$A$1:$I$89,3,0)*VLOOKUP('Données projet'!$B$17,Paramètres!$A$1:$I$89,5,0)</f>
        <v>281.28359999999964</v>
      </c>
      <c r="GB119" s="13">
        <f t="shared" si="103"/>
        <v>67.238198209347814</v>
      </c>
      <c r="GC119" s="20">
        <f t="shared" si="79"/>
        <v>607.00879854794687</v>
      </c>
      <c r="GD119" s="59">
        <f t="shared" si="80"/>
        <v>888.30304244266836</v>
      </c>
      <c r="GE119" s="59">
        <f ca="1">AVERAGE(OFFSET($GD$3,0,0,'Données projet'!$E$17+1,1))-AVERAGE(OFFSET($H$3,0,0,'Données projet'!$E$17+1,1))</f>
        <v>448.73339628506784</v>
      </c>
      <c r="GF119" s="59">
        <f t="shared" si="104"/>
        <v>273.35778700650803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31.93210290502671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31.93210290502671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1.9</v>
      </c>
      <c r="N120" s="13">
        <f>IF('Données projet'!$A$36&gt;35,N119+M120-V119,IF(A120&lt;'Données projet'!$A$36,$K$205^A120,IF(A120='Données projet'!$A$36,'Données projet'!$B$36,N119+M120-V119)))</f>
        <v>279.29999999999956</v>
      </c>
      <c r="O120" s="13">
        <f>N120*VLOOKUP('Données projet'!$B$9,Paramètres!$A$1:$I$89,3,0)*VLOOKUP('Données projet'!$B$9,Paramètres!$A$1:$I$89,5,0)</f>
        <v>252.71063999999961</v>
      </c>
      <c r="P120" s="13">
        <f t="shared" si="87"/>
        <v>61.166018800071058</v>
      </c>
      <c r="Q120" s="20">
        <f t="shared" si="107"/>
        <v>546.66851407678973</v>
      </c>
      <c r="R120" s="59">
        <f t="shared" si="55"/>
        <v>828.17160925789938</v>
      </c>
      <c r="S120" s="59">
        <f ca="1">AVERAGE(OFFSET($R$3,0,0,'Données projet'!$E$9+1,1))-AVERAGE(OFFSET($H$3,0,0,'Données projet'!$E$9+1,1))</f>
        <v>408.51124670343137</v>
      </c>
      <c r="T120" s="59">
        <f t="shared" si="88"/>
        <v>250.47702091764884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27.934525583625952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27.934525583625952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-2.8421709430404007E-13</v>
      </c>
      <c r="AJ120" s="13">
        <f>AI120*VLOOKUP('Données projet'!$B$10,Paramètres!$A$1:$I$89,3,0)*VLOOKUP('Données projet'!$B$10,Paramètres!$A$1:$I$89,5,0)</f>
        <v>-2.2612312022829427E-13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327.22763817565902</v>
      </c>
      <c r="AO120" s="59">
        <f t="shared" si="90"/>
        <v>311.68541696405975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49.940033578535804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49.940033578535804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2.8421709430404007E-14</v>
      </c>
      <c r="BE120" s="13">
        <f>BD120*VLOOKUP('Données projet'!$B$11,Paramètres!$A$1:$I$89,3,0)*VLOOKUP('Données projet'!$B$11,Paramètres!$A$1:$I$89,5,0)</f>
        <v>1.8178525351686402E-14</v>
      </c>
      <c r="BF120" s="13">
        <f t="shared" si="91"/>
        <v>3.3304129621647644E-13</v>
      </c>
      <c r="BG120" s="20">
        <f t="shared" si="61"/>
        <v>6.1170785589788349E-13</v>
      </c>
      <c r="BH120" s="59">
        <f t="shared" si="62"/>
        <v>281.50309518111027</v>
      </c>
      <c r="BI120" s="59">
        <f ca="1">AVERAGE(OFFSET($BH$3,0,0,'Données projet'!$E$11+1,1))-AVERAGE(OFFSET($H$3,0,0,'Données projet'!$E$11+1,1))</f>
        <v>169.46470423366029</v>
      </c>
      <c r="BJ120" s="59">
        <f t="shared" si="92"/>
        <v>230.78141128389288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10.818773439974844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10.818773439974844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-1.7053025658242404E-13</v>
      </c>
      <c r="BZ120" s="13">
        <f>BY120*VLOOKUP('Données projet'!$B$12,Paramètres!$A$1:$I$89,3,0)*VLOOKUP('Données projet'!$B$12,Paramètres!$A$1:$I$89,5,0)</f>
        <v>-1.4897523215040567E-13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342.79161436526499</v>
      </c>
      <c r="CE120" s="59">
        <f t="shared" si="94"/>
        <v>315.50730924873733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58.146999644752803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58.146999644752803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-5.6843418860808015E-14</v>
      </c>
      <c r="CU120" s="17">
        <f>CT120*VLOOKUP('Données projet'!$B$13,Paramètres!$A$1:$I$89,3,0)*VLOOKUP('Données projet'!$B$13,Paramètres!$A$1:$I$89,5,0)</f>
        <v>-3.813056537183002E-14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201.84651193684252</v>
      </c>
      <c r="CZ120" s="59">
        <f t="shared" si="96"/>
        <v>138.00705940844708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47.436225558916483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47.436225558916483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1.1368683772161603E-13</v>
      </c>
      <c r="DP120" s="17">
        <f>DO120*VLOOKUP('Données projet'!$B$14,Paramètres!$A$1:$I$89,3,0)*VLOOKUP('Données projet'!$B$14,Paramètres!$A$1:$I$89,5,0)</f>
        <v>8.3355189417488869E-14</v>
      </c>
      <c r="DQ120" s="13">
        <f t="shared" si="97"/>
        <v>1.2790518435140618E-12</v>
      </c>
      <c r="DR120" s="20">
        <f t="shared" si="70"/>
        <v>2.3728589156891171E-12</v>
      </c>
      <c r="DS120" s="59">
        <f t="shared" si="71"/>
        <v>281.50309518111203</v>
      </c>
      <c r="DT120" s="59">
        <f ca="1">AVERAGE(OFFSET($DS$3,0,0,'Données projet'!$E$14+1,1))-AVERAGE(OFFSET($H$3,0,0,'Données projet'!$E$14+1,1))</f>
        <v>242.21240859696931</v>
      </c>
      <c r="DU120" s="59">
        <f t="shared" si="98"/>
        <v>340.92165104349192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20.388707114778985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20.388707114778985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1.5</v>
      </c>
      <c r="EJ120" s="12">
        <f>IF('Données projet'!$A$192&gt;35,EJ119+EI120-ER119,IF(A120&lt;'Données projet'!$A$192,$EG$205^A120,IF(A120='Données projet'!$A$192,'Données projet'!$B$192,EJ119+EI120-ER119)))</f>
        <v>216.49999999999994</v>
      </c>
      <c r="EK120" s="17">
        <f>EJ120*VLOOKUP('Données projet'!$B$15,Paramètres!$A$1:$I$89,3,0)*VLOOKUP('Données projet'!$B$15,Paramètres!$A$1:$I$89,5,0)</f>
        <v>209.39879999999994</v>
      </c>
      <c r="EL120" s="13">
        <f t="shared" si="99"/>
        <v>51.804186459108429</v>
      </c>
      <c r="EM120" s="20">
        <f t="shared" si="73"/>
        <v>454.92853474961379</v>
      </c>
      <c r="EN120" s="59">
        <f t="shared" si="74"/>
        <v>736.43162993072337</v>
      </c>
      <c r="EO120" s="59">
        <f ca="1">AVERAGE(OFFSET($EN$3,0,0,'Données projet'!$E$15+1,1))-AVERAGE(OFFSET($H$3,0,0,'Données projet'!$E$15+1,1))</f>
        <v>331.7059599630698</v>
      </c>
      <c r="EP120" s="59">
        <f t="shared" si="100"/>
        <v>173.19148969173838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10.579792231346978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10.579792231346978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1.5</v>
      </c>
      <c r="FE120" s="12">
        <f>IF('Données projet'!$A$218&gt;35,FE119+FD120-FM119,IF(A120&lt;'Données projet'!$A$218,$FB$205^A120,IF(A120='Données projet'!$A$218,'Données projet'!$B$218,FE119+FD120-FM119)))</f>
        <v>216.49999999999994</v>
      </c>
      <c r="FF120" s="17">
        <f>FE120*VLOOKUP('Données projet'!$B$16,Paramètres!$A$1:$I$89,3,0)*VLOOKUP('Données projet'!$B$16,Paramètres!$A$1:$I$89,5,0)</f>
        <v>233.04059999999996</v>
      </c>
      <c r="FG120" s="13">
        <f t="shared" si="101"/>
        <v>56.939626967923189</v>
      </c>
      <c r="FH120" s="20">
        <f t="shared" si="76"/>
        <v>505.04889530246618</v>
      </c>
      <c r="FI120" s="59">
        <f t="shared" si="77"/>
        <v>786.55199048357576</v>
      </c>
      <c r="FJ120" s="59">
        <f ca="1">AVERAGE(OFFSET($FI$3,0,0,'Données projet'!$E$16+1,1))-AVERAGE(OFFSET($H$3,0,0,'Données projet'!$E$16+1,1))</f>
        <v>360.86062459677004</v>
      </c>
      <c r="FK120" s="59">
        <f t="shared" si="102"/>
        <v>186.0840067781198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20.226647186230526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20.226647186230526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1.9</v>
      </c>
      <c r="FZ120" s="12">
        <f>IF('Données projet'!$A$244&gt;35,FZ119+FY120-GH119,IF(A120&lt;'Données projet'!$A$244,$FW$205^A120,IF(A120='Données projet'!$A$244,'Données projet'!$B$244,FZ119+FY120-GH119)))</f>
        <v>279.29999999999956</v>
      </c>
      <c r="GA120" s="17">
        <f>FZ120*VLOOKUP('Données projet'!$B$17,Paramètres!$A$1:$I$89,3,0)*VLOOKUP('Données projet'!$B$17,Paramètres!$A$1:$I$89,5,0)</f>
        <v>283.21019999999959</v>
      </c>
      <c r="GB120" s="13">
        <f t="shared" si="103"/>
        <v>67.644965666898216</v>
      </c>
      <c r="GC120" s="20">
        <f t="shared" si="79"/>
        <v>611.07274686984704</v>
      </c>
      <c r="GD120" s="59">
        <f t="shared" si="80"/>
        <v>892.57584205095668</v>
      </c>
      <c r="GE120" s="59">
        <f ca="1">AVERAGE(OFFSET($GD$3,0,0,'Données projet'!$E$17+1,1))-AVERAGE(OFFSET($H$3,0,0,'Données projet'!$E$17+1,1))</f>
        <v>448.73339628506784</v>
      </c>
      <c r="GF120" s="59">
        <f t="shared" si="104"/>
        <v>273.35778700650803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31.305933843718748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31.305933843718748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1.9</v>
      </c>
      <c r="N121" s="13">
        <f>IF('Données projet'!$A$36&gt;35,N120+M121-V120,IF(A121&lt;'Données projet'!$A$36,$K$205^A121,IF(A121='Données projet'!$A$36,'Données projet'!$B$36,N120+M121-V120)))</f>
        <v>281.19999999999953</v>
      </c>
      <c r="O121" s="13">
        <f>N121*VLOOKUP('Données projet'!$B$9,Paramètres!$A$1:$I$89,3,0)*VLOOKUP('Données projet'!$B$9,Paramètres!$A$1:$I$89,5,0)</f>
        <v>254.42975999999956</v>
      </c>
      <c r="P121" s="13">
        <f t="shared" si="87"/>
        <v>61.53353546854914</v>
      </c>
      <c r="Q121" s="20">
        <f t="shared" si="107"/>
        <v>550.30273960772229</v>
      </c>
      <c r="R121" s="59">
        <f t="shared" si="55"/>
        <v>832.01106297232263</v>
      </c>
      <c r="S121" s="59">
        <f ca="1">AVERAGE(OFFSET($R$3,0,0,'Données projet'!$E$9+1,1))-AVERAGE(OFFSET($H$3,0,0,'Données projet'!$E$9+1,1))</f>
        <v>408.51124670343137</v>
      </c>
      <c r="T121" s="59">
        <f t="shared" si="88"/>
        <v>250.47702091764884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27.386746575309253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27.386746575309253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-2.8421709430404007E-13</v>
      </c>
      <c r="AJ121" s="13">
        <f>AI121*VLOOKUP('Données projet'!$B$10,Paramètres!$A$1:$I$89,3,0)*VLOOKUP('Données projet'!$B$10,Paramètres!$A$1:$I$89,5,0)</f>
        <v>-2.2612312022829427E-13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327.22763817565902</v>
      </c>
      <c r="AO121" s="59">
        <f t="shared" si="90"/>
        <v>311.68541696405975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48.960739980473484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48.960739980473484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2.8421709430404007E-14</v>
      </c>
      <c r="BE121" s="13">
        <f>BD121*VLOOKUP('Données projet'!$B$11,Paramètres!$A$1:$I$89,3,0)*VLOOKUP('Données projet'!$B$11,Paramètres!$A$1:$I$89,5,0)</f>
        <v>1.8178525351686402E-14</v>
      </c>
      <c r="BF121" s="13">
        <f t="shared" si="91"/>
        <v>3.3304129621647644E-13</v>
      </c>
      <c r="BG121" s="20">
        <f t="shared" si="61"/>
        <v>6.1170785589788349E-13</v>
      </c>
      <c r="BH121" s="59">
        <f t="shared" si="62"/>
        <v>281.70832336460103</v>
      </c>
      <c r="BI121" s="59">
        <f ca="1">AVERAGE(OFFSET($BH$3,0,0,'Données projet'!$E$11+1,1))-AVERAGE(OFFSET($H$3,0,0,'Données projet'!$E$11+1,1))</f>
        <v>169.46470423366029</v>
      </c>
      <c r="BJ121" s="59">
        <f t="shared" si="92"/>
        <v>230.78141128389288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10.606623891617158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10.606623891617158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-1.7053025658242404E-13</v>
      </c>
      <c r="BZ121" s="13">
        <f>BY121*VLOOKUP('Données projet'!$B$12,Paramètres!$A$1:$I$89,3,0)*VLOOKUP('Données projet'!$B$12,Paramètres!$A$1:$I$89,5,0)</f>
        <v>-1.4897523215040567E-13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342.79161436526499</v>
      </c>
      <c r="CE121" s="59">
        <f t="shared" si="94"/>
        <v>315.50730924873733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57.006772447886988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57.006772447886988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-5.6843418860808015E-14</v>
      </c>
      <c r="CU121" s="17">
        <f>CT121*VLOOKUP('Données projet'!$B$13,Paramètres!$A$1:$I$89,3,0)*VLOOKUP('Données projet'!$B$13,Paramètres!$A$1:$I$89,5,0)</f>
        <v>-3.813056537183002E-14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201.84651193684252</v>
      </c>
      <c r="CZ121" s="59">
        <f t="shared" si="96"/>
        <v>138.00705940844708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46.506030108946803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46.506030108946803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1.1368683772161603E-13</v>
      </c>
      <c r="DP121" s="17">
        <f>DO121*VLOOKUP('Données projet'!$B$14,Paramètres!$A$1:$I$89,3,0)*VLOOKUP('Données projet'!$B$14,Paramètres!$A$1:$I$89,5,0)</f>
        <v>8.3355189417488869E-14</v>
      </c>
      <c r="DQ121" s="13">
        <f t="shared" si="97"/>
        <v>1.2790518435140618E-12</v>
      </c>
      <c r="DR121" s="20">
        <f t="shared" si="70"/>
        <v>2.3728589156891171E-12</v>
      </c>
      <c r="DS121" s="59">
        <f t="shared" si="71"/>
        <v>281.70832336460279</v>
      </c>
      <c r="DT121" s="59">
        <f ca="1">AVERAGE(OFFSET($DS$3,0,0,'Données projet'!$E$14+1,1))-AVERAGE(OFFSET($H$3,0,0,'Données projet'!$E$14+1,1))</f>
        <v>242.21240859696931</v>
      </c>
      <c r="DU121" s="59">
        <f t="shared" si="98"/>
        <v>340.92165104349192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19.988897004141567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19.988897004141567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1.5</v>
      </c>
      <c r="EJ121" s="12">
        <f>IF('Données projet'!$A$192&gt;35,EJ120+EI121-ER120,IF(A121&lt;'Données projet'!$A$192,$EG$205^A121,IF(A121='Données projet'!$A$192,'Données projet'!$B$192,EJ120+EI121-ER120)))</f>
        <v>217.99999999999994</v>
      </c>
      <c r="EK121" s="17">
        <f>EJ121*VLOOKUP('Données projet'!$B$15,Paramètres!$A$1:$I$89,3,0)*VLOOKUP('Données projet'!$B$15,Paramètres!$A$1:$I$89,5,0)</f>
        <v>210.84959999999995</v>
      </c>
      <c r="EL121" s="13">
        <f t="shared" si="99"/>
        <v>52.121201024231922</v>
      </c>
      <c r="EM121" s="20">
        <f t="shared" si="73"/>
        <v>458.00747845053723</v>
      </c>
      <c r="EN121" s="59">
        <f t="shared" si="74"/>
        <v>739.71580181513764</v>
      </c>
      <c r="EO121" s="59">
        <f ca="1">AVERAGE(OFFSET($EN$3,0,0,'Données projet'!$E$15+1,1))-AVERAGE(OFFSET($H$3,0,0,'Données projet'!$E$15+1,1))</f>
        <v>331.7059599630698</v>
      </c>
      <c r="EP121" s="59">
        <f t="shared" si="100"/>
        <v>173.19148969173838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10.372328958726341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10.372328958726341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1.5</v>
      </c>
      <c r="FE121" s="12">
        <f>IF('Données projet'!$A$218&gt;35,FE120+FD121-FM120,IF(A121&lt;'Données projet'!$A$218,$FB$205^A121,IF(A121='Données projet'!$A$218,'Données projet'!$B$218,FE120+FD121-FM120)))</f>
        <v>217.99999999999994</v>
      </c>
      <c r="FF121" s="17">
        <f>FE121*VLOOKUP('Données projet'!$B$16,Paramètres!$A$1:$I$89,3,0)*VLOOKUP('Données projet'!$B$16,Paramètres!$A$1:$I$89,5,0)</f>
        <v>234.65519999999995</v>
      </c>
      <c r="FG121" s="13">
        <f t="shared" si="101"/>
        <v>57.288067746850999</v>
      </c>
      <c r="FH121" s="20">
        <f t="shared" si="76"/>
        <v>508.46785799243207</v>
      </c>
      <c r="FI121" s="59">
        <f t="shared" si="77"/>
        <v>790.17618135703242</v>
      </c>
      <c r="FJ121" s="59">
        <f ca="1">AVERAGE(OFFSET($FI$3,0,0,'Données projet'!$E$16+1,1))-AVERAGE(OFFSET($H$3,0,0,'Données projet'!$E$16+1,1))</f>
        <v>360.86062459677004</v>
      </c>
      <c r="FK121" s="59">
        <f t="shared" si="102"/>
        <v>186.0840067781198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19.830014971945147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19.830014971945147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1.9</v>
      </c>
      <c r="FZ121" s="12">
        <f>IF('Données projet'!$A$244&gt;35,FZ120+FY121-GH120,IF(A121&lt;'Données projet'!$A$244,$FW$205^A121,IF(A121='Données projet'!$A$244,'Données projet'!$B$244,FZ120+FY121-GH120)))</f>
        <v>281.19999999999953</v>
      </c>
      <c r="GA121" s="17">
        <f>FZ121*VLOOKUP('Données projet'!$B$17,Paramètres!$A$1:$I$89,3,0)*VLOOKUP('Données projet'!$B$17,Paramètres!$A$1:$I$89,5,0)</f>
        <v>285.1367999999996</v>
      </c>
      <c r="GB121" s="13">
        <f t="shared" si="103"/>
        <v>68.051411155895579</v>
      </c>
      <c r="GC121" s="20">
        <f t="shared" si="79"/>
        <v>615.1361344298507</v>
      </c>
      <c r="GD121" s="59">
        <f t="shared" si="80"/>
        <v>896.84445779445105</v>
      </c>
      <c r="GE121" s="59">
        <f ca="1">AVERAGE(OFFSET($GD$3,0,0,'Données projet'!$E$17+1,1))-AVERAGE(OFFSET($H$3,0,0,'Données projet'!$E$17+1,1))</f>
        <v>448.73339628506784</v>
      </c>
      <c r="GF121" s="59">
        <f t="shared" si="104"/>
        <v>273.35778700650803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30.692043575777621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30.692043575777621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1.9</v>
      </c>
      <c r="N122" s="13">
        <f>IF('Données projet'!$A$36&gt;35,N121+M122-V121,IF(A122&lt;'Données projet'!$A$36,$K$205^A122,IF(A122='Données projet'!$A$36,'Données projet'!$B$36,N121+M122-V121)))</f>
        <v>283.09999999999951</v>
      </c>
      <c r="O122" s="13">
        <f>N122*VLOOKUP('Données projet'!$B$9,Paramètres!$A$1:$I$89,3,0)*VLOOKUP('Données projet'!$B$9,Paramètres!$A$1:$I$89,5,0)</f>
        <v>256.14887999999951</v>
      </c>
      <c r="P122" s="13">
        <f t="shared" si="87"/>
        <v>61.900763201444228</v>
      </c>
      <c r="Q122" s="20">
        <f t="shared" si="107"/>
        <v>553.93646190918116</v>
      </c>
      <c r="R122" s="59">
        <f t="shared" si="55"/>
        <v>835.84645320711024</v>
      </c>
      <c r="S122" s="59">
        <f ca="1">AVERAGE(OFFSET($R$3,0,0,'Données projet'!$E$9+1,1))-AVERAGE(OFFSET($H$3,0,0,'Données projet'!$E$9+1,1))</f>
        <v>408.51124670343137</v>
      </c>
      <c r="T122" s="59">
        <f t="shared" si="88"/>
        <v>250.47702091764884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26.849709179233439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26.849709179233439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-2.8421709430404007E-13</v>
      </c>
      <c r="AJ122" s="13">
        <f>AI122*VLOOKUP('Données projet'!$B$10,Paramètres!$A$1:$I$89,3,0)*VLOOKUP('Données projet'!$B$10,Paramètres!$A$1:$I$89,5,0)</f>
        <v>-2.2612312022829427E-13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327.22763817565902</v>
      </c>
      <c r="AO122" s="59">
        <f t="shared" si="90"/>
        <v>311.68541696405975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48.000649732559047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48.000649732559047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2.8421709430404007E-14</v>
      </c>
      <c r="BE122" s="13">
        <f>BD122*VLOOKUP('Données projet'!$B$11,Paramètres!$A$1:$I$89,3,0)*VLOOKUP('Données projet'!$B$11,Paramètres!$A$1:$I$89,5,0)</f>
        <v>1.8178525351686402E-14</v>
      </c>
      <c r="BF122" s="13">
        <f t="shared" si="91"/>
        <v>3.3304129621647644E-13</v>
      </c>
      <c r="BG122" s="20">
        <f t="shared" si="61"/>
        <v>6.1170785589788349E-13</v>
      </c>
      <c r="BH122" s="59">
        <f t="shared" si="62"/>
        <v>281.90999129792976</v>
      </c>
      <c r="BI122" s="59">
        <f ca="1">AVERAGE(OFFSET($BH$3,0,0,'Données projet'!$E$11+1,1))-AVERAGE(OFFSET($H$3,0,0,'Données projet'!$E$11+1,1))</f>
        <v>169.46470423366029</v>
      </c>
      <c r="BJ122" s="59">
        <f t="shared" si="92"/>
        <v>230.78141128389288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10.398634466504319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10.398634466504319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-1.7053025658242404E-13</v>
      </c>
      <c r="BZ122" s="13">
        <f>BY122*VLOOKUP('Données projet'!$B$12,Paramètres!$A$1:$I$89,3,0)*VLOOKUP('Données projet'!$B$12,Paramètres!$A$1:$I$89,5,0)</f>
        <v>-1.4897523215040567E-13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342.79161436526499</v>
      </c>
      <c r="CE122" s="59">
        <f t="shared" si="94"/>
        <v>315.50730924873733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55.888904410881793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55.888904410881793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-5.6843418860808015E-14</v>
      </c>
      <c r="CU122" s="17">
        <f>CT122*VLOOKUP('Données projet'!$B$13,Paramètres!$A$1:$I$89,3,0)*VLOOKUP('Données projet'!$B$13,Paramètres!$A$1:$I$89,5,0)</f>
        <v>-3.813056537183002E-14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201.84651193684252</v>
      </c>
      <c r="CZ122" s="59">
        <f t="shared" si="96"/>
        <v>138.00705940844708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45.594075224387822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45.594075224387822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1.1368683772161603E-13</v>
      </c>
      <c r="DP122" s="17">
        <f>DO122*VLOOKUP('Données projet'!$B$14,Paramètres!$A$1:$I$89,3,0)*VLOOKUP('Données projet'!$B$14,Paramètres!$A$1:$I$89,5,0)</f>
        <v>8.3355189417488869E-14</v>
      </c>
      <c r="DQ122" s="13">
        <f t="shared" si="97"/>
        <v>1.2790518435140618E-12</v>
      </c>
      <c r="DR122" s="20">
        <f t="shared" si="70"/>
        <v>2.3728589156891171E-12</v>
      </c>
      <c r="DS122" s="59">
        <f t="shared" si="71"/>
        <v>281.90999129793153</v>
      </c>
      <c r="DT122" s="59">
        <f ca="1">AVERAGE(OFFSET($DS$3,0,0,'Données projet'!$E$14+1,1))-AVERAGE(OFFSET($H$3,0,0,'Données projet'!$E$14+1,1))</f>
        <v>242.21240859696931</v>
      </c>
      <c r="DU122" s="59">
        <f t="shared" si="98"/>
        <v>340.92165104349192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19.59692692591366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19.59692692591366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1.5</v>
      </c>
      <c r="EJ122" s="12">
        <f>IF('Données projet'!$A$192&gt;35,EJ121+EI122-ER121,IF(A122&lt;'Données projet'!$A$192,$EG$205^A122,IF(A122='Données projet'!$A$192,'Données projet'!$B$192,EJ121+EI122-ER121)))</f>
        <v>219.49999999999994</v>
      </c>
      <c r="EK122" s="17">
        <f>EJ122*VLOOKUP('Données projet'!$B$15,Paramètres!$A$1:$I$89,3,0)*VLOOKUP('Données projet'!$B$15,Paramètres!$A$1:$I$89,5,0)</f>
        <v>212.30039999999997</v>
      </c>
      <c r="EL122" s="13">
        <f t="shared" si="99"/>
        <v>52.437961786396215</v>
      </c>
      <c r="EM122" s="20">
        <f t="shared" si="73"/>
        <v>461.0859801113067</v>
      </c>
      <c r="EN122" s="59">
        <f t="shared" si="74"/>
        <v>742.99597140923584</v>
      </c>
      <c r="EO122" s="59">
        <f ca="1">AVERAGE(OFFSET($EN$3,0,0,'Données projet'!$E$15+1,1))-AVERAGE(OFFSET($H$3,0,0,'Données projet'!$E$15+1,1))</f>
        <v>331.7059599630698</v>
      </c>
      <c r="EP122" s="59">
        <f t="shared" si="100"/>
        <v>173.19148969173838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10.168933914341693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10.168933914341693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1.5</v>
      </c>
      <c r="FE122" s="12">
        <f>IF('Données projet'!$A$218&gt;35,FE121+FD122-FM121,IF(A122&lt;'Données projet'!$A$218,$FB$205^A122,IF(A122='Données projet'!$A$218,'Données projet'!$B$218,FE121+FD122-FM121)))</f>
        <v>219.49999999999994</v>
      </c>
      <c r="FF122" s="17">
        <f>FE122*VLOOKUP('Données projet'!$B$16,Paramètres!$A$1:$I$89,3,0)*VLOOKUP('Données projet'!$B$16,Paramètres!$A$1:$I$89,5,0)</f>
        <v>236.26979999999995</v>
      </c>
      <c r="FG122" s="13">
        <f t="shared" si="101"/>
        <v>57.636229562883841</v>
      </c>
      <c r="FH122" s="20">
        <f t="shared" si="76"/>
        <v>511.88633482202255</v>
      </c>
      <c r="FI122" s="59">
        <f t="shared" si="77"/>
        <v>793.79632611995169</v>
      </c>
      <c r="FJ122" s="59">
        <f ca="1">AVERAGE(OFFSET($FI$3,0,0,'Données projet'!$E$16+1,1))-AVERAGE(OFFSET($H$3,0,0,'Données projet'!$E$16+1,1))</f>
        <v>360.86062459677004</v>
      </c>
      <c r="FK122" s="59">
        <f t="shared" si="102"/>
        <v>186.0840067781198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19.44116047346014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19.44116047346014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1.9</v>
      </c>
      <c r="FZ122" s="12">
        <f>IF('Données projet'!$A$244&gt;35,FZ121+FY122-GH121,IF(A122&lt;'Données projet'!$A$244,$FW$205^A122,IF(A122='Données projet'!$A$244,'Données projet'!$B$244,FZ121+FY122-GH121)))</f>
        <v>283.09999999999951</v>
      </c>
      <c r="GA122" s="17">
        <f>FZ122*VLOOKUP('Données projet'!$B$17,Paramètres!$A$1:$I$89,3,0)*VLOOKUP('Données projet'!$B$17,Paramètres!$A$1:$I$89,5,0)</f>
        <v>287.06339999999955</v>
      </c>
      <c r="GB122" s="13">
        <f t="shared" si="103"/>
        <v>68.457537104109036</v>
      </c>
      <c r="GC122" s="20">
        <f t="shared" si="79"/>
        <v>619.19896545632253</v>
      </c>
      <c r="GD122" s="59">
        <f t="shared" si="80"/>
        <v>901.10895675425172</v>
      </c>
      <c r="GE122" s="59">
        <f ca="1">AVERAGE(OFFSET($GD$3,0,0,'Données projet'!$E$17+1,1))-AVERAGE(OFFSET($H$3,0,0,'Données projet'!$E$17+1,1))</f>
        <v>448.73339628506784</v>
      </c>
      <c r="GF122" s="59">
        <f t="shared" si="104"/>
        <v>273.35778700650803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30.090191321554727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30.090191321554727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285</v>
      </c>
      <c r="L123" s="12">
        <f>VLOOKUP(A123,'Données projet'!$A$35:$I$55,9,0)</f>
        <v>1.9</v>
      </c>
      <c r="M123" s="12">
        <f t="array" ref="M123">INDEX(L:L,MIN(IF(ISNUMBER(L123:L319),ROW(L123:L319),"")))</f>
        <v>1.9</v>
      </c>
      <c r="N123" s="13">
        <f>IF('Données projet'!$A$36&gt;35,N122+M123-V122,IF(A123&lt;'Données projet'!$A$36,$K$205^A123,IF(A123='Données projet'!$A$36,'Données projet'!$B$36,N122+M123-V122)))</f>
        <v>284.99999999999949</v>
      </c>
      <c r="O123" s="13">
        <f>N123*VLOOKUP('Données projet'!$B$9,Paramètres!$A$1:$I$89,3,0)*VLOOKUP('Données projet'!$B$9,Paramètres!$A$1:$I$89,5,0)</f>
        <v>257.86799999999954</v>
      </c>
      <c r="P123" s="13">
        <f t="shared" si="87"/>
        <v>62.267704162827414</v>
      </c>
      <c r="Q123" s="20">
        <f t="shared" si="107"/>
        <v>557.5696847502569</v>
      </c>
      <c r="R123" s="59">
        <f t="shared" si="55"/>
        <v>839.67784549373346</v>
      </c>
      <c r="S123" s="59">
        <f ca="1">AVERAGE(OFFSET($R$3,0,0,'Données projet'!$E$9+1,1))-AVERAGE(OFFSET($H$3,0,0,'Données projet'!$E$9+1,1))</f>
        <v>408.51124670343137</v>
      </c>
      <c r="T123" s="59">
        <f t="shared" si="88"/>
        <v>250.47702091764884</v>
      </c>
      <c r="U123" s="15">
        <f>IF(ISNA(VLOOKUP(A123,'Données projet'!$A$35:$I$55,3,0)),0,VLOOKUP(A123,'Données projet'!$A$35:$I$55,3,0))</f>
        <v>18</v>
      </c>
      <c r="V123" s="15">
        <f>IF(ISNA(VLOOKUP(A123,'Données projet'!$A$35:$I$55,4,0)),0,VLOOKUP(A123,'Données projet'!$A$35:$I$55,4,0))</f>
        <v>285</v>
      </c>
      <c r="W123" s="16">
        <f>IF(ISNA(VLOOKUP(A123,'Données projet'!$A$35:$I$55,5,0)),0%,VLOOKUP(A123,'Données projet'!$A$35:$I$55,5,0)*VLOOKUP('Données projet'!$B$9,Paramètres!$A$1:$I$89,7,0))</f>
        <v>0.34400000000000003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124.38571268424876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124.38571268424876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-2.8421709430404007E-13</v>
      </c>
      <c r="AJ123" s="13">
        <f>AI123*VLOOKUP('Données projet'!$B$10,Paramètres!$A$1:$I$89,3,0)*VLOOKUP('Données projet'!$B$10,Paramètres!$A$1:$I$89,5,0)</f>
        <v>-2.2612312022829427E-13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327.22763817565902</v>
      </c>
      <c r="AO123" s="59">
        <f t="shared" si="90"/>
        <v>311.68541696405975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47.059386268808986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47.059386268808986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2.8421709430404007E-14</v>
      </c>
      <c r="BE123" s="13">
        <f>BD123*VLOOKUP('Données projet'!$B$11,Paramètres!$A$1:$I$89,3,0)*VLOOKUP('Données projet'!$B$11,Paramètres!$A$1:$I$89,5,0)</f>
        <v>1.8178525351686402E-14</v>
      </c>
      <c r="BF123" s="13">
        <f t="shared" si="91"/>
        <v>3.3304129621647644E-13</v>
      </c>
      <c r="BG123" s="20">
        <f t="shared" si="61"/>
        <v>6.1170785589788349E-13</v>
      </c>
      <c r="BH123" s="59">
        <f t="shared" si="62"/>
        <v>282.10816074347724</v>
      </c>
      <c r="BI123" s="59">
        <f ca="1">AVERAGE(OFFSET($BH$3,0,0,'Données projet'!$E$11+1,1))-AVERAGE(OFFSET($H$3,0,0,'Données projet'!$E$11+1,1))</f>
        <v>169.46470423366029</v>
      </c>
      <c r="BJ123" s="59">
        <f t="shared" si="92"/>
        <v>230.78141128389288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10.19472358715692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10.19472358715692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-1.7053025658242404E-13</v>
      </c>
      <c r="BZ123" s="13">
        <f>BY123*VLOOKUP('Données projet'!$B$12,Paramètres!$A$1:$I$89,3,0)*VLOOKUP('Données projet'!$B$12,Paramètres!$A$1:$I$89,5,0)</f>
        <v>-1.4897523215040567E-13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342.79161436526499</v>
      </c>
      <c r="CE123" s="59">
        <f t="shared" si="94"/>
        <v>315.50730924873733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54.792957084250098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54.792957084250098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-5.6843418860808015E-14</v>
      </c>
      <c r="CU123" s="17">
        <f>CT123*VLOOKUP('Données projet'!$B$13,Paramètres!$A$1:$I$89,3,0)*VLOOKUP('Données projet'!$B$13,Paramètres!$A$1:$I$89,5,0)</f>
        <v>-3.813056537183002E-14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201.84651193684252</v>
      </c>
      <c r="CZ123" s="59">
        <f t="shared" si="96"/>
        <v>138.00705940844708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44.700003218877491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44.700003218877491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1.1368683772161603E-13</v>
      </c>
      <c r="DP123" s="17">
        <f>DO123*VLOOKUP('Données projet'!$B$14,Paramètres!$A$1:$I$89,3,0)*VLOOKUP('Données projet'!$B$14,Paramètres!$A$1:$I$89,5,0)</f>
        <v>8.3355189417488869E-14</v>
      </c>
      <c r="DQ123" s="13">
        <f t="shared" si="97"/>
        <v>1.2790518435140618E-12</v>
      </c>
      <c r="DR123" s="20">
        <f t="shared" si="70"/>
        <v>2.3728589156891171E-12</v>
      </c>
      <c r="DS123" s="59">
        <f t="shared" si="71"/>
        <v>282.108160743479</v>
      </c>
      <c r="DT123" s="59">
        <f ca="1">AVERAGE(OFFSET($DS$3,0,0,'Données projet'!$E$14+1,1))-AVERAGE(OFFSET($H$3,0,0,'Données projet'!$E$14+1,1))</f>
        <v>242.21240859696931</v>
      </c>
      <c r="DU123" s="59">
        <f t="shared" si="98"/>
        <v>340.92165104349192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19.212643141841664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19.212643141841664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>
        <f>VLOOKUP(A123,'Données projet'!$A$191:$I$211,2,0)</f>
        <v>221</v>
      </c>
      <c r="EH123" s="12">
        <f>VLOOKUP(A123,'Données projet'!$A$191:$I$211,9,0)</f>
        <v>1.5</v>
      </c>
      <c r="EI123" s="12">
        <f t="array" ref="EI123">INDEX(EH:EH,MIN(IF(ISNUMBER(EH123:EH319),ROW(EH123:EH319),"")))</f>
        <v>1.5</v>
      </c>
      <c r="EJ123" s="12">
        <f>IF('Données projet'!$A$192&gt;35,EJ122+EI123-ER122,IF(A123&lt;'Données projet'!$A$192,$EG$205^A123,IF(A123='Données projet'!$A$192,'Données projet'!$B$192,EJ122+EI123-ER122)))</f>
        <v>220.99999999999994</v>
      </c>
      <c r="EK123" s="17">
        <f>EJ123*VLOOKUP('Données projet'!$B$15,Paramètres!$A$1:$I$89,3,0)*VLOOKUP('Données projet'!$B$15,Paramètres!$A$1:$I$89,5,0)</f>
        <v>213.75119999999993</v>
      </c>
      <c r="EL123" s="13">
        <f t="shared" si="99"/>
        <v>52.7544706811642</v>
      </c>
      <c r="EM123" s="20">
        <f t="shared" si="73"/>
        <v>464.1640431030275</v>
      </c>
      <c r="EN123" s="59">
        <f t="shared" si="74"/>
        <v>746.27220384650411</v>
      </c>
      <c r="EO123" s="59">
        <f ca="1">AVERAGE(OFFSET($EN$3,0,0,'Données projet'!$E$15+1,1))-AVERAGE(OFFSET($H$3,0,0,'Données projet'!$E$15+1,1))</f>
        <v>331.7059599630698</v>
      </c>
      <c r="EP123" s="59">
        <f t="shared" si="100"/>
        <v>173.19148969173838</v>
      </c>
      <c r="EQ123" s="15">
        <f>IF(ISNA(VLOOKUP(A123,'Données projet'!$A$191:$I$211,3,0)),0,VLOOKUP(A123,'Données projet'!$A$191:$I$211,3,0))</f>
        <v>20</v>
      </c>
      <c r="ER123" s="15">
        <f>IF(ISNA(VLOOKUP(A123,'Données projet'!$A$191:$I$211,4,0)),0,VLOOKUP(A123,'Données projet'!$A$191:$I$211,4,0))</f>
        <v>221</v>
      </c>
      <c r="ES123" s="16">
        <f>IF(ISNA(VLOOKUP(A123,'Données projet'!$A$191:$I$211,5,0)),0%,VLOOKUP(A123,'Données projet'!$A$191:$I$211,5,0)*VLOOKUP('Données projet'!$B$15,Paramètres!$A$1:$I$89,7,0))</f>
        <v>0.34400000000000003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91.255220667949217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91.255220667949217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>
        <f>VLOOKUP(A123,'Données projet'!$A$217:$I$237,2,0)</f>
        <v>221</v>
      </c>
      <c r="FC123" s="12">
        <f>VLOOKUP(A123,'Données projet'!$A$217:$I$237,9,0)</f>
        <v>1.5</v>
      </c>
      <c r="FD123" s="12">
        <f t="array" ref="FD123">INDEX(FC:FC,MIN(IF(ISNUMBER(FC123:FC319),ROW(FC123:FC319),"")))</f>
        <v>1.5</v>
      </c>
      <c r="FE123" s="12">
        <f>IF('Données projet'!$A$218&gt;35,FE122+FD123-FM122,IF(A123&lt;'Données projet'!$A$218,$FB$205^A123,IF(A123='Données projet'!$A$218,'Données projet'!$B$218,FE122+FD123-FM122)))</f>
        <v>220.99999999999994</v>
      </c>
      <c r="FF123" s="17">
        <f>FE123*VLOOKUP('Données projet'!$B$16,Paramètres!$A$1:$I$89,3,0)*VLOOKUP('Données projet'!$B$16,Paramètres!$A$1:$I$89,5,0)</f>
        <v>237.88439999999994</v>
      </c>
      <c r="FG123" s="13">
        <f t="shared" si="101"/>
        <v>57.984114543460535</v>
      </c>
      <c r="FH123" s="20">
        <f t="shared" si="76"/>
        <v>515.30432949652698</v>
      </c>
      <c r="FI123" s="59">
        <f t="shared" si="77"/>
        <v>797.41249024000354</v>
      </c>
      <c r="FJ123" s="59">
        <f ca="1">AVERAGE(OFFSET($FI$3,0,0,'Données projet'!$E$16+1,1))-AVERAGE(OFFSET($H$3,0,0,'Données projet'!$E$16+1,1))</f>
        <v>360.86062459677004</v>
      </c>
      <c r="FK123" s="59">
        <f t="shared" si="102"/>
        <v>186.0840067781198</v>
      </c>
      <c r="FL123" s="15">
        <f>IF(ISNA(VLOOKUP(A123,'Données projet'!$A$217:$I$237,3,0)),0,VLOOKUP(A123,'Données projet'!$A$217:$I$237,3,0))</f>
        <v>20</v>
      </c>
      <c r="FM123" s="15">
        <f>IF(ISNA(VLOOKUP(A123,'Données projet'!$A$217:$I$237,4,0)),0,VLOOKUP(A123,'Données projet'!$A$217:$I$237,4,0))</f>
        <v>221</v>
      </c>
      <c r="FN123" s="16">
        <f>IF(ISNA(VLOOKUP(A123,'Données projet'!$A$217:$I$237,5,0)),0%,VLOOKUP(A123,'Données projet'!$A$217:$I$237,5,0)*VLOOKUP('Données projet'!$B$16,Paramètres!$A$1:$I$89,7,0))</f>
        <v>0.34400000000000003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109.52304151033364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109.52304151033364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>
        <f>VLOOKUP(A123,'Données projet'!$A$243:$I$263,2,0)</f>
        <v>285</v>
      </c>
      <c r="FX123" s="12">
        <f>VLOOKUP(A123,'Données projet'!$A$243:$I$263,9,0)</f>
        <v>1.9</v>
      </c>
      <c r="FY123" s="12">
        <f t="array" ref="FY123">INDEX(FX:FX,MIN(IF(ISNUMBER(FX123:FX319),ROW(FX123:FX319),"")))</f>
        <v>1.9</v>
      </c>
      <c r="FZ123" s="12">
        <f>IF('Données projet'!$A$244&gt;35,FZ122+FY123-GH122,IF(A123&lt;'Données projet'!$A$244,$FW$205^A123,IF(A123='Données projet'!$A$244,'Données projet'!$B$244,FZ122+FY123-GH122)))</f>
        <v>284.99999999999949</v>
      </c>
      <c r="GA123" s="17">
        <f>FZ123*VLOOKUP('Données projet'!$B$17,Paramètres!$A$1:$I$89,3,0)*VLOOKUP('Données projet'!$B$17,Paramètres!$A$1:$I$89,5,0)</f>
        <v>288.9899999999995</v>
      </c>
      <c r="GB123" s="13">
        <f t="shared" si="103"/>
        <v>68.86334590483672</v>
      </c>
      <c r="GC123" s="20">
        <f t="shared" si="79"/>
        <v>623.26124411758963</v>
      </c>
      <c r="GD123" s="59">
        <f t="shared" si="80"/>
        <v>905.36940486106619</v>
      </c>
      <c r="GE123" s="59">
        <f ca="1">AVERAGE(OFFSET($GD$3,0,0,'Données projet'!$E$17+1,1))-AVERAGE(OFFSET($H$3,0,0,'Données projet'!$E$17+1,1))</f>
        <v>448.73339628506784</v>
      </c>
      <c r="GF123" s="59">
        <f t="shared" si="104"/>
        <v>273.35778700650803</v>
      </c>
      <c r="GG123" s="15">
        <f>IF(ISNA(VLOOKUP(A123,'Données projet'!$A$243:$I$263,3,0)),0,VLOOKUP(A123,'Données projet'!$A$243:$I$263,3,0))</f>
        <v>18</v>
      </c>
      <c r="GH123" s="15">
        <f>IF(ISNA(VLOOKUP(A123,'Données projet'!$A$243:$I$263,4,0)),0,VLOOKUP(A123,'Données projet'!$A$243:$I$263,4,0))</f>
        <v>285</v>
      </c>
      <c r="GI123" s="16">
        <f>IF(ISNA(VLOOKUP(A123,'Données projet'!$A$243:$I$263,5,0)),0%,VLOOKUP(A123,'Données projet'!$A$243:$I$263,5,0)*VLOOKUP('Données projet'!$B$17,Paramètres!$A$1:$I$89,7,0))</f>
        <v>0.34400000000000003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139.39778145648569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139.39778145648569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-5.1159076974727213E-13</v>
      </c>
      <c r="O124" s="13">
        <f>N124*VLOOKUP('Données projet'!$B$9,Paramètres!$A$1:$I$89,3,0)*VLOOKUP('Données projet'!$B$9,Paramètres!$A$1:$I$89,5,0)</f>
        <v>-4.6288732846733184E-13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408.51124670343137</v>
      </c>
      <c r="T124" s="59">
        <f t="shared" si="88"/>
        <v>250.47702091764884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121.94658472630405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121.94658472630405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-2.8421709430404007E-13</v>
      </c>
      <c r="AJ124" s="13">
        <f>AI124*VLOOKUP('Données projet'!$B$10,Paramètres!$A$1:$I$89,3,0)*VLOOKUP('Données projet'!$B$10,Paramètres!$A$1:$I$89,5,0)</f>
        <v>-2.2612312022829427E-13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327.22763817565902</v>
      </c>
      <c r="AO124" s="59">
        <f t="shared" si="90"/>
        <v>311.68541696405975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46.13658040746904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46.13658040746904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2.8421709430404007E-14</v>
      </c>
      <c r="BE124" s="13">
        <f>BD124*VLOOKUP('Données projet'!$B$11,Paramètres!$A$1:$I$89,3,0)*VLOOKUP('Données projet'!$B$11,Paramètres!$A$1:$I$89,5,0)</f>
        <v>1.8178525351686402E-14</v>
      </c>
      <c r="BF124" s="13">
        <f t="shared" si="91"/>
        <v>3.3304129621647644E-13</v>
      </c>
      <c r="BG124" s="20">
        <f t="shared" si="61"/>
        <v>6.1170785589788349E-13</v>
      </c>
      <c r="BH124" s="59">
        <f t="shared" si="62"/>
        <v>282.30289239218502</v>
      </c>
      <c r="BI124" s="59">
        <f ca="1">AVERAGE(OFFSET($BH$3,0,0,'Données projet'!$E$11+1,1))-AVERAGE(OFFSET($H$3,0,0,'Données projet'!$E$11+1,1))</f>
        <v>169.46470423366029</v>
      </c>
      <c r="BJ124" s="59">
        <f t="shared" si="92"/>
        <v>230.78141128389288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9.9948112757801688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9.9948112757801688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-1.7053025658242404E-13</v>
      </c>
      <c r="BZ124" s="13">
        <f>BY124*VLOOKUP('Données projet'!$B$12,Paramètres!$A$1:$I$89,3,0)*VLOOKUP('Données projet'!$B$12,Paramètres!$A$1:$I$89,5,0)</f>
        <v>-1.4897523215040567E-13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342.79161436526499</v>
      </c>
      <c r="CE124" s="59">
        <f t="shared" si="94"/>
        <v>315.50730924873733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53.718500616231786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53.718500616231786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-5.6843418860808015E-14</v>
      </c>
      <c r="CU124" s="17">
        <f>CT124*VLOOKUP('Données projet'!$B$13,Paramètres!$A$1:$I$89,3,0)*VLOOKUP('Données projet'!$B$13,Paramètres!$A$1:$I$89,5,0)</f>
        <v>-3.813056537183002E-14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201.84651193684252</v>
      </c>
      <c r="CZ124" s="59">
        <f t="shared" si="96"/>
        <v>138.00705940844708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43.823463420065139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43.823463420065139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1.1368683772161603E-13</v>
      </c>
      <c r="DP124" s="17">
        <f>DO124*VLOOKUP('Données projet'!$B$14,Paramètres!$A$1:$I$89,3,0)*VLOOKUP('Données projet'!$B$14,Paramètres!$A$1:$I$89,5,0)</f>
        <v>8.3355189417488869E-14</v>
      </c>
      <c r="DQ124" s="13">
        <f t="shared" si="97"/>
        <v>1.2790518435140618E-12</v>
      </c>
      <c r="DR124" s="20">
        <f t="shared" si="70"/>
        <v>2.3728589156891171E-12</v>
      </c>
      <c r="DS124" s="59">
        <f t="shared" si="71"/>
        <v>282.30289239218678</v>
      </c>
      <c r="DT124" s="59">
        <f ca="1">AVERAGE(OFFSET($DS$3,0,0,'Données projet'!$E$14+1,1))-AVERAGE(OFFSET($H$3,0,0,'Données projet'!$E$14+1,1))</f>
        <v>242.21240859696931</v>
      </c>
      <c r="DU124" s="59">
        <f t="shared" si="98"/>
        <v>340.92165104349192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18.835894928385354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18.835894928385354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-5.6843418860808015E-14</v>
      </c>
      <c r="EK124" s="17">
        <f>EJ124*VLOOKUP('Données projet'!$B$15,Paramètres!$A$1:$I$89,3,0)*VLOOKUP('Données projet'!$B$15,Paramètres!$A$1:$I$89,5,0)</f>
        <v>-5.4978954722173515E-14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331.7059599630698</v>
      </c>
      <c r="EP124" s="59">
        <f t="shared" si="100"/>
        <v>173.19148969173838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89.465761450839352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89.465761450839352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-5.6843418860808015E-14</v>
      </c>
      <c r="FF124" s="17">
        <f>FE124*VLOOKUP('Données projet'!$B$16,Paramètres!$A$1:$I$89,3,0)*VLOOKUP('Données projet'!$B$16,Paramètres!$A$1:$I$89,5,0)</f>
        <v>-6.1186256061773749E-14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360.86062459677004</v>
      </c>
      <c r="FK124" s="59">
        <f t="shared" si="102"/>
        <v>186.0840067781198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107.37536146877513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107.37536146877513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-5.1159076974727213E-13</v>
      </c>
      <c r="GA124" s="17">
        <f>FZ124*VLOOKUP('Données projet'!$B$17,Paramètres!$A$1:$I$89,3,0)*VLOOKUP('Données projet'!$B$17,Paramètres!$A$1:$I$89,5,0)</f>
        <v>-5.1875304052373401E-13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448.73339628506784</v>
      </c>
      <c r="GF124" s="59">
        <f t="shared" si="104"/>
        <v>273.35778700650803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136.66427598637526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136.66427598637526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-5.1159076974727213E-13</v>
      </c>
      <c r="O125" s="13">
        <f>N125*VLOOKUP('Données projet'!$B$9,Paramètres!$A$1:$I$89,3,0)*VLOOKUP('Données projet'!$B$9,Paramètres!$A$1:$I$89,5,0)</f>
        <v>-4.6288732846733184E-13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408.51124670343137</v>
      </c>
      <c r="T125" s="59">
        <f t="shared" si="88"/>
        <v>250.47702091764884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119.55528657989349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119.55528657989349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-2.8421709430404007E-13</v>
      </c>
      <c r="AJ125" s="13">
        <f>AI125*VLOOKUP('Données projet'!$B$10,Paramètres!$A$1:$I$89,3,0)*VLOOKUP('Données projet'!$B$10,Paramètres!$A$1:$I$89,5,0)</f>
        <v>-2.2612312022829427E-13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327.22763817565902</v>
      </c>
      <c r="AO125" s="59">
        <f t="shared" si="90"/>
        <v>311.68541696405975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45.231870206213976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45.231870206213976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2.8421709430404007E-14</v>
      </c>
      <c r="BE125" s="13">
        <f>BD125*VLOOKUP('Données projet'!$B$11,Paramètres!$A$1:$I$89,3,0)*VLOOKUP('Données projet'!$B$11,Paramètres!$A$1:$I$89,5,0)</f>
        <v>1.8178525351686402E-14</v>
      </c>
      <c r="BF125" s="13">
        <f t="shared" si="91"/>
        <v>3.3304129621647644E-13</v>
      </c>
      <c r="BG125" s="20">
        <f t="shared" si="61"/>
        <v>6.1170785589788349E-13</v>
      </c>
      <c r="BH125" s="59">
        <f t="shared" si="62"/>
        <v>282.49424588214242</v>
      </c>
      <c r="BI125" s="59">
        <f ca="1">AVERAGE(OFFSET($BH$3,0,0,'Données projet'!$E$11+1,1))-AVERAGE(OFFSET($H$3,0,0,'Données projet'!$E$11+1,1))</f>
        <v>169.46470423366029</v>
      </c>
      <c r="BJ125" s="59">
        <f t="shared" si="92"/>
        <v>230.78141128389288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9.7988191228950452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9.7988191228950452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-1.7053025658242404E-13</v>
      </c>
      <c r="BZ125" s="13">
        <f>BY125*VLOOKUP('Données projet'!$B$12,Paramètres!$A$1:$I$89,3,0)*VLOOKUP('Données projet'!$B$12,Paramètres!$A$1:$I$89,5,0)</f>
        <v>-1.4897523215040567E-13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342.79161436526499</v>
      </c>
      <c r="CE125" s="59">
        <f t="shared" si="94"/>
        <v>315.50730924873733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52.665113584197577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52.665113584197577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-5.6843418860808015E-14</v>
      </c>
      <c r="CU125" s="17">
        <f>CT125*VLOOKUP('Données projet'!$B$13,Paramètres!$A$1:$I$89,3,0)*VLOOKUP('Données projet'!$B$13,Paramètres!$A$1:$I$89,5,0)</f>
        <v>-3.813056537183002E-14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201.84651193684252</v>
      </c>
      <c r="CZ125" s="59">
        <f t="shared" si="96"/>
        <v>138.00705940844708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42.964112032071014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42.964112032071014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1.1368683772161603E-13</v>
      </c>
      <c r="DP125" s="17">
        <f>DO125*VLOOKUP('Données projet'!$B$14,Paramètres!$A$1:$I$89,3,0)*VLOOKUP('Données projet'!$B$14,Paramètres!$A$1:$I$89,5,0)</f>
        <v>8.3355189417488869E-14</v>
      </c>
      <c r="DQ125" s="13">
        <f t="shared" si="97"/>
        <v>1.2790518435140618E-12</v>
      </c>
      <c r="DR125" s="20">
        <f t="shared" si="70"/>
        <v>2.3728589156891171E-12</v>
      </c>
      <c r="DS125" s="59">
        <f t="shared" si="71"/>
        <v>282.49424588214418</v>
      </c>
      <c r="DT125" s="59">
        <f ca="1">AVERAGE(OFFSET($DS$3,0,0,'Données projet'!$E$14+1,1))-AVERAGE(OFFSET($H$3,0,0,'Données projet'!$E$14+1,1))</f>
        <v>242.21240859696931</v>
      </c>
      <c r="DU125" s="59">
        <f t="shared" si="98"/>
        <v>340.92165104349192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18.466534517601204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18.466534517601204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-5.6843418860808015E-14</v>
      </c>
      <c r="EK125" s="17">
        <f>EJ125*VLOOKUP('Données projet'!$B$15,Paramètres!$A$1:$I$89,3,0)*VLOOKUP('Données projet'!$B$15,Paramètres!$A$1:$I$89,5,0)</f>
        <v>-5.4978954722173515E-14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331.7059599630698</v>
      </c>
      <c r="EP125" s="59">
        <f t="shared" si="100"/>
        <v>173.19148969173838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87.711392437514661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87.711392437514661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-5.6843418860808015E-14</v>
      </c>
      <c r="FF125" s="17">
        <f>FE125*VLOOKUP('Données projet'!$B$16,Paramètres!$A$1:$I$89,3,0)*VLOOKUP('Données projet'!$B$16,Paramètres!$A$1:$I$89,5,0)</f>
        <v>-6.1186256061773749E-14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360.86062459677004</v>
      </c>
      <c r="FK125" s="59">
        <f t="shared" si="102"/>
        <v>186.0840067781198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105.26979612287609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105.26979612287609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-5.1159076974727213E-13</v>
      </c>
      <c r="GA125" s="17">
        <f>FZ125*VLOOKUP('Données projet'!$B$17,Paramètres!$A$1:$I$89,3,0)*VLOOKUP('Données projet'!$B$17,Paramètres!$A$1:$I$89,5,0)</f>
        <v>-5.1875304052373401E-13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448.73339628506784</v>
      </c>
      <c r="GF125" s="59">
        <f t="shared" si="104"/>
        <v>273.35778700650803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133.98437289125997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133.98437289125997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-5.1159076974727213E-13</v>
      </c>
      <c r="O126" s="13">
        <f>N126*VLOOKUP('Données projet'!$B$9,Paramètres!$A$1:$I$89,3,0)*VLOOKUP('Données projet'!$B$9,Paramètres!$A$1:$I$89,5,0)</f>
        <v>-4.6288732846733184E-13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408.51124670343137</v>
      </c>
      <c r="T126" s="59">
        <f t="shared" si="88"/>
        <v>250.47702091764884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117.2108803315862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117.2108803315862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-2.8421709430404007E-13</v>
      </c>
      <c r="AJ126" s="13">
        <f>AI126*VLOOKUP('Données projet'!$B$10,Paramètres!$A$1:$I$89,3,0)*VLOOKUP('Données projet'!$B$10,Paramètres!$A$1:$I$89,5,0)</f>
        <v>-2.2612312022829427E-13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327.22763817565902</v>
      </c>
      <c r="AO126" s="59">
        <f t="shared" si="90"/>
        <v>311.68541696405975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44.344900820186787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44.344900820186787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2.8421709430404007E-14</v>
      </c>
      <c r="BE126" s="13">
        <f>BD126*VLOOKUP('Données projet'!$B$11,Paramètres!$A$1:$I$89,3,0)*VLOOKUP('Données projet'!$B$11,Paramètres!$A$1:$I$89,5,0)</f>
        <v>1.8178525351686402E-14</v>
      </c>
      <c r="BF126" s="13">
        <f t="shared" si="91"/>
        <v>3.3304129621647644E-13</v>
      </c>
      <c r="BG126" s="20">
        <f t="shared" si="61"/>
        <v>6.1170785589788349E-13</v>
      </c>
      <c r="BH126" s="59">
        <f t="shared" si="62"/>
        <v>282.68227981685129</v>
      </c>
      <c r="BI126" s="59">
        <f ca="1">AVERAGE(OFFSET($BH$3,0,0,'Données projet'!$E$11+1,1))-AVERAGE(OFFSET($H$3,0,0,'Données projet'!$E$11+1,1))</f>
        <v>169.46470423366029</v>
      </c>
      <c r="BJ126" s="59">
        <f t="shared" si="92"/>
        <v>230.78141128389288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9.6066702565845894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9.6066702565845894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-1.7053025658242404E-13</v>
      </c>
      <c r="BZ126" s="13">
        <f>BY126*VLOOKUP('Données projet'!$B$12,Paramètres!$A$1:$I$89,3,0)*VLOOKUP('Données projet'!$B$12,Paramètres!$A$1:$I$89,5,0)</f>
        <v>-1.4897523215040567E-13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342.79161436526499</v>
      </c>
      <c r="CE126" s="59">
        <f t="shared" si="94"/>
        <v>315.50730924873733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51.63238282935891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51.63238282935891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-5.6843418860808015E-14</v>
      </c>
      <c r="CU126" s="17">
        <f>CT126*VLOOKUP('Données projet'!$B$13,Paramètres!$A$1:$I$89,3,0)*VLOOKUP('Données projet'!$B$13,Paramètres!$A$1:$I$89,5,0)</f>
        <v>-3.813056537183002E-14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201.84651193684252</v>
      </c>
      <c r="CZ126" s="59">
        <f t="shared" si="96"/>
        <v>138.00705940844708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42.121612000642862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42.121612000642862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1.1368683772161603E-13</v>
      </c>
      <c r="DP126" s="17">
        <f>DO126*VLOOKUP('Données projet'!$B$14,Paramètres!$A$1:$I$89,3,0)*VLOOKUP('Données projet'!$B$14,Paramètres!$A$1:$I$89,5,0)</f>
        <v>8.3355189417488869E-14</v>
      </c>
      <c r="DQ126" s="13">
        <f t="shared" si="97"/>
        <v>1.2790518435140618E-12</v>
      </c>
      <c r="DR126" s="20">
        <f t="shared" si="70"/>
        <v>2.3728589156891171E-12</v>
      </c>
      <c r="DS126" s="59">
        <f t="shared" si="71"/>
        <v>282.68227981685305</v>
      </c>
      <c r="DT126" s="59">
        <f ca="1">AVERAGE(OFFSET($DS$3,0,0,'Données projet'!$E$14+1,1))-AVERAGE(OFFSET($H$3,0,0,'Données projet'!$E$14+1,1))</f>
        <v>242.21240859696931</v>
      </c>
      <c r="DU126" s="59">
        <f t="shared" si="98"/>
        <v>340.92165104349192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18.104417039184924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18.104417039184924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-5.6843418860808015E-14</v>
      </c>
      <c r="EK126" s="17">
        <f>EJ126*VLOOKUP('Données projet'!$B$15,Paramètres!$A$1:$I$89,3,0)*VLOOKUP('Données projet'!$B$15,Paramètres!$A$1:$I$89,5,0)</f>
        <v>-5.4978954722173515E-14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331.7059599630698</v>
      </c>
      <c r="EP126" s="59">
        <f t="shared" si="100"/>
        <v>173.19148969173838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85.991425530481834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85.991425530481834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-5.6843418860808015E-14</v>
      </c>
      <c r="FF126" s="17">
        <f>FE126*VLOOKUP('Données projet'!$B$16,Paramètres!$A$1:$I$89,3,0)*VLOOKUP('Données projet'!$B$16,Paramètres!$A$1:$I$89,5,0)</f>
        <v>-6.1186256061773749E-14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360.86062459677004</v>
      </c>
      <c r="FK126" s="59">
        <f t="shared" si="102"/>
        <v>186.0840067781198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103.20551962914209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103.20551962914209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-5.1159076974727213E-13</v>
      </c>
      <c r="GA126" s="17">
        <f>FZ126*VLOOKUP('Données projet'!$B$17,Paramètres!$A$1:$I$89,3,0)*VLOOKUP('Données projet'!$B$17,Paramètres!$A$1:$I$89,5,0)</f>
        <v>-5.1875304052373401E-13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448.73339628506784</v>
      </c>
      <c r="GF126" s="59">
        <f t="shared" si="104"/>
        <v>273.35778700650803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131.35702106126041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131.35702106126041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-5.1159076974727213E-13</v>
      </c>
      <c r="O127" s="13">
        <f>N127*VLOOKUP('Données projet'!$B$9,Paramètres!$A$1:$I$89,3,0)*VLOOKUP('Données projet'!$B$9,Paramètres!$A$1:$I$89,5,0)</f>
        <v>-4.6288732846733184E-13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408.51124670343137</v>
      </c>
      <c r="T127" s="59">
        <f t="shared" si="88"/>
        <v>250.47702091764884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114.91244645986158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114.91244645986158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-2.8421709430404007E-13</v>
      </c>
      <c r="AJ127" s="13">
        <f>AI127*VLOOKUP('Données projet'!$B$10,Paramètres!$A$1:$I$89,3,0)*VLOOKUP('Données projet'!$B$10,Paramètres!$A$1:$I$89,5,0)</f>
        <v>-2.2612312022829427E-13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327.22763817565902</v>
      </c>
      <c r="AO127" s="59">
        <f t="shared" si="90"/>
        <v>311.68541696405975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43.475324362821681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43.475324362821681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2.8421709430404007E-14</v>
      </c>
      <c r="BE127" s="13">
        <f>BD127*VLOOKUP('Données projet'!$B$11,Paramètres!$A$1:$I$89,3,0)*VLOOKUP('Données projet'!$B$11,Paramètres!$A$1:$I$89,5,0)</f>
        <v>1.8178525351686402E-14</v>
      </c>
      <c r="BF127" s="13">
        <f t="shared" si="91"/>
        <v>3.3304129621647644E-13</v>
      </c>
      <c r="BG127" s="20">
        <f t="shared" si="61"/>
        <v>6.1170785589788349E-13</v>
      </c>
      <c r="BH127" s="59">
        <f t="shared" si="62"/>
        <v>282.86705178317396</v>
      </c>
      <c r="BI127" s="59">
        <f ca="1">AVERAGE(OFFSET($BH$3,0,0,'Données projet'!$E$11+1,1))-AVERAGE(OFFSET($H$3,0,0,'Données projet'!$E$11+1,1))</f>
        <v>169.46470423366029</v>
      </c>
      <c r="BJ127" s="59">
        <f t="shared" si="92"/>
        <v>230.78141128389288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9.4182893123432461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9.4182893123432461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-1.7053025658242404E-13</v>
      </c>
      <c r="BZ127" s="13">
        <f>BY127*VLOOKUP('Données projet'!$B$12,Paramètres!$A$1:$I$89,3,0)*VLOOKUP('Données projet'!$B$12,Paramètres!$A$1:$I$89,5,0)</f>
        <v>-1.4897523215040567E-13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342.79161436526499</v>
      </c>
      <c r="CE127" s="59">
        <f t="shared" si="94"/>
        <v>315.50730924873733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50.619903294719066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50.619903294719066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-5.6843418860808015E-14</v>
      </c>
      <c r="CU127" s="17">
        <f>CT127*VLOOKUP('Données projet'!$B$13,Paramètres!$A$1:$I$89,3,0)*VLOOKUP('Données projet'!$B$13,Paramètres!$A$1:$I$89,5,0)</f>
        <v>-3.813056537183002E-14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201.84651193684252</v>
      </c>
      <c r="CZ127" s="59">
        <f t="shared" si="96"/>
        <v>138.00705940844708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41.295632880956738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41.295632880956738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1.1368683772161603E-13</v>
      </c>
      <c r="DP127" s="17">
        <f>DO127*VLOOKUP('Données projet'!$B$14,Paramètres!$A$1:$I$89,3,0)*VLOOKUP('Données projet'!$B$14,Paramètres!$A$1:$I$89,5,0)</f>
        <v>8.3355189417488869E-14</v>
      </c>
      <c r="DQ127" s="13">
        <f t="shared" si="97"/>
        <v>1.2790518435140618E-12</v>
      </c>
      <c r="DR127" s="20">
        <f t="shared" si="70"/>
        <v>2.3728589156891171E-12</v>
      </c>
      <c r="DS127" s="59">
        <f t="shared" si="71"/>
        <v>282.86705178317573</v>
      </c>
      <c r="DT127" s="59">
        <f ca="1">AVERAGE(OFFSET($DS$3,0,0,'Données projet'!$E$14+1,1))-AVERAGE(OFFSET($H$3,0,0,'Données projet'!$E$14+1,1))</f>
        <v>242.21240859696931</v>
      </c>
      <c r="DU127" s="59">
        <f t="shared" si="98"/>
        <v>340.92165104349192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17.749400463650534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17.749400463650534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-5.6843418860808015E-14</v>
      </c>
      <c r="EK127" s="17">
        <f>EJ127*VLOOKUP('Données projet'!$B$15,Paramètres!$A$1:$I$89,3,0)*VLOOKUP('Données projet'!$B$15,Paramètres!$A$1:$I$89,5,0)</f>
        <v>-5.4978954722173515E-14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331.7059599630698</v>
      </c>
      <c r="EP127" s="59">
        <f t="shared" si="100"/>
        <v>173.19148969173838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84.305186125419695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84.305186125419695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-5.6843418860808015E-14</v>
      </c>
      <c r="FF127" s="17">
        <f>FE127*VLOOKUP('Données projet'!$B$16,Paramètres!$A$1:$I$89,3,0)*VLOOKUP('Données projet'!$B$16,Paramètres!$A$1:$I$89,5,0)</f>
        <v>-6.1186256061773749E-14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360.86062459677004</v>
      </c>
      <c r="FK127" s="59">
        <f t="shared" si="102"/>
        <v>186.0840067781198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101.18172233836587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101.18172233836587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-5.1159076974727213E-13</v>
      </c>
      <c r="GA127" s="17">
        <f>FZ127*VLOOKUP('Données projet'!$B$17,Paramètres!$A$1:$I$89,3,0)*VLOOKUP('Données projet'!$B$17,Paramètres!$A$1:$I$89,5,0)</f>
        <v>-5.1875304052373401E-13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448.73339628506784</v>
      </c>
      <c r="GF127" s="59">
        <f t="shared" si="104"/>
        <v>273.35778700650803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128.78118999812077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128.78118999812077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-5.1159076974727213E-13</v>
      </c>
      <c r="O128" s="13">
        <f>N128*VLOOKUP('Données projet'!$B$9,Paramètres!$A$1:$I$89,3,0)*VLOOKUP('Données projet'!$B$9,Paramètres!$A$1:$I$89,5,0)</f>
        <v>-4.6288732846733184E-13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408.51124670343137</v>
      </c>
      <c r="T128" s="59">
        <f t="shared" si="88"/>
        <v>250.47702091764884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112.65908347445526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112.65908347445526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-2.8421709430404007E-13</v>
      </c>
      <c r="AJ128" s="13">
        <f>AI128*VLOOKUP('Données projet'!$B$10,Paramètres!$A$1:$I$89,3,0)*VLOOKUP('Données projet'!$B$10,Paramètres!$A$1:$I$89,5,0)</f>
        <v>-2.2612312022829427E-13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327.22763817565902</v>
      </c>
      <c r="AO128" s="59">
        <f t="shared" si="90"/>
        <v>311.68541696405975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42.622799769396238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42.622799769396238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2.8421709430404007E-14</v>
      </c>
      <c r="BE128" s="13">
        <f>BD128*VLOOKUP('Données projet'!$B$11,Paramètres!$A$1:$I$89,3,0)*VLOOKUP('Données projet'!$B$11,Paramètres!$A$1:$I$89,5,0)</f>
        <v>1.8178525351686402E-14</v>
      </c>
      <c r="BF128" s="13">
        <f t="shared" si="91"/>
        <v>3.3304129621647644E-13</v>
      </c>
      <c r="BG128" s="20">
        <f t="shared" si="61"/>
        <v>6.1170785589788349E-13</v>
      </c>
      <c r="BH128" s="59">
        <f t="shared" si="62"/>
        <v>283.04861836896913</v>
      </c>
      <c r="BI128" s="59">
        <f ca="1">AVERAGE(OFFSET($BH$3,0,0,'Données projet'!$E$11+1,1))-AVERAGE(OFFSET($H$3,0,0,'Données projet'!$E$11+1,1))</f>
        <v>169.46470423366029</v>
      </c>
      <c r="BJ128" s="59">
        <f t="shared" si="92"/>
        <v>230.78141128389288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9.2336024035174447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9.2336024035174447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-1.7053025658242404E-13</v>
      </c>
      <c r="BZ128" s="13">
        <f>BY128*VLOOKUP('Données projet'!$B$12,Paramètres!$A$1:$I$89,3,0)*VLOOKUP('Données projet'!$B$12,Paramètres!$A$1:$I$89,5,0)</f>
        <v>-1.4897523215040567E-13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342.79161436526499</v>
      </c>
      <c r="CE128" s="59">
        <f t="shared" si="94"/>
        <v>315.50730924873733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49.627277866201972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49.627277866201972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-5.6843418860808015E-14</v>
      </c>
      <c r="CU128" s="17">
        <f>CT128*VLOOKUP('Données projet'!$B$13,Paramètres!$A$1:$I$89,3,0)*VLOOKUP('Données projet'!$B$13,Paramètres!$A$1:$I$89,5,0)</f>
        <v>-3.813056537183002E-14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201.84651193684252</v>
      </c>
      <c r="CZ128" s="59">
        <f t="shared" si="96"/>
        <v>138.00705940844708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40.48585070801014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40.48585070801014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1.1368683772161603E-13</v>
      </c>
      <c r="DP128" s="17">
        <f>DO128*VLOOKUP('Données projet'!$B$14,Paramètres!$A$1:$I$89,3,0)*VLOOKUP('Données projet'!$B$14,Paramètres!$A$1:$I$89,5,0)</f>
        <v>8.3355189417488869E-14</v>
      </c>
      <c r="DQ128" s="13">
        <f t="shared" si="97"/>
        <v>1.2790518435140618E-12</v>
      </c>
      <c r="DR128" s="20">
        <f t="shared" si="70"/>
        <v>2.3728589156891171E-12</v>
      </c>
      <c r="DS128" s="59">
        <f t="shared" si="71"/>
        <v>283.04861836897089</v>
      </c>
      <c r="DT128" s="59">
        <f ca="1">AVERAGE(OFFSET($DS$3,0,0,'Données projet'!$E$14+1,1))-AVERAGE(OFFSET($H$3,0,0,'Données projet'!$E$14+1,1))</f>
        <v>242.21240859696931</v>
      </c>
      <c r="DU128" s="59">
        <f t="shared" si="98"/>
        <v>340.92165104349192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17.401345546623645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17.401345546623645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-5.6843418860808015E-14</v>
      </c>
      <c r="EK128" s="17">
        <f>EJ128*VLOOKUP('Données projet'!$B$15,Paramètres!$A$1:$I$89,3,0)*VLOOKUP('Données projet'!$B$15,Paramètres!$A$1:$I$89,5,0)</f>
        <v>-5.4978954722173515E-14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331.7059599630698</v>
      </c>
      <c r="EP128" s="59">
        <f t="shared" si="100"/>
        <v>173.19148969173838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82.652012846586345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82.652012846586345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-5.6843418860808015E-14</v>
      </c>
      <c r="FF128" s="17">
        <f>FE128*VLOOKUP('Données projet'!$B$16,Paramètres!$A$1:$I$89,3,0)*VLOOKUP('Données projet'!$B$16,Paramètres!$A$1:$I$89,5,0)</f>
        <v>-6.1186256061773749E-14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360.86062459677004</v>
      </c>
      <c r="FK128" s="59">
        <f t="shared" si="102"/>
        <v>186.0840067781198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99.197610478067318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99.197610478067318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-5.1159076974727213E-13</v>
      </c>
      <c r="GA128" s="17">
        <f>FZ128*VLOOKUP('Données projet'!$B$17,Paramètres!$A$1:$I$89,3,0)*VLOOKUP('Données projet'!$B$17,Paramètres!$A$1:$I$89,5,0)</f>
        <v>-5.1875304052373401E-13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448.73339628506784</v>
      </c>
      <c r="GF128" s="59">
        <f t="shared" si="104"/>
        <v>273.35778700650803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126.25586941102748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126.25586941102748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-5.1159076974727213E-13</v>
      </c>
      <c r="O129" s="13">
        <f>N129*VLOOKUP('Données projet'!$B$9,Paramètres!$A$1:$I$89,3,0)*VLOOKUP('Données projet'!$B$9,Paramètres!$A$1:$I$89,5,0)</f>
        <v>-4.6288732846733184E-13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408.51124670343137</v>
      </c>
      <c r="T129" s="59">
        <f t="shared" si="88"/>
        <v>250.47702091764884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110.44990756277704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110.44990756277704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-2.8421709430404007E-13</v>
      </c>
      <c r="AJ129" s="13">
        <f>AI129*VLOOKUP('Données projet'!$B$10,Paramètres!$A$1:$I$89,3,0)*VLOOKUP('Données projet'!$B$10,Paramètres!$A$1:$I$89,5,0)</f>
        <v>-2.2612312022829427E-13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327.22763817565902</v>
      </c>
      <c r="AO129" s="59">
        <f t="shared" si="90"/>
        <v>311.68541696405975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41.786992663259213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41.786992663259213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2.8421709430404007E-14</v>
      </c>
      <c r="BE129" s="13">
        <f>BD129*VLOOKUP('Données projet'!$B$11,Paramètres!$A$1:$I$89,3,0)*VLOOKUP('Données projet'!$B$11,Paramètres!$A$1:$I$89,5,0)</f>
        <v>1.8178525351686402E-14</v>
      </c>
      <c r="BF129" s="13">
        <f t="shared" si="91"/>
        <v>3.3304129621647644E-13</v>
      </c>
      <c r="BG129" s="20">
        <f t="shared" si="61"/>
        <v>6.1170785589788349E-13</v>
      </c>
      <c r="BH129" s="59">
        <f t="shared" si="62"/>
        <v>283.22703518042283</v>
      </c>
      <c r="BI129" s="59">
        <f ca="1">AVERAGE(OFFSET($BH$3,0,0,'Données projet'!$E$11+1,1))-AVERAGE(OFFSET($H$3,0,0,'Données projet'!$E$11+1,1))</f>
        <v>169.46470423366029</v>
      </c>
      <c r="BJ129" s="59">
        <f t="shared" si="92"/>
        <v>230.78141128389288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9.0525370923258262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9.0525370923258262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-1.7053025658242404E-13</v>
      </c>
      <c r="BZ129" s="13">
        <f>BY129*VLOOKUP('Données projet'!$B$12,Paramètres!$A$1:$I$89,3,0)*VLOOKUP('Données projet'!$B$12,Paramètres!$A$1:$I$89,5,0)</f>
        <v>-1.4897523215040567E-13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342.79161436526499</v>
      </c>
      <c r="CE129" s="59">
        <f t="shared" si="94"/>
        <v>315.50730924873733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48.654117216896367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48.654117216896367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-5.6843418860808015E-14</v>
      </c>
      <c r="CU129" s="17">
        <f>CT129*VLOOKUP('Données projet'!$B$13,Paramètres!$A$1:$I$89,3,0)*VLOOKUP('Données projet'!$B$13,Paramètres!$A$1:$I$89,5,0)</f>
        <v>-3.813056537183002E-14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201.84651193684252</v>
      </c>
      <c r="CZ129" s="59">
        <f t="shared" si="96"/>
        <v>138.00705940844708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39.691947869556671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39.691947869556671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1.1368683772161603E-13</v>
      </c>
      <c r="DP129" s="17">
        <f>DO129*VLOOKUP('Données projet'!$B$14,Paramètres!$A$1:$I$89,3,0)*VLOOKUP('Données projet'!$B$14,Paramètres!$A$1:$I$89,5,0)</f>
        <v>8.3355189417488869E-14</v>
      </c>
      <c r="DQ129" s="13">
        <f t="shared" si="97"/>
        <v>1.2790518435140618E-12</v>
      </c>
      <c r="DR129" s="20">
        <f t="shared" si="70"/>
        <v>2.3728589156891171E-12</v>
      </c>
      <c r="DS129" s="59">
        <f t="shared" si="71"/>
        <v>283.22703518042459</v>
      </c>
      <c r="DT129" s="59">
        <f ca="1">AVERAGE(OFFSET($DS$3,0,0,'Données projet'!$E$14+1,1))-AVERAGE(OFFSET($H$3,0,0,'Données projet'!$E$14+1,1))</f>
        <v>242.21240859696931</v>
      </c>
      <c r="DU129" s="59">
        <f t="shared" si="98"/>
        <v>340.92165104349192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17.060115774227114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17.060115774227114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-5.6843418860808015E-14</v>
      </c>
      <c r="EK129" s="17">
        <f>EJ129*VLOOKUP('Données projet'!$B$15,Paramètres!$A$1:$I$89,3,0)*VLOOKUP('Données projet'!$B$15,Paramètres!$A$1:$I$89,5,0)</f>
        <v>-5.4978954722173515E-14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331.7059599630698</v>
      </c>
      <c r="EP129" s="59">
        <f t="shared" si="100"/>
        <v>173.19148969173838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81.031257287414775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81.031257287414775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-5.6843418860808015E-14</v>
      </c>
      <c r="FF129" s="17">
        <f>FE129*VLOOKUP('Données projet'!$B$16,Paramètres!$A$1:$I$89,3,0)*VLOOKUP('Données projet'!$B$16,Paramètres!$A$1:$I$89,5,0)</f>
        <v>-6.1186256061773749E-14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360.86062459677004</v>
      </c>
      <c r="FK129" s="59">
        <f t="shared" si="102"/>
        <v>186.0840067781198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97.252405841160481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97.252405841160481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-5.1159076974727213E-13</v>
      </c>
      <c r="GA129" s="17">
        <f>FZ129*VLOOKUP('Données projet'!$B$17,Paramètres!$A$1:$I$89,3,0)*VLOOKUP('Données projet'!$B$17,Paramètres!$A$1:$I$89,5,0)</f>
        <v>-5.1875304052373401E-13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448.73339628506784</v>
      </c>
      <c r="GF129" s="59">
        <f t="shared" si="104"/>
        <v>273.35778700650803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123.78006882035361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123.78006882035361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-5.1159076974727213E-13</v>
      </c>
      <c r="O130" s="13">
        <f>N130*VLOOKUP('Données projet'!$B$9,Paramètres!$A$1:$I$89,3,0)*VLOOKUP('Données projet'!$B$9,Paramètres!$A$1:$I$89,5,0)</f>
        <v>-4.6288732846733184E-13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408.51124670343137</v>
      </c>
      <c r="T130" s="59">
        <f t="shared" si="88"/>
        <v>250.47702091764884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108.28405224326258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108.28405224326258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-2.8421709430404007E-13</v>
      </c>
      <c r="AJ130" s="13">
        <f>AI130*VLOOKUP('Données projet'!$B$10,Paramètres!$A$1:$I$89,3,0)*VLOOKUP('Données projet'!$B$10,Paramètres!$A$1:$I$89,5,0)</f>
        <v>-2.2612312022829427E-13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327.22763817565902</v>
      </c>
      <c r="AO130" s="59">
        <f t="shared" si="90"/>
        <v>311.68541696405975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40.967575224681539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40.967575224681539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2.8421709430404007E-14</v>
      </c>
      <c r="BE130" s="13">
        <f>BD130*VLOOKUP('Données projet'!$B$11,Paramètres!$A$1:$I$89,3,0)*VLOOKUP('Données projet'!$B$11,Paramètres!$A$1:$I$89,5,0)</f>
        <v>1.8178525351686402E-14</v>
      </c>
      <c r="BF130" s="13">
        <f t="shared" si="91"/>
        <v>3.3304129621647644E-13</v>
      </c>
      <c r="BG130" s="20">
        <f t="shared" si="61"/>
        <v>6.1170785589788349E-13</v>
      </c>
      <c r="BH130" s="59">
        <f t="shared" si="62"/>
        <v>283.40235685907805</v>
      </c>
      <c r="BI130" s="59">
        <f ca="1">AVERAGE(OFFSET($BH$3,0,0,'Données projet'!$E$11+1,1))-AVERAGE(OFFSET($H$3,0,0,'Données projet'!$E$11+1,1))</f>
        <v>169.46470423366029</v>
      </c>
      <c r="BJ130" s="59">
        <f t="shared" si="92"/>
        <v>230.78141128389288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8.8750223614477406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8.8750223614477406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-1.7053025658242404E-13</v>
      </c>
      <c r="BZ130" s="13">
        <f>BY130*VLOOKUP('Données projet'!$B$12,Paramètres!$A$1:$I$89,3,0)*VLOOKUP('Données projet'!$B$12,Paramètres!$A$1:$I$89,5,0)</f>
        <v>-1.4897523215040567E-13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342.79161436526499</v>
      </c>
      <c r="CE130" s="59">
        <f t="shared" si="94"/>
        <v>315.50730924873733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47.700039654354264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47.700039654354264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-5.6843418860808015E-14</v>
      </c>
      <c r="CU130" s="17">
        <f>CT130*VLOOKUP('Données projet'!$B$13,Paramètres!$A$1:$I$89,3,0)*VLOOKUP('Données projet'!$B$13,Paramètres!$A$1:$I$89,5,0)</f>
        <v>-3.813056537183002E-14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201.84651193684252</v>
      </c>
      <c r="CZ130" s="59">
        <f t="shared" si="96"/>
        <v>138.00705940844708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38.913612981532353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38.913612981532353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1.1368683772161603E-13</v>
      </c>
      <c r="DP130" s="17">
        <f>DO130*VLOOKUP('Données projet'!$B$14,Paramètres!$A$1:$I$89,3,0)*VLOOKUP('Données projet'!$B$14,Paramètres!$A$1:$I$89,5,0)</f>
        <v>8.3355189417488869E-14</v>
      </c>
      <c r="DQ130" s="13">
        <f t="shared" si="97"/>
        <v>1.2790518435140618E-12</v>
      </c>
      <c r="DR130" s="20">
        <f t="shared" si="70"/>
        <v>2.3728589156891171E-12</v>
      </c>
      <c r="DS130" s="59">
        <f t="shared" si="71"/>
        <v>283.40235685907982</v>
      </c>
      <c r="DT130" s="59">
        <f ca="1">AVERAGE(OFFSET($DS$3,0,0,'Données projet'!$E$14+1,1))-AVERAGE(OFFSET($H$3,0,0,'Données projet'!$E$14+1,1))</f>
        <v>242.21240859696931</v>
      </c>
      <c r="DU130" s="59">
        <f t="shared" si="98"/>
        <v>340.92165104349192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16.72557730953767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16.72557730953767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-5.6843418860808015E-14</v>
      </c>
      <c r="EK130" s="17">
        <f>EJ130*VLOOKUP('Données projet'!$B$15,Paramètres!$A$1:$I$89,3,0)*VLOOKUP('Données projet'!$B$15,Paramètres!$A$1:$I$89,5,0)</f>
        <v>-5.4978954722173515E-14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331.7059599630698</v>
      </c>
      <c r="EP130" s="59">
        <f t="shared" si="100"/>
        <v>173.19148969173838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79.44228375619528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79.44228375619528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-5.6843418860808015E-14</v>
      </c>
      <c r="FF130" s="17">
        <f>FE130*VLOOKUP('Données projet'!$B$16,Paramètres!$A$1:$I$89,3,0)*VLOOKUP('Données projet'!$B$16,Paramètres!$A$1:$I$89,5,0)</f>
        <v>-6.1186256061773749E-14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360.86062459677004</v>
      </c>
      <c r="FK130" s="59">
        <f t="shared" si="102"/>
        <v>186.0840067781198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95.345345480725712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95.345345480725712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-5.1159076974727213E-13</v>
      </c>
      <c r="GA130" s="17">
        <f>FZ130*VLOOKUP('Données projet'!$B$17,Paramètres!$A$1:$I$89,3,0)*VLOOKUP('Données projet'!$B$17,Paramètres!$A$1:$I$89,5,0)</f>
        <v>-5.1875304052373401E-13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448.73339628506784</v>
      </c>
      <c r="GF130" s="59">
        <f t="shared" si="104"/>
        <v>273.35778700650803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121.3528171691736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121.3528171691736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-5.1159076974727213E-13</v>
      </c>
      <c r="O131" s="13">
        <f>N131*VLOOKUP('Données projet'!$B$9,Paramètres!$A$1:$I$89,3,0)*VLOOKUP('Données projet'!$B$9,Paramètres!$A$1:$I$89,5,0)</f>
        <v>-4.6288732846733184E-13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408.51124670343137</v>
      </c>
      <c r="T131" s="59">
        <f t="shared" si="88"/>
        <v>250.47702091764884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106.1606680255225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106.1606680255225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-2.8421709430404007E-13</v>
      </c>
      <c r="AJ131" s="13">
        <f>AI131*VLOOKUP('Données projet'!$B$10,Paramètres!$A$1:$I$89,3,0)*VLOOKUP('Données projet'!$B$10,Paramètres!$A$1:$I$89,5,0)</f>
        <v>-2.2612312022829427E-13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327.22763817565902</v>
      </c>
      <c r="AO131" s="59">
        <f t="shared" si="90"/>
        <v>311.68541696405975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40.164226062279084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40.164226062279084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2.8421709430404007E-14</v>
      </c>
      <c r="BE131" s="13">
        <f>BD131*VLOOKUP('Données projet'!$B$11,Paramètres!$A$1:$I$89,3,0)*VLOOKUP('Données projet'!$B$11,Paramètres!$A$1:$I$89,5,0)</f>
        <v>1.8178525351686402E-14</v>
      </c>
      <c r="BF131" s="13">
        <f t="shared" si="91"/>
        <v>3.3304129621647644E-13</v>
      </c>
      <c r="BG131" s="20">
        <f t="shared" si="61"/>
        <v>6.1170785589788349E-13</v>
      </c>
      <c r="BH131" s="59">
        <f t="shared" si="62"/>
        <v>283.57463709856916</v>
      </c>
      <c r="BI131" s="59">
        <f ca="1">AVERAGE(OFFSET($BH$3,0,0,'Données projet'!$E$11+1,1))-AVERAGE(OFFSET($H$3,0,0,'Données projet'!$E$11+1,1))</f>
        <v>169.46470423366029</v>
      </c>
      <c r="BJ131" s="59">
        <f t="shared" si="92"/>
        <v>230.78141128389288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8.7009885861688794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8.7009885861688794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-1.7053025658242404E-13</v>
      </c>
      <c r="BZ131" s="13">
        <f>BY131*VLOOKUP('Données projet'!$B$12,Paramètres!$A$1:$I$89,3,0)*VLOOKUP('Données projet'!$B$12,Paramètres!$A$1:$I$89,5,0)</f>
        <v>-1.4897523215040567E-13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342.79161436526499</v>
      </c>
      <c r="CE131" s="59">
        <f t="shared" si="94"/>
        <v>315.50730924873733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46.764670970883756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46.764670970883756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-5.6843418860808015E-14</v>
      </c>
      <c r="CU131" s="17">
        <f>CT131*VLOOKUP('Données projet'!$B$13,Paramètres!$A$1:$I$89,3,0)*VLOOKUP('Données projet'!$B$13,Paramètres!$A$1:$I$89,5,0)</f>
        <v>-3.813056537183002E-14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201.84651193684252</v>
      </c>
      <c r="CZ131" s="59">
        <f t="shared" si="96"/>
        <v>138.00705940844708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38.150540765924788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38.150540765924788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1.1368683772161603E-13</v>
      </c>
      <c r="DP131" s="17">
        <f>DO131*VLOOKUP('Données projet'!$B$14,Paramètres!$A$1:$I$89,3,0)*VLOOKUP('Données projet'!$B$14,Paramètres!$A$1:$I$89,5,0)</f>
        <v>8.3355189417488869E-14</v>
      </c>
      <c r="DQ131" s="13">
        <f t="shared" si="97"/>
        <v>1.2790518435140618E-12</v>
      </c>
      <c r="DR131" s="20">
        <f t="shared" si="70"/>
        <v>2.3728589156891171E-12</v>
      </c>
      <c r="DS131" s="59">
        <f t="shared" si="71"/>
        <v>283.57463709857092</v>
      </c>
      <c r="DT131" s="59">
        <f ca="1">AVERAGE(OFFSET($DS$3,0,0,'Données projet'!$E$14+1,1))-AVERAGE(OFFSET($H$3,0,0,'Données projet'!$E$14+1,1))</f>
        <v>242.21240859696931</v>
      </c>
      <c r="DU131" s="59">
        <f t="shared" si="98"/>
        <v>340.92165104349192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16.397598940092472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16.397598940092472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-5.6843418860808015E-14</v>
      </c>
      <c r="EK131" s="17">
        <f>EJ131*VLOOKUP('Données projet'!$B$15,Paramètres!$A$1:$I$89,3,0)*VLOOKUP('Données projet'!$B$15,Paramètres!$A$1:$I$89,5,0)</f>
        <v>-5.4978954722173515E-14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331.7059599630698</v>
      </c>
      <c r="EP131" s="59">
        <f t="shared" si="100"/>
        <v>173.19148969173838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77.884469026744853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77.884469026744853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-5.6843418860808015E-14</v>
      </c>
      <c r="FF131" s="17">
        <f>FE131*VLOOKUP('Données projet'!$B$16,Paramètres!$A$1:$I$89,3,0)*VLOOKUP('Données projet'!$B$16,Paramètres!$A$1:$I$89,5,0)</f>
        <v>-6.1186256061773749E-14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360.86062459677004</v>
      </c>
      <c r="FK131" s="59">
        <f t="shared" si="102"/>
        <v>186.0840067781198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93.475681410767109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93.475681410767109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-5.1159076974727213E-13</v>
      </c>
      <c r="GA131" s="17">
        <f>FZ131*VLOOKUP('Données projet'!$B$17,Paramètres!$A$1:$I$89,3,0)*VLOOKUP('Données projet'!$B$17,Paramètres!$A$1:$I$89,5,0)</f>
        <v>-5.1875304052373401E-13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448.73339628506784</v>
      </c>
      <c r="GF131" s="59">
        <f t="shared" si="104"/>
        <v>273.35778700650803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118.97316244239592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118.97316244239592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-5.1159076974727213E-13</v>
      </c>
      <c r="O132" s="13">
        <f>N132*VLOOKUP('Données projet'!$B$9,Paramètres!$A$1:$I$89,3,0)*VLOOKUP('Données projet'!$B$9,Paramètres!$A$1:$I$89,5,0)</f>
        <v>-4.6288732846733184E-13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408.51124670343137</v>
      </c>
      <c r="T132" s="59">
        <f t="shared" si="88"/>
        <v>250.47702091764884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104.07892207715581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104.07892207715581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-2.8421709430404007E-13</v>
      </c>
      <c r="AJ132" s="13">
        <f>AI132*VLOOKUP('Données projet'!$B$10,Paramètres!$A$1:$I$89,3,0)*VLOOKUP('Données projet'!$B$10,Paramètres!$A$1:$I$89,5,0)</f>
        <v>-2.2612312022829427E-13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327.22763817565902</v>
      </c>
      <c r="AO132" s="59">
        <f t="shared" si="90"/>
        <v>311.68541696405975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39.376630086956737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39.376630086956737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2.8421709430404007E-14</v>
      </c>
      <c r="BE132" s="13">
        <f>BD132*VLOOKUP('Données projet'!$B$11,Paramètres!$A$1:$I$89,3,0)*VLOOKUP('Données projet'!$B$11,Paramètres!$A$1:$I$89,5,0)</f>
        <v>1.8178525351686402E-14</v>
      </c>
      <c r="BF132" s="13">
        <f t="shared" si="91"/>
        <v>3.3304129621647644E-13</v>
      </c>
      <c r="BG132" s="20">
        <f t="shared" ref="BG132:BG153" si="115">(BE132+BF132)*0.475*44/12</f>
        <v>6.1170785589788349E-13</v>
      </c>
      <c r="BH132" s="59">
        <f t="shared" ref="BH132:BH195" si="116">BG132+(AY132+AZ132)*44/12</f>
        <v>283.74392866106598</v>
      </c>
      <c r="BI132" s="59">
        <f ca="1">AVERAGE(OFFSET($BH$3,0,0,'Données projet'!$E$11+1,1))-AVERAGE(OFFSET($H$3,0,0,'Données projet'!$E$11+1,1))</f>
        <v>169.46470423366029</v>
      </c>
      <c r="BJ132" s="59">
        <f t="shared" si="92"/>
        <v>230.78141128389288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8.5303675070731142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8.5303675070731142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-1.7053025658242404E-13</v>
      </c>
      <c r="BZ132" s="13">
        <f>BY132*VLOOKUP('Données projet'!$B$12,Paramètres!$A$1:$I$89,3,0)*VLOOKUP('Données projet'!$B$12,Paramètres!$A$1:$I$89,5,0)</f>
        <v>-1.4897523215040567E-13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342.79161436526499</v>
      </c>
      <c r="CE132" s="59">
        <f t="shared" si="94"/>
        <v>315.50730924873733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45.847644296777545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45.847644296777545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-5.6843418860808015E-14</v>
      </c>
      <c r="CU132" s="17">
        <f>CT132*VLOOKUP('Données projet'!$B$13,Paramètres!$A$1:$I$89,3,0)*VLOOKUP('Données projet'!$B$13,Paramètres!$A$1:$I$89,5,0)</f>
        <v>-3.813056537183002E-14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201.84651193684252</v>
      </c>
      <c r="CZ132" s="59">
        <f t="shared" si="96"/>
        <v>138.00705940844708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37.402431931037192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37.402431931037192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1.1368683772161603E-13</v>
      </c>
      <c r="DP132" s="17">
        <f>DO132*VLOOKUP('Données projet'!$B$14,Paramètres!$A$1:$I$89,3,0)*VLOOKUP('Données projet'!$B$14,Paramètres!$A$1:$I$89,5,0)</f>
        <v>8.3355189417488869E-14</v>
      </c>
      <c r="DQ132" s="13">
        <f t="shared" si="97"/>
        <v>1.2790518435140618E-12</v>
      </c>
      <c r="DR132" s="20">
        <f t="shared" ref="DR132:DR153" si="124">(DP132+DQ132)*0.475*44/12</f>
        <v>2.3728589156891171E-12</v>
      </c>
      <c r="DS132" s="59">
        <f t="shared" ref="DS132:DS195" si="125">DR132+(DJ132+DK132)*44/12</f>
        <v>283.74392866106774</v>
      </c>
      <c r="DT132" s="59">
        <f ca="1">AVERAGE(OFFSET($DS$3,0,0,'Données projet'!$E$14+1,1))-AVERAGE(OFFSET($H$3,0,0,'Données projet'!$E$14+1,1))</f>
        <v>242.21240859696931</v>
      </c>
      <c r="DU132" s="59">
        <f t="shared" si="98"/>
        <v>340.92165104349192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16.076052026425042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16.076052026425042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-5.6843418860808015E-14</v>
      </c>
      <c r="EK132" s="17">
        <f>EJ132*VLOOKUP('Données projet'!$B$15,Paramètres!$A$1:$I$89,3,0)*VLOOKUP('Données projet'!$B$15,Paramètres!$A$1:$I$89,5,0)</f>
        <v>-5.4978954722173515E-14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331.7059599630698</v>
      </c>
      <c r="EP132" s="59">
        <f t="shared" si="100"/>
        <v>173.19148969173838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76.357202093965782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76.357202093965782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-5.6843418860808015E-14</v>
      </c>
      <c r="FF132" s="17">
        <f>FE132*VLOOKUP('Données projet'!$B$16,Paramètres!$A$1:$I$89,3,0)*VLOOKUP('Données projet'!$B$16,Paramètres!$A$1:$I$89,5,0)</f>
        <v>-6.1186256061773749E-14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360.86062459677004</v>
      </c>
      <c r="FK132" s="59">
        <f t="shared" si="102"/>
        <v>186.0840067781198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91.642680312837911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91.642680312837911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-5.1159076974727213E-13</v>
      </c>
      <c r="GA132" s="17">
        <f>FZ132*VLOOKUP('Données projet'!$B$17,Paramètres!$A$1:$I$89,3,0)*VLOOKUP('Données projet'!$B$17,Paramètres!$A$1:$I$89,5,0)</f>
        <v>-5.1875304052373401E-13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448.73339628506784</v>
      </c>
      <c r="GF132" s="59">
        <f t="shared" si="104"/>
        <v>273.35778700650803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116.64017129336428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116.64017129336428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-5.1159076974727213E-13</v>
      </c>
      <c r="O133" s="13">
        <f>N133*VLOOKUP('Données projet'!$B$9,Paramètres!$A$1:$I$89,3,0)*VLOOKUP('Données projet'!$B$9,Paramètres!$A$1:$I$89,5,0)</f>
        <v>-4.6288732846733184E-13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408.51124670343137</v>
      </c>
      <c r="T133" s="59">
        <f t="shared" ref="T133:T196" si="142">$T$3</f>
        <v>250.47702091764884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102.03799789709694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102.03799789709694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-2.8421709430404007E-13</v>
      </c>
      <c r="AJ133" s="13">
        <f>AI133*VLOOKUP('Données projet'!$B$10,Paramètres!$A$1:$I$89,3,0)*VLOOKUP('Données projet'!$B$10,Paramètres!$A$1:$I$89,5,0)</f>
        <v>-2.2612312022829427E-13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327.22763817565902</v>
      </c>
      <c r="AO133" s="59">
        <f t="shared" ref="AO133:AO196" si="144">$AO$3</f>
        <v>311.68541696405975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38.604478388324353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38.604478388324353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2.8421709430404007E-14</v>
      </c>
      <c r="BE133" s="13">
        <f>BD133*VLOOKUP('Données projet'!$B$11,Paramètres!$A$1:$I$89,3,0)*VLOOKUP('Données projet'!$B$11,Paramètres!$A$1:$I$89,5,0)</f>
        <v>1.8178525351686402E-14</v>
      </c>
      <c r="BF133" s="13">
        <f t="shared" ref="BF133:BF153" si="145">EXP(-1.0587+0.8836*LN(BE133)+0.284)</f>
        <v>3.3304129621647644E-13</v>
      </c>
      <c r="BG133" s="20">
        <f t="shared" si="115"/>
        <v>6.1170785589788349E-13</v>
      </c>
      <c r="BH133" s="59">
        <f t="shared" si="116"/>
        <v>283.91028339343274</v>
      </c>
      <c r="BI133" s="59">
        <f ca="1">AVERAGE(OFFSET($BH$3,0,0,'Données projet'!$E$11+1,1))-AVERAGE(OFFSET($H$3,0,0,'Données projet'!$E$11+1,1))</f>
        <v>169.46470423366029</v>
      </c>
      <c r="BJ133" s="59">
        <f t="shared" ref="BJ133:BJ196" si="146">$BJ$3</f>
        <v>230.78141128389288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8.3630922032698347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8.3630922032698347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-1.7053025658242404E-13</v>
      </c>
      <c r="BZ133" s="13">
        <f>BY133*VLOOKUP('Données projet'!$B$12,Paramètres!$A$1:$I$89,3,0)*VLOOKUP('Données projet'!$B$12,Paramètres!$A$1:$I$89,5,0)</f>
        <v>-1.4897523215040567E-13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342.79161436526499</v>
      </c>
      <c r="CE133" s="59">
        <f t="shared" ref="CE133:CE196" si="148">$CE$3</f>
        <v>315.50730924873733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44.948599956419514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44.948599956419514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-5.6843418860808015E-14</v>
      </c>
      <c r="CU133" s="17">
        <f>CT133*VLOOKUP('Données projet'!$B$13,Paramètres!$A$1:$I$89,3,0)*VLOOKUP('Données projet'!$B$13,Paramètres!$A$1:$I$89,5,0)</f>
        <v>-3.813056537183002E-14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201.84651193684252</v>
      </c>
      <c r="CZ133" s="59">
        <f t="shared" ref="CZ133:CZ196" si="150">$CZ$3</f>
        <v>138.00705940844708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36.668993054100412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36.668993054100412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1.1368683772161603E-13</v>
      </c>
      <c r="DP133" s="17">
        <f>DO133*VLOOKUP('Données projet'!$B$14,Paramètres!$A$1:$I$89,3,0)*VLOOKUP('Données projet'!$B$14,Paramètres!$A$1:$I$89,5,0)</f>
        <v>8.3355189417488869E-14</v>
      </c>
      <c r="DQ133" s="13">
        <f t="shared" ref="DQ133:DQ153" si="151">EXP(-1.0587+0.8836*LN(DP133)+0.284)</f>
        <v>1.2790518435140618E-12</v>
      </c>
      <c r="DR133" s="20">
        <f t="shared" si="124"/>
        <v>2.3728589156891171E-12</v>
      </c>
      <c r="DS133" s="59">
        <f t="shared" si="125"/>
        <v>283.9102833934345</v>
      </c>
      <c r="DT133" s="59">
        <f ca="1">AVERAGE(OFFSET($DS$3,0,0,'Données projet'!$E$14+1,1))-AVERAGE(OFFSET($H$3,0,0,'Données projet'!$E$14+1,1))</f>
        <v>242.21240859696931</v>
      </c>
      <c r="DU133" s="59">
        <f t="shared" ref="DU133:DU196" si="152">$DU$3</f>
        <v>340.92165104349192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15.760810451610379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15.760810451610379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-5.6843418860808015E-14</v>
      </c>
      <c r="EK133" s="17">
        <f>EJ133*VLOOKUP('Données projet'!$B$15,Paramètres!$A$1:$I$89,3,0)*VLOOKUP('Données projet'!$B$15,Paramètres!$A$1:$I$89,5,0)</f>
        <v>-5.4978954722173515E-14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331.7059599630698</v>
      </c>
      <c r="EP133" s="59">
        <f t="shared" ref="EP133:EP196" si="154">$EP$3</f>
        <v>173.19148969173838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74.859883934197654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74.859883934197654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-5.6843418860808015E-14</v>
      </c>
      <c r="FF133" s="17">
        <f>FE133*VLOOKUP('Données projet'!$B$16,Paramètres!$A$1:$I$89,3,0)*VLOOKUP('Données projet'!$B$16,Paramètres!$A$1:$I$89,5,0)</f>
        <v>-6.1186256061773749E-14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360.86062459677004</v>
      </c>
      <c r="FK133" s="59">
        <f t="shared" ref="FK133:FK196" si="156">$FK$3</f>
        <v>186.0840067781198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89.845623248418832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89.845623248418832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-5.1159076974727213E-13</v>
      </c>
      <c r="GA133" s="17">
        <f>FZ133*VLOOKUP('Données projet'!$B$17,Paramètres!$A$1:$I$89,3,0)*VLOOKUP('Données projet'!$B$17,Paramètres!$A$1:$I$89,5,0)</f>
        <v>-5.1875304052373401E-13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448.73339628506784</v>
      </c>
      <c r="GF133" s="59">
        <f t="shared" ref="GF133:GF196" si="158">$GF$3</f>
        <v>273.35778700650803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114.35292867778105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114.35292867778105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-5.1159076974727213E-13</v>
      </c>
      <c r="O134" s="13">
        <f>N134*VLOOKUP('Données projet'!$B$9,Paramètres!$A$1:$I$89,3,0)*VLOOKUP('Données projet'!$B$9,Paramètres!$A$1:$I$89,5,0)</f>
        <v>-4.6288732846733184E-13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408.51124670343137</v>
      </c>
      <c r="T134" s="59">
        <f t="shared" si="142"/>
        <v>250.47702091764884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100.03709499536819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100.03709499536819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-2.8421709430404007E-13</v>
      </c>
      <c r="AJ134" s="13">
        <f>AI134*VLOOKUP('Données projet'!$B$10,Paramètres!$A$1:$I$89,3,0)*VLOOKUP('Données projet'!$B$10,Paramètres!$A$1:$I$89,5,0)</f>
        <v>-2.2612312022829427E-13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327.22763817565902</v>
      </c>
      <c r="AO134" s="59">
        <f t="shared" si="144"/>
        <v>311.68541696405975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37.847468113536117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37.847468113536117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2.8421709430404007E-14</v>
      </c>
      <c r="BE134" s="13">
        <f>BD134*VLOOKUP('Données projet'!$B$11,Paramètres!$A$1:$I$89,3,0)*VLOOKUP('Données projet'!$B$11,Paramètres!$A$1:$I$89,5,0)</f>
        <v>1.8178525351686402E-14</v>
      </c>
      <c r="BF134" s="13">
        <f t="shared" si="145"/>
        <v>3.3304129621647644E-13</v>
      </c>
      <c r="BG134" s="20">
        <f t="shared" si="115"/>
        <v>6.1170785589788349E-13</v>
      </c>
      <c r="BH134" s="59">
        <f t="shared" si="116"/>
        <v>284.07375224310636</v>
      </c>
      <c r="BI134" s="59">
        <f ca="1">AVERAGE(OFFSET($BH$3,0,0,'Données projet'!$E$11+1,1))-AVERAGE(OFFSET($H$3,0,0,'Données projet'!$E$11+1,1))</f>
        <v>169.46470423366029</v>
      </c>
      <c r="BJ134" s="59">
        <f t="shared" si="146"/>
        <v>230.78141128389288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8.1990970661462779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8.1990970661462779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-1.7053025658242404E-13</v>
      </c>
      <c r="BZ134" s="13">
        <f>BY134*VLOOKUP('Données projet'!$B$12,Paramètres!$A$1:$I$89,3,0)*VLOOKUP('Données projet'!$B$12,Paramètres!$A$1:$I$89,5,0)</f>
        <v>-1.4897523215040567E-13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342.79161436526499</v>
      </c>
      <c r="CE134" s="59">
        <f t="shared" si="148"/>
        <v>315.50730924873733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44.067185327213004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44.067185327213004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-5.6843418860808015E-14</v>
      </c>
      <c r="CU134" s="17">
        <f>CT134*VLOOKUP('Données projet'!$B$13,Paramètres!$A$1:$I$89,3,0)*VLOOKUP('Données projet'!$B$13,Paramètres!$A$1:$I$89,5,0)</f>
        <v>-3.813056537183002E-14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201.84651193684252</v>
      </c>
      <c r="CZ134" s="59">
        <f t="shared" si="150"/>
        <v>138.00705940844708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35.94993646618682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35.94993646618682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1.1368683772161603E-13</v>
      </c>
      <c r="DP134" s="17">
        <f>DO134*VLOOKUP('Données projet'!$B$14,Paramètres!$A$1:$I$89,3,0)*VLOOKUP('Données projet'!$B$14,Paramètres!$A$1:$I$89,5,0)</f>
        <v>8.3355189417488869E-14</v>
      </c>
      <c r="DQ134" s="13">
        <f t="shared" si="151"/>
        <v>1.2790518435140618E-12</v>
      </c>
      <c r="DR134" s="20">
        <f t="shared" si="124"/>
        <v>2.3728589156891171E-12</v>
      </c>
      <c r="DS134" s="59">
        <f t="shared" si="125"/>
        <v>284.07375224310812</v>
      </c>
      <c r="DT134" s="59">
        <f ca="1">AVERAGE(OFFSET($DS$3,0,0,'Données projet'!$E$14+1,1))-AVERAGE(OFFSET($H$3,0,0,'Données projet'!$E$14+1,1))</f>
        <v>242.21240859696931</v>
      </c>
      <c r="DU134" s="59">
        <f t="shared" si="152"/>
        <v>340.92165104349192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15.451750571799455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15.451750571799455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-5.6843418860808015E-14</v>
      </c>
      <c r="EK134" s="17">
        <f>EJ134*VLOOKUP('Données projet'!$B$15,Paramètres!$A$1:$I$89,3,0)*VLOOKUP('Données projet'!$B$15,Paramètres!$A$1:$I$89,5,0)</f>
        <v>-5.4978954722173515E-14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331.7059599630698</v>
      </c>
      <c r="EP134" s="59">
        <f t="shared" si="154"/>
        <v>173.19148969173838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73.391927270268681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73.391927270268681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-5.6843418860808015E-14</v>
      </c>
      <c r="FF134" s="17">
        <f>FE134*VLOOKUP('Données projet'!$B$16,Paramètres!$A$1:$I$89,3,0)*VLOOKUP('Données projet'!$B$16,Paramètres!$A$1:$I$89,5,0)</f>
        <v>-6.1186256061773749E-14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360.86062459677004</v>
      </c>
      <c r="FK134" s="59">
        <f t="shared" si="156"/>
        <v>186.0840067781198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88.083805376936425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88.083805376936425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-5.1159076974727213E-13</v>
      </c>
      <c r="GA134" s="17">
        <f>FZ134*VLOOKUP('Données projet'!$B$17,Paramètres!$A$1:$I$89,3,0)*VLOOKUP('Données projet'!$B$17,Paramètres!$A$1:$I$89,5,0)</f>
        <v>-5.1875304052373401E-13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448.73339628506784</v>
      </c>
      <c r="GF134" s="59">
        <f t="shared" si="158"/>
        <v>273.35778700650803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112.11053749480918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112.11053749480918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-5.1159076974727213E-13</v>
      </c>
      <c r="O135" s="13">
        <f>N135*VLOOKUP('Données projet'!$B$9,Paramètres!$A$1:$I$89,3,0)*VLOOKUP('Données projet'!$B$9,Paramètres!$A$1:$I$89,5,0)</f>
        <v>-4.6288732846733184E-13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408.51124670343137</v>
      </c>
      <c r="T135" s="59">
        <f t="shared" si="142"/>
        <v>250.47702091764884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98.075428579112085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98.075428579112085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-2.8421709430404007E-13</v>
      </c>
      <c r="AJ135" s="13">
        <f>AI135*VLOOKUP('Données projet'!$B$10,Paramètres!$A$1:$I$89,3,0)*VLOOKUP('Données projet'!$B$10,Paramètres!$A$1:$I$89,5,0)</f>
        <v>-2.2612312022829427E-13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327.22763817565902</v>
      </c>
      <c r="AO135" s="59">
        <f t="shared" si="144"/>
        <v>311.68541696405975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37.105302348505802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37.105302348505802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2.8421709430404007E-14</v>
      </c>
      <c r="BE135" s="13">
        <f>BD135*VLOOKUP('Données projet'!$B$11,Paramètres!$A$1:$I$89,3,0)*VLOOKUP('Données projet'!$B$11,Paramètres!$A$1:$I$89,5,0)</f>
        <v>1.8178525351686402E-14</v>
      </c>
      <c r="BF135" s="13">
        <f t="shared" si="145"/>
        <v>3.3304129621647644E-13</v>
      </c>
      <c r="BG135" s="20">
        <f t="shared" si="115"/>
        <v>6.1170785589788349E-13</v>
      </c>
      <c r="BH135" s="59">
        <f t="shared" si="116"/>
        <v>284.23438527369979</v>
      </c>
      <c r="BI135" s="59">
        <f ca="1">AVERAGE(OFFSET($BH$3,0,0,'Données projet'!$E$11+1,1))-AVERAGE(OFFSET($H$3,0,0,'Données projet'!$E$11+1,1))</f>
        <v>169.46470423366029</v>
      </c>
      <c r="BJ135" s="59">
        <f t="shared" si="146"/>
        <v>230.78141128389288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8.0383177736345566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8.0383177736345566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-1.7053025658242404E-13</v>
      </c>
      <c r="BZ135" s="13">
        <f>BY135*VLOOKUP('Données projet'!$B$12,Paramètres!$A$1:$I$89,3,0)*VLOOKUP('Données projet'!$B$12,Paramètres!$A$1:$I$89,5,0)</f>
        <v>-1.4897523215040567E-13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342.79161436526499</v>
      </c>
      <c r="CE135" s="59">
        <f t="shared" si="148"/>
        <v>315.50730924873733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43.203054701275391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43.203054701275391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-5.6843418860808015E-14</v>
      </c>
      <c r="CU135" s="17">
        <f>CT135*VLOOKUP('Données projet'!$B$13,Paramètres!$A$1:$I$89,3,0)*VLOOKUP('Données projet'!$B$13,Paramètres!$A$1:$I$89,5,0)</f>
        <v>-3.813056537183002E-14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201.84651193684252</v>
      </c>
      <c r="CZ135" s="59">
        <f t="shared" si="150"/>
        <v>138.00705940844708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35.244980139380999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35.244980139380999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1.1368683772161603E-13</v>
      </c>
      <c r="DP135" s="17">
        <f>DO135*VLOOKUP('Données projet'!$B$14,Paramètres!$A$1:$I$89,3,0)*VLOOKUP('Données projet'!$B$14,Paramètres!$A$1:$I$89,5,0)</f>
        <v>8.3355189417488869E-14</v>
      </c>
      <c r="DQ135" s="13">
        <f t="shared" si="151"/>
        <v>1.2790518435140618E-12</v>
      </c>
      <c r="DR135" s="20">
        <f t="shared" si="124"/>
        <v>2.3728589156891171E-12</v>
      </c>
      <c r="DS135" s="59">
        <f t="shared" si="125"/>
        <v>284.23438527370155</v>
      </c>
      <c r="DT135" s="59">
        <f ca="1">AVERAGE(OFFSET($DS$3,0,0,'Données projet'!$E$14+1,1))-AVERAGE(OFFSET($H$3,0,0,'Données projet'!$E$14+1,1))</f>
        <v>242.21240859696931</v>
      </c>
      <c r="DU135" s="59">
        <f t="shared" si="152"/>
        <v>340.92165104349192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15.148751167723711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15.148751167723711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-5.6843418860808015E-14</v>
      </c>
      <c r="EK135" s="17">
        <f>EJ135*VLOOKUP('Données projet'!$B$15,Paramètres!$A$1:$I$89,3,0)*VLOOKUP('Données projet'!$B$15,Paramètres!$A$1:$I$89,5,0)</f>
        <v>-5.4978954722173515E-14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331.7059599630698</v>
      </c>
      <c r="EP135" s="59">
        <f t="shared" si="154"/>
        <v>173.19148969173838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71.952756341154199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71.952756341154199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-5.6843418860808015E-14</v>
      </c>
      <c r="FF135" s="17">
        <f>FE135*VLOOKUP('Données projet'!$B$16,Paramètres!$A$1:$I$89,3,0)*VLOOKUP('Données projet'!$B$16,Paramètres!$A$1:$I$89,5,0)</f>
        <v>-6.1186256061773749E-14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360.86062459677004</v>
      </c>
      <c r="FK135" s="59">
        <f t="shared" si="156"/>
        <v>186.0840067781198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86.356535679310994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86.356535679310994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-5.1159076974727213E-13</v>
      </c>
      <c r="GA135" s="17">
        <f>FZ135*VLOOKUP('Données projet'!$B$17,Paramètres!$A$1:$I$89,3,0)*VLOOKUP('Données projet'!$B$17,Paramètres!$A$1:$I$89,5,0)</f>
        <v>-5.1875304052373401E-13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448.73339628506784</v>
      </c>
      <c r="GF135" s="59">
        <f t="shared" si="158"/>
        <v>273.35778700650803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109.91211823521181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109.91211823521181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-5.1159076974727213E-13</v>
      </c>
      <c r="O136" s="13">
        <f>N136*VLOOKUP('Données projet'!$B$9,Paramètres!$A$1:$I$89,3,0)*VLOOKUP('Données projet'!$B$9,Paramètres!$A$1:$I$89,5,0)</f>
        <v>-4.6288732846733184E-13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408.51124670343137</v>
      </c>
      <c r="T136" s="59">
        <f t="shared" si="142"/>
        <v>250.47702091764884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96.152229244780386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96.152229244780386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-2.8421709430404007E-13</v>
      </c>
      <c r="AJ136" s="13">
        <f>AI136*VLOOKUP('Données projet'!$B$10,Paramètres!$A$1:$I$89,3,0)*VLOOKUP('Données projet'!$B$10,Paramètres!$A$1:$I$89,5,0)</f>
        <v>-2.2612312022829427E-13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327.22763817565902</v>
      </c>
      <c r="AO136" s="59">
        <f t="shared" si="144"/>
        <v>311.68541696405975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36.377690001451313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36.377690001451313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2.8421709430404007E-14</v>
      </c>
      <c r="BE136" s="13">
        <f>BD136*VLOOKUP('Données projet'!$B$11,Paramètres!$A$1:$I$89,3,0)*VLOOKUP('Données projet'!$B$11,Paramètres!$A$1:$I$89,5,0)</f>
        <v>1.8178525351686402E-14</v>
      </c>
      <c r="BF136" s="13">
        <f t="shared" si="145"/>
        <v>3.3304129621647644E-13</v>
      </c>
      <c r="BG136" s="20">
        <f t="shared" si="115"/>
        <v>6.1170785589788349E-13</v>
      </c>
      <c r="BH136" s="59">
        <f t="shared" si="116"/>
        <v>284.39223168033402</v>
      </c>
      <c r="BI136" s="59">
        <f ca="1">AVERAGE(OFFSET($BH$3,0,0,'Données projet'!$E$11+1,1))-AVERAGE(OFFSET($H$3,0,0,'Données projet'!$E$11+1,1))</f>
        <v>169.46470423366029</v>
      </c>
      <c r="BJ136" s="59">
        <f t="shared" si="146"/>
        <v>230.78141128389288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7.8806912649833043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7.8806912649833043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-1.7053025658242404E-13</v>
      </c>
      <c r="BZ136" s="13">
        <f>BY136*VLOOKUP('Données projet'!$B$12,Paramètres!$A$1:$I$89,3,0)*VLOOKUP('Données projet'!$B$12,Paramètres!$A$1:$I$89,5,0)</f>
        <v>-1.4897523215040567E-13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342.79161436526499</v>
      </c>
      <c r="CE136" s="59">
        <f t="shared" si="148"/>
        <v>315.50730924873733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42.355869149844779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42.355869149844779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-5.6843418860808015E-14</v>
      </c>
      <c r="CU136" s="17">
        <f>CT136*VLOOKUP('Données projet'!$B$13,Paramètres!$A$1:$I$89,3,0)*VLOOKUP('Données projet'!$B$13,Paramètres!$A$1:$I$89,5,0)</f>
        <v>-3.813056537183002E-14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201.84651193684252</v>
      </c>
      <c r="CZ136" s="59">
        <f t="shared" si="150"/>
        <v>138.00705940844708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34.553847576162937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34.553847576162937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1.1368683772161603E-13</v>
      </c>
      <c r="DP136" s="17">
        <f>DO136*VLOOKUP('Données projet'!$B$14,Paramètres!$A$1:$I$89,3,0)*VLOOKUP('Données projet'!$B$14,Paramètres!$A$1:$I$89,5,0)</f>
        <v>8.3355189417488869E-14</v>
      </c>
      <c r="DQ136" s="13">
        <f t="shared" si="151"/>
        <v>1.2790518435140618E-12</v>
      </c>
      <c r="DR136" s="20">
        <f t="shared" si="124"/>
        <v>2.3728589156891171E-12</v>
      </c>
      <c r="DS136" s="59">
        <f t="shared" si="125"/>
        <v>284.39223168033578</v>
      </c>
      <c r="DT136" s="59">
        <f ca="1">AVERAGE(OFFSET($DS$3,0,0,'Données projet'!$E$14+1,1))-AVERAGE(OFFSET($H$3,0,0,'Données projet'!$E$14+1,1))</f>
        <v>242.21240859696931</v>
      </c>
      <c r="DU136" s="59">
        <f t="shared" si="152"/>
        <v>340.92165104349192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14.851693397150505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14.851693397150505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-5.6843418860808015E-14</v>
      </c>
      <c r="EK136" s="17">
        <f>EJ136*VLOOKUP('Données projet'!$B$15,Paramètres!$A$1:$I$89,3,0)*VLOOKUP('Données projet'!$B$15,Paramètres!$A$1:$I$89,5,0)</f>
        <v>-5.4978954722173515E-14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331.7059599630698</v>
      </c>
      <c r="EP136" s="59">
        <f t="shared" si="154"/>
        <v>173.19148969173838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70.541806676152063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70.541806676152063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-5.6843418860808015E-14</v>
      </c>
      <c r="FF136" s="17">
        <f>FE136*VLOOKUP('Données projet'!$B$16,Paramètres!$A$1:$I$89,3,0)*VLOOKUP('Données projet'!$B$16,Paramètres!$A$1:$I$89,5,0)</f>
        <v>-6.1186256061773749E-14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360.86062459677004</v>
      </c>
      <c r="FK136" s="59">
        <f t="shared" si="156"/>
        <v>186.0840067781198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84.663136686925512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84.663136686925512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-5.1159076974727213E-13</v>
      </c>
      <c r="GA136" s="17">
        <f>FZ136*VLOOKUP('Données projet'!$B$17,Paramètres!$A$1:$I$89,3,0)*VLOOKUP('Données projet'!$B$17,Paramètres!$A$1:$I$89,5,0)</f>
        <v>-5.1875304052373401E-13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448.73339628506784</v>
      </c>
      <c r="GF136" s="59">
        <f t="shared" si="158"/>
        <v>273.35778700650803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107.7568086363918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107.7568086363918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-5.1159076974727213E-13</v>
      </c>
      <c r="O137" s="13">
        <f>N137*VLOOKUP('Données projet'!$B$9,Paramètres!$A$1:$I$89,3,0)*VLOOKUP('Données projet'!$B$9,Paramètres!$A$1:$I$89,5,0)</f>
        <v>-4.6288732846733184E-13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408.51124670343137</v>
      </c>
      <c r="T137" s="59">
        <f t="shared" si="142"/>
        <v>250.47702091764884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94.266742676359172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94.266742676359172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-2.8421709430404007E-13</v>
      </c>
      <c r="AJ137" s="13">
        <f>AI137*VLOOKUP('Données projet'!$B$10,Paramètres!$A$1:$I$89,3,0)*VLOOKUP('Données projet'!$B$10,Paramètres!$A$1:$I$89,5,0)</f>
        <v>-2.2612312022829427E-13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327.22763817565902</v>
      </c>
      <c r="AO137" s="59">
        <f t="shared" si="144"/>
        <v>311.68541696405975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35.664345688722854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35.664345688722854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2.8421709430404007E-14</v>
      </c>
      <c r="BE137" s="13">
        <f>BD137*VLOOKUP('Données projet'!$B$11,Paramètres!$A$1:$I$89,3,0)*VLOOKUP('Données projet'!$B$11,Paramètres!$A$1:$I$89,5,0)</f>
        <v>1.8178525351686402E-14</v>
      </c>
      <c r="BF137" s="13">
        <f t="shared" si="145"/>
        <v>3.3304129621647644E-13</v>
      </c>
      <c r="BG137" s="20">
        <f t="shared" si="115"/>
        <v>6.1170785589788349E-13</v>
      </c>
      <c r="BH137" s="59">
        <f t="shared" si="116"/>
        <v>284.5473398047049</v>
      </c>
      <c r="BI137" s="59">
        <f ca="1">AVERAGE(OFFSET($BH$3,0,0,'Données projet'!$E$11+1,1))-AVERAGE(OFFSET($H$3,0,0,'Données projet'!$E$11+1,1))</f>
        <v>169.46470423366029</v>
      </c>
      <c r="BJ137" s="59">
        <f t="shared" si="146"/>
        <v>230.78141128389288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7.7261557160240262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7.7261557160240262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-1.7053025658242404E-13</v>
      </c>
      <c r="BZ137" s="13">
        <f>BY137*VLOOKUP('Données projet'!$B$12,Paramètres!$A$1:$I$89,3,0)*VLOOKUP('Données projet'!$B$12,Paramètres!$A$1:$I$89,5,0)</f>
        <v>-1.4897523215040567E-13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342.79161436526499</v>
      </c>
      <c r="CE137" s="59">
        <f t="shared" si="148"/>
        <v>315.50730924873733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41.525296390345559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41.525296390345559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-5.6843418860808015E-14</v>
      </c>
      <c r="CU137" s="17">
        <f>CT137*VLOOKUP('Données projet'!$B$13,Paramètres!$A$1:$I$89,3,0)*VLOOKUP('Données projet'!$B$13,Paramètres!$A$1:$I$89,5,0)</f>
        <v>-3.813056537183002E-14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201.84651193684252</v>
      </c>
      <c r="CZ137" s="59">
        <f t="shared" si="150"/>
        <v>138.00705940844708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33.876267700960341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33.876267700960341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1.1368683772161603E-13</v>
      </c>
      <c r="DP137" s="17">
        <f>DO137*VLOOKUP('Données projet'!$B$14,Paramètres!$A$1:$I$89,3,0)*VLOOKUP('Données projet'!$B$14,Paramètres!$A$1:$I$89,5,0)</f>
        <v>8.3355189417488869E-14</v>
      </c>
      <c r="DQ137" s="13">
        <f t="shared" si="151"/>
        <v>1.2790518435140618E-12</v>
      </c>
      <c r="DR137" s="20">
        <f t="shared" si="124"/>
        <v>2.3728589156891171E-12</v>
      </c>
      <c r="DS137" s="59">
        <f t="shared" si="125"/>
        <v>284.54733980470667</v>
      </c>
      <c r="DT137" s="59">
        <f ca="1">AVERAGE(OFFSET($DS$3,0,0,'Données projet'!$E$14+1,1))-AVERAGE(OFFSET($H$3,0,0,'Données projet'!$E$14+1,1))</f>
        <v>242.21240859696931</v>
      </c>
      <c r="DU137" s="59">
        <f t="shared" si="152"/>
        <v>340.92165104349192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14.56046074827089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14.56046074827089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-5.6843418860808015E-14</v>
      </c>
      <c r="EK137" s="17">
        <f>EJ137*VLOOKUP('Données projet'!$B$15,Paramètres!$A$1:$I$89,3,0)*VLOOKUP('Données projet'!$B$15,Paramètres!$A$1:$I$89,5,0)</f>
        <v>-5.4978954722173515E-14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331.7059599630698</v>
      </c>
      <c r="EP137" s="59">
        <f t="shared" si="154"/>
        <v>173.19148969173838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69.1585248734863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69.1585248734863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-5.6843418860808015E-14</v>
      </c>
      <c r="FF137" s="17">
        <f>FE137*VLOOKUP('Données projet'!$B$16,Paramètres!$A$1:$I$89,3,0)*VLOOKUP('Données projet'!$B$16,Paramètres!$A$1:$I$89,5,0)</f>
        <v>-6.1186256061773749E-14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360.86062459677004</v>
      </c>
      <c r="FK137" s="59">
        <f t="shared" si="156"/>
        <v>186.0840067781198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83.002944215909309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83.002944215909309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-5.1159076974727213E-13</v>
      </c>
      <c r="GA137" s="17">
        <f>FZ137*VLOOKUP('Données projet'!$B$17,Paramètres!$A$1:$I$89,3,0)*VLOOKUP('Données projet'!$B$17,Paramètres!$A$1:$I$89,5,0)</f>
        <v>-5.1875304052373401E-13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448.73339628506784</v>
      </c>
      <c r="GF137" s="59">
        <f t="shared" si="158"/>
        <v>273.35778700650803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105.64376334419561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105.64376334419561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-5.1159076974727213E-13</v>
      </c>
      <c r="O138" s="13">
        <f>N138*VLOOKUP('Données projet'!$B$9,Paramètres!$A$1:$I$89,3,0)*VLOOKUP('Données projet'!$B$9,Paramètres!$A$1:$I$89,5,0)</f>
        <v>-4.6288732846733184E-13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408.51124670343137</v>
      </c>
      <c r="T138" s="59">
        <f t="shared" si="142"/>
        <v>250.47702091764884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92.418229349511435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92.418229349511435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-2.8421709430404007E-13</v>
      </c>
      <c r="AJ138" s="13">
        <f>AI138*VLOOKUP('Données projet'!$B$10,Paramètres!$A$1:$I$89,3,0)*VLOOKUP('Données projet'!$B$10,Paramètres!$A$1:$I$89,5,0)</f>
        <v>-2.2612312022829427E-13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327.22763817565902</v>
      </c>
      <c r="AO138" s="59">
        <f t="shared" si="144"/>
        <v>311.68541696405975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34.964989622869929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34.964989622869929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2.8421709430404007E-14</v>
      </c>
      <c r="BE138" s="13">
        <f>BD138*VLOOKUP('Données projet'!$B$11,Paramètres!$A$1:$I$89,3,0)*VLOOKUP('Données projet'!$B$11,Paramètres!$A$1:$I$89,5,0)</f>
        <v>1.8178525351686402E-14</v>
      </c>
      <c r="BF138" s="13">
        <f t="shared" si="145"/>
        <v>3.3304129621647644E-13</v>
      </c>
      <c r="BG138" s="20">
        <f t="shared" si="115"/>
        <v>6.1170785589788349E-13</v>
      </c>
      <c r="BH138" s="59">
        <f t="shared" si="116"/>
        <v>284.69975714988777</v>
      </c>
      <c r="BI138" s="59">
        <f ca="1">AVERAGE(OFFSET($BH$3,0,0,'Données projet'!$E$11+1,1))-AVERAGE(OFFSET($H$3,0,0,'Données projet'!$E$11+1,1))</f>
        <v>169.46470423366029</v>
      </c>
      <c r="BJ138" s="59">
        <f t="shared" si="146"/>
        <v>230.78141128389288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7.5746505149224621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7.5746505149224621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-1.7053025658242404E-13</v>
      </c>
      <c r="BZ138" s="13">
        <f>BY138*VLOOKUP('Données projet'!$B$12,Paramètres!$A$1:$I$89,3,0)*VLOOKUP('Données projet'!$B$12,Paramètres!$A$1:$I$89,5,0)</f>
        <v>-1.4897523215040567E-13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342.79161436526499</v>
      </c>
      <c r="CE138" s="59">
        <f t="shared" si="148"/>
        <v>315.50730924873733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40.711010656060758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40.711010656060758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-5.6843418860808015E-14</v>
      </c>
      <c r="CU138" s="17">
        <f>CT138*VLOOKUP('Données projet'!$B$13,Paramètres!$A$1:$I$89,3,0)*VLOOKUP('Données projet'!$B$13,Paramètres!$A$1:$I$89,5,0)</f>
        <v>-3.813056537183002E-14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201.84651193684252</v>
      </c>
      <c r="CZ138" s="59">
        <f t="shared" si="150"/>
        <v>138.00705940844708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33.211974753827555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33.211974753827555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1.1368683772161603E-13</v>
      </c>
      <c r="DP138" s="17">
        <f>DO138*VLOOKUP('Données projet'!$B$14,Paramètres!$A$1:$I$89,3,0)*VLOOKUP('Données projet'!$B$14,Paramètres!$A$1:$I$89,5,0)</f>
        <v>8.3355189417488869E-14</v>
      </c>
      <c r="DQ138" s="13">
        <f t="shared" si="151"/>
        <v>1.2790518435140618E-12</v>
      </c>
      <c r="DR138" s="20">
        <f t="shared" si="124"/>
        <v>2.3728589156891171E-12</v>
      </c>
      <c r="DS138" s="59">
        <f t="shared" si="125"/>
        <v>284.69975714988954</v>
      </c>
      <c r="DT138" s="59">
        <f ca="1">AVERAGE(OFFSET($DS$3,0,0,'Données projet'!$E$14+1,1))-AVERAGE(OFFSET($H$3,0,0,'Données projet'!$E$14+1,1))</f>
        <v>242.21240859696931</v>
      </c>
      <c r="DU138" s="59">
        <f t="shared" si="152"/>
        <v>340.92165104349192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14.274938994001428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14.274938994001428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-5.6843418860808015E-14</v>
      </c>
      <c r="EK138" s="17">
        <f>EJ138*VLOOKUP('Données projet'!$B$15,Paramètres!$A$1:$I$89,3,0)*VLOOKUP('Données projet'!$B$15,Paramètres!$A$1:$I$89,5,0)</f>
        <v>-5.4978954722173515E-14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331.7059599630698</v>
      </c>
      <c r="EP138" s="59">
        <f t="shared" si="154"/>
        <v>173.19148969173838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67.802368383252229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67.802368383252229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-5.6843418860808015E-14</v>
      </c>
      <c r="FF138" s="17">
        <f>FE138*VLOOKUP('Données projet'!$B$16,Paramètres!$A$1:$I$89,3,0)*VLOOKUP('Données projet'!$B$16,Paramètres!$A$1:$I$89,5,0)</f>
        <v>-6.1186256061773749E-14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360.86062459677004</v>
      </c>
      <c r="FK138" s="59">
        <f t="shared" si="156"/>
        <v>186.0840067781198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81.37530710663232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81.37530710663232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-5.1159076974727213E-13</v>
      </c>
      <c r="GA138" s="17">
        <f>FZ138*VLOOKUP('Données projet'!$B$17,Paramètres!$A$1:$I$89,3,0)*VLOOKUP('Données projet'!$B$17,Paramètres!$A$1:$I$89,5,0)</f>
        <v>-5.1875304052373401E-13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448.73339628506784</v>
      </c>
      <c r="GF138" s="59">
        <f t="shared" si="158"/>
        <v>273.35778700650803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103.57215358134901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103.57215358134901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-5.1159076974727213E-13</v>
      </c>
      <c r="O139" s="13">
        <f>N139*VLOOKUP('Données projet'!$B$9,Paramètres!$A$1:$I$89,3,0)*VLOOKUP('Données projet'!$B$9,Paramètres!$A$1:$I$89,5,0)</f>
        <v>-4.6288732846733184E-13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408.51124670343137</v>
      </c>
      <c r="T139" s="59">
        <f t="shared" si="142"/>
        <v>250.47702091764884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90.605964241521392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90.605964241521392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-2.8421709430404007E-13</v>
      </c>
      <c r="AJ139" s="13">
        <f>AI139*VLOOKUP('Données projet'!$B$10,Paramètres!$A$1:$I$89,3,0)*VLOOKUP('Données projet'!$B$10,Paramètres!$A$1:$I$89,5,0)</f>
        <v>-2.2612312022829427E-13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327.22763817565902</v>
      </c>
      <c r="AO139" s="59">
        <f t="shared" si="144"/>
        <v>311.68541696405975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34.279347502903299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34.279347502903299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2.8421709430404007E-14</v>
      </c>
      <c r="BE139" s="13">
        <f>BD139*VLOOKUP('Données projet'!$B$11,Paramètres!$A$1:$I$89,3,0)*VLOOKUP('Données projet'!$B$11,Paramètres!$A$1:$I$89,5,0)</f>
        <v>1.8178525351686402E-14</v>
      </c>
      <c r="BF139" s="13">
        <f t="shared" si="145"/>
        <v>3.3304129621647644E-13</v>
      </c>
      <c r="BG139" s="20">
        <f t="shared" si="115"/>
        <v>6.1170785589788349E-13</v>
      </c>
      <c r="BH139" s="59">
        <f t="shared" si="116"/>
        <v>284.84953039488585</v>
      </c>
      <c r="BI139" s="59">
        <f ca="1">AVERAGE(OFFSET($BH$3,0,0,'Données projet'!$E$11+1,1))-AVERAGE(OFFSET($H$3,0,0,'Données projet'!$E$11+1,1))</f>
        <v>169.46470423366029</v>
      </c>
      <c r="BJ139" s="59">
        <f t="shared" si="146"/>
        <v>230.78141128389288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7.4261162384054513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7.4261162384054513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-1.7053025658242404E-13</v>
      </c>
      <c r="BZ139" s="13">
        <f>BY139*VLOOKUP('Données projet'!$B$12,Paramètres!$A$1:$I$89,3,0)*VLOOKUP('Données projet'!$B$12,Paramètres!$A$1:$I$89,5,0)</f>
        <v>-1.4897523215040567E-13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342.79161436526499</v>
      </c>
      <c r="CE139" s="59">
        <f t="shared" si="148"/>
        <v>315.50730924873733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39.912692568360022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39.912692568360022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-5.6843418860808015E-14</v>
      </c>
      <c r="CU139" s="17">
        <f>CT139*VLOOKUP('Données projet'!$B$13,Paramètres!$A$1:$I$89,3,0)*VLOOKUP('Données projet'!$B$13,Paramètres!$A$1:$I$89,5,0)</f>
        <v>-3.813056537183002E-14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201.84651193684252</v>
      </c>
      <c r="CZ139" s="59">
        <f t="shared" si="150"/>
        <v>138.00705940844708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32.560708186209354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32.560708186209354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1.1368683772161603E-13</v>
      </c>
      <c r="DP139" s="17">
        <f>DO139*VLOOKUP('Données projet'!$B$14,Paramètres!$A$1:$I$89,3,0)*VLOOKUP('Données projet'!$B$14,Paramètres!$A$1:$I$89,5,0)</f>
        <v>8.3355189417488869E-14</v>
      </c>
      <c r="DQ139" s="13">
        <f t="shared" si="151"/>
        <v>1.2790518435140618E-12</v>
      </c>
      <c r="DR139" s="20">
        <f t="shared" si="124"/>
        <v>2.3728589156891171E-12</v>
      </c>
      <c r="DS139" s="59">
        <f t="shared" si="125"/>
        <v>284.84953039488761</v>
      </c>
      <c r="DT139" s="59">
        <f ca="1">AVERAGE(OFFSET($DS$3,0,0,'Données projet'!$E$14+1,1))-AVERAGE(OFFSET($H$3,0,0,'Données projet'!$E$14+1,1))</f>
        <v>242.21240859696931</v>
      </c>
      <c r="DU139" s="59">
        <f t="shared" si="152"/>
        <v>340.92165104349192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13.995016147182115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13.995016147182115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-5.6843418860808015E-14</v>
      </c>
      <c r="EK139" s="17">
        <f>EJ139*VLOOKUP('Données projet'!$B$15,Paramètres!$A$1:$I$89,3,0)*VLOOKUP('Données projet'!$B$15,Paramètres!$A$1:$I$89,5,0)</f>
        <v>-5.4978954722173515E-14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331.7059599630698</v>
      </c>
      <c r="EP139" s="59">
        <f t="shared" si="154"/>
        <v>173.19148969173838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66.472805294617871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66.472805294617871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-5.6843418860808015E-14</v>
      </c>
      <c r="FF139" s="17">
        <f>FE139*VLOOKUP('Données projet'!$B$16,Paramètres!$A$1:$I$89,3,0)*VLOOKUP('Données projet'!$B$16,Paramètres!$A$1:$I$89,5,0)</f>
        <v>-6.1186256061773749E-14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360.86062459677004</v>
      </c>
      <c r="FK139" s="59">
        <f t="shared" si="156"/>
        <v>186.0840067781198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79.77958696830764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79.77958696830764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-5.1159076974727213E-13</v>
      </c>
      <c r="GA139" s="17">
        <f>FZ139*VLOOKUP('Données projet'!$B$17,Paramètres!$A$1:$I$89,3,0)*VLOOKUP('Données projet'!$B$17,Paramètres!$A$1:$I$89,5,0)</f>
        <v>-5.1875304052373401E-13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448.73339628506784</v>
      </c>
      <c r="GF139" s="59">
        <f t="shared" si="158"/>
        <v>273.35778700650803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101.54116682239464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101.54116682239464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-5.1159076974727213E-13</v>
      </c>
      <c r="O140" s="13">
        <f>N140*VLOOKUP('Données projet'!$B$9,Paramètres!$A$1:$I$89,3,0)*VLOOKUP('Données projet'!$B$9,Paramètres!$A$1:$I$89,5,0)</f>
        <v>-4.6288732846733184E-13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408.51124670343137</v>
      </c>
      <c r="T140" s="59">
        <f t="shared" si="142"/>
        <v>250.47702091764884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88.829236546926467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88.829236546926467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-2.8421709430404007E-13</v>
      </c>
      <c r="AJ140" s="13">
        <f>AI140*VLOOKUP('Données projet'!$B$10,Paramètres!$A$1:$I$89,3,0)*VLOOKUP('Données projet'!$B$10,Paramètres!$A$1:$I$89,5,0)</f>
        <v>-2.2612312022829427E-13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327.22763817565902</v>
      </c>
      <c r="AO140" s="59">
        <f t="shared" si="144"/>
        <v>311.68541696405975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33.607150406708818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33.607150406708818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2.8421709430404007E-14</v>
      </c>
      <c r="BE140" s="13">
        <f>BD140*VLOOKUP('Données projet'!$B$11,Paramètres!$A$1:$I$89,3,0)*VLOOKUP('Données projet'!$B$11,Paramètres!$A$1:$I$89,5,0)</f>
        <v>1.8178525351686402E-14</v>
      </c>
      <c r="BF140" s="13">
        <f t="shared" si="145"/>
        <v>3.3304129621647644E-13</v>
      </c>
      <c r="BG140" s="20">
        <f t="shared" si="115"/>
        <v>6.1170785589788349E-13</v>
      </c>
      <c r="BH140" s="59">
        <f t="shared" si="116"/>
        <v>284.996705408926</v>
      </c>
      <c r="BI140" s="59">
        <f ca="1">AVERAGE(OFFSET($BH$3,0,0,'Données projet'!$E$11+1,1))-AVERAGE(OFFSET($H$3,0,0,'Données projet'!$E$11+1,1))</f>
        <v>169.46470423366029</v>
      </c>
      <c r="BJ140" s="59">
        <f t="shared" si="146"/>
        <v>230.78141128389288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7.2804946284539769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7.2804946284539769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-1.7053025658242404E-13</v>
      </c>
      <c r="BZ140" s="13">
        <f>BY140*VLOOKUP('Données projet'!$B$12,Paramètres!$A$1:$I$89,3,0)*VLOOKUP('Données projet'!$B$12,Paramètres!$A$1:$I$89,5,0)</f>
        <v>-1.4897523215040567E-13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342.79161436526499</v>
      </c>
      <c r="CE140" s="59">
        <f t="shared" si="148"/>
        <v>315.50730924873733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39.130029011433145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39.130029011433145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-5.6843418860808015E-14</v>
      </c>
      <c r="CU140" s="17">
        <f>CT140*VLOOKUP('Données projet'!$B$13,Paramètres!$A$1:$I$89,3,0)*VLOOKUP('Données projet'!$B$13,Paramètres!$A$1:$I$89,5,0)</f>
        <v>-3.813056537183002E-14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201.84651193684252</v>
      </c>
      <c r="CZ140" s="59">
        <f t="shared" si="150"/>
        <v>138.00705940844708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31.922212558748761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31.922212558748761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1.1368683772161603E-13</v>
      </c>
      <c r="DP140" s="17">
        <f>DO140*VLOOKUP('Données projet'!$B$14,Paramètres!$A$1:$I$89,3,0)*VLOOKUP('Données projet'!$B$14,Paramètres!$A$1:$I$89,5,0)</f>
        <v>8.3355189417488869E-14</v>
      </c>
      <c r="DQ140" s="13">
        <f t="shared" si="151"/>
        <v>1.2790518435140618E-12</v>
      </c>
      <c r="DR140" s="20">
        <f t="shared" si="124"/>
        <v>2.3728589156891171E-12</v>
      </c>
      <c r="DS140" s="59">
        <f t="shared" si="125"/>
        <v>284.99670540892777</v>
      </c>
      <c r="DT140" s="59">
        <f ca="1">AVERAGE(OFFSET($DS$3,0,0,'Données projet'!$E$14+1,1))-AVERAGE(OFFSET($H$3,0,0,'Données projet'!$E$14+1,1))</f>
        <v>242.21240859696931</v>
      </c>
      <c r="DU140" s="59">
        <f t="shared" si="152"/>
        <v>340.92165104349192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13.720582416652851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13.720582416652851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-5.6843418860808015E-14</v>
      </c>
      <c r="EK140" s="17">
        <f>EJ140*VLOOKUP('Données projet'!$B$15,Paramètres!$A$1:$I$89,3,0)*VLOOKUP('Données projet'!$B$15,Paramètres!$A$1:$I$89,5,0)</f>
        <v>-5.4978954722173515E-14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331.7059599630698</v>
      </c>
      <c r="EP140" s="59">
        <f t="shared" si="154"/>
        <v>173.19148969173838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65.16931412719822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65.16931412719822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-5.6843418860808015E-14</v>
      </c>
      <c r="FF140" s="17">
        <f>FE140*VLOOKUP('Données projet'!$B$16,Paramètres!$A$1:$I$89,3,0)*VLOOKUP('Données projet'!$B$16,Paramètres!$A$1:$I$89,5,0)</f>
        <v>-6.1186256061773749E-14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360.86062459677004</v>
      </c>
      <c r="FK140" s="59">
        <f t="shared" si="156"/>
        <v>186.0840067781198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78.215157928602324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78.215157928602324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-5.1159076974727213E-13</v>
      </c>
      <c r="GA140" s="17">
        <f>FZ140*VLOOKUP('Données projet'!$B$17,Paramètres!$A$1:$I$89,3,0)*VLOOKUP('Données projet'!$B$17,Paramètres!$A$1:$I$89,5,0)</f>
        <v>-5.1875304052373401E-13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448.73339628506784</v>
      </c>
      <c r="GF140" s="59">
        <f t="shared" si="158"/>
        <v>273.35778700650803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99.550006475003769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99.550006475003769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-5.1159076974727213E-13</v>
      </c>
      <c r="O141" s="13">
        <f>N141*VLOOKUP('Données projet'!$B$9,Paramètres!$A$1:$I$89,3,0)*VLOOKUP('Données projet'!$B$9,Paramètres!$A$1:$I$89,5,0)</f>
        <v>-4.6288732846733184E-13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408.51124670343137</v>
      </c>
      <c r="T141" s="59">
        <f t="shared" si="142"/>
        <v>250.47702091764884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87.08734939872565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87.08734939872565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-2.8421709430404007E-13</v>
      </c>
      <c r="AJ141" s="13">
        <f>AI141*VLOOKUP('Données projet'!$B$10,Paramètres!$A$1:$I$89,3,0)*VLOOKUP('Données projet'!$B$10,Paramètres!$A$1:$I$89,5,0)</f>
        <v>-2.2612312022829427E-13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327.22763817565902</v>
      </c>
      <c r="AO141" s="59">
        <f t="shared" si="144"/>
        <v>311.68541696405975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32.948134685570963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32.948134685570963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2.8421709430404007E-14</v>
      </c>
      <c r="BE141" s="13">
        <f>BD141*VLOOKUP('Données projet'!$B$11,Paramètres!$A$1:$I$89,3,0)*VLOOKUP('Données projet'!$B$11,Paramètres!$A$1:$I$89,5,0)</f>
        <v>1.8178525351686402E-14</v>
      </c>
      <c r="BF141" s="13">
        <f t="shared" si="145"/>
        <v>3.3304129621647644E-13</v>
      </c>
      <c r="BG141" s="20">
        <f t="shared" si="115"/>
        <v>6.1170785589788349E-13</v>
      </c>
      <c r="BH141" s="59">
        <f t="shared" si="116"/>
        <v>285.14132726550656</v>
      </c>
      <c r="BI141" s="59">
        <f ca="1">AVERAGE(OFFSET($BH$3,0,0,'Données projet'!$E$11+1,1))-AVERAGE(OFFSET($H$3,0,0,'Données projet'!$E$11+1,1))</f>
        <v>169.46470423366029</v>
      </c>
      <c r="BJ141" s="59">
        <f t="shared" si="146"/>
        <v>230.78141128389288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7.1377285694532384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7.1377285694532384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-1.7053025658242404E-13</v>
      </c>
      <c r="BZ141" s="13">
        <f>BY141*VLOOKUP('Données projet'!$B$12,Paramètres!$A$1:$I$89,3,0)*VLOOKUP('Données projet'!$B$12,Paramètres!$A$1:$I$89,5,0)</f>
        <v>-1.4897523215040567E-13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342.79161436526499</v>
      </c>
      <c r="CE141" s="59">
        <f t="shared" si="148"/>
        <v>315.50730924873733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38.362713009479968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38.362713009479968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-5.6843418860808015E-14</v>
      </c>
      <c r="CU141" s="17">
        <f>CT141*VLOOKUP('Données projet'!$B$13,Paramètres!$A$1:$I$89,3,0)*VLOOKUP('Données projet'!$B$13,Paramètres!$A$1:$I$89,5,0)</f>
        <v>-3.813056537183002E-14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201.84651193684252</v>
      </c>
      <c r="CZ141" s="59">
        <f t="shared" si="150"/>
        <v>138.00705940844708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31.296237441098793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31.296237441098793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1.1368683772161603E-13</v>
      </c>
      <c r="DP141" s="17">
        <f>DO141*VLOOKUP('Données projet'!$B$14,Paramètres!$A$1:$I$89,3,0)*VLOOKUP('Données projet'!$B$14,Paramètres!$A$1:$I$89,5,0)</f>
        <v>8.3355189417488869E-14</v>
      </c>
      <c r="DQ141" s="13">
        <f t="shared" si="151"/>
        <v>1.2790518435140618E-12</v>
      </c>
      <c r="DR141" s="20">
        <f t="shared" si="124"/>
        <v>2.3728589156891171E-12</v>
      </c>
      <c r="DS141" s="59">
        <f t="shared" si="125"/>
        <v>285.14132726550832</v>
      </c>
      <c r="DT141" s="59">
        <f ca="1">AVERAGE(OFFSET($DS$3,0,0,'Données projet'!$E$14+1,1))-AVERAGE(OFFSET($H$3,0,0,'Données projet'!$E$14+1,1))</f>
        <v>242.21240859696931</v>
      </c>
      <c r="DU141" s="59">
        <f t="shared" si="152"/>
        <v>340.92165104349192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13.451530164191219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13.451530164191219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-5.6843418860808015E-14</v>
      </c>
      <c r="EK141" s="17">
        <f>EJ141*VLOOKUP('Données projet'!$B$15,Paramètres!$A$1:$I$89,3,0)*VLOOKUP('Données projet'!$B$15,Paramètres!$A$1:$I$89,5,0)</f>
        <v>-5.4978954722173515E-14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331.7059599630698</v>
      </c>
      <c r="EP141" s="59">
        <f t="shared" si="154"/>
        <v>173.19148969173838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63.891383626520557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63.891383626520557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-5.6843418860808015E-14</v>
      </c>
      <c r="FF141" s="17">
        <f>FE141*VLOOKUP('Données projet'!$B$16,Paramètres!$A$1:$I$89,3,0)*VLOOKUP('Données projet'!$B$16,Paramètres!$A$1:$I$89,5,0)</f>
        <v>-6.1186256061773749E-14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360.86062459677004</v>
      </c>
      <c r="FK141" s="59">
        <f t="shared" si="156"/>
        <v>186.0840067781198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76.681406388158138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76.681406388158138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-5.1159076974727213E-13</v>
      </c>
      <c r="GA141" s="17">
        <f>FZ141*VLOOKUP('Données projet'!$B$17,Paramètres!$A$1:$I$89,3,0)*VLOOKUP('Données projet'!$B$17,Paramètres!$A$1:$I$89,5,0)</f>
        <v>-5.1875304052373401E-13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448.73339628506784</v>
      </c>
      <c r="GF141" s="59">
        <f t="shared" si="158"/>
        <v>273.35778700650803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97.597891567537346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97.597891567537346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-5.1159076974727213E-13</v>
      </c>
      <c r="O142" s="13">
        <f>N142*VLOOKUP('Données projet'!$B$9,Paramètres!$A$1:$I$89,3,0)*VLOOKUP('Données projet'!$B$9,Paramètres!$A$1:$I$89,5,0)</f>
        <v>-4.6288732846733184E-13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408.51124670343137</v>
      </c>
      <c r="T142" s="59">
        <f t="shared" si="142"/>
        <v>250.47702091764884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85.379619595054805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85.379619595054805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-2.8421709430404007E-13</v>
      </c>
      <c r="AJ142" s="13">
        <f>AI142*VLOOKUP('Données projet'!$B$10,Paramètres!$A$1:$I$89,3,0)*VLOOKUP('Données projet'!$B$10,Paramètres!$A$1:$I$89,5,0)</f>
        <v>-2.2612312022829427E-13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327.22763817565902</v>
      </c>
      <c r="AO142" s="59">
        <f t="shared" si="144"/>
        <v>311.68541696405975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32.302041860764724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32.302041860764724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2.8421709430404007E-14</v>
      </c>
      <c r="BE142" s="13">
        <f>BD142*VLOOKUP('Données projet'!$B$11,Paramètres!$A$1:$I$89,3,0)*VLOOKUP('Données projet'!$B$11,Paramètres!$A$1:$I$89,5,0)</f>
        <v>1.8178525351686402E-14</v>
      </c>
      <c r="BF142" s="13">
        <f t="shared" si="145"/>
        <v>3.3304129621647644E-13</v>
      </c>
      <c r="BG142" s="20">
        <f t="shared" si="115"/>
        <v>6.1170785589788349E-13</v>
      </c>
      <c r="BH142" s="59">
        <f t="shared" si="116"/>
        <v>285.28344025620152</v>
      </c>
      <c r="BI142" s="59">
        <f ca="1">AVERAGE(OFFSET($BH$3,0,0,'Données projet'!$E$11+1,1))-AVERAGE(OFFSET($H$3,0,0,'Données projet'!$E$11+1,1))</f>
        <v>169.46470423366029</v>
      </c>
      <c r="BJ142" s="59">
        <f t="shared" si="146"/>
        <v>230.78141128389288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6.9977620657908073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6.9977620657908073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-1.7053025658242404E-13</v>
      </c>
      <c r="BZ142" s="13">
        <f>BY142*VLOOKUP('Données projet'!$B$12,Paramètres!$A$1:$I$89,3,0)*VLOOKUP('Données projet'!$B$12,Paramètres!$A$1:$I$89,5,0)</f>
        <v>-1.4897523215040567E-13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342.79161436526499</v>
      </c>
      <c r="CE142" s="59">
        <f t="shared" si="148"/>
        <v>315.50730924873733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37.61044360630855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37.61044360630855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-5.6843418860808015E-14</v>
      </c>
      <c r="CU142" s="17">
        <f>CT142*VLOOKUP('Données projet'!$B$13,Paramètres!$A$1:$I$89,3,0)*VLOOKUP('Données projet'!$B$13,Paramètres!$A$1:$I$89,5,0)</f>
        <v>-3.813056537183002E-14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201.84651193684252</v>
      </c>
      <c r="CZ142" s="59">
        <f t="shared" si="150"/>
        <v>138.00705940844708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30.68253731369882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30.68253731369882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1.1368683772161603E-13</v>
      </c>
      <c r="DP142" s="17">
        <f>DO142*VLOOKUP('Données projet'!$B$14,Paramètres!$A$1:$I$89,3,0)*VLOOKUP('Données projet'!$B$14,Paramètres!$A$1:$I$89,5,0)</f>
        <v>8.3355189417488869E-14</v>
      </c>
      <c r="DQ142" s="13">
        <f t="shared" si="151"/>
        <v>1.2790518435140618E-12</v>
      </c>
      <c r="DR142" s="20">
        <f t="shared" si="124"/>
        <v>2.3728589156891171E-12</v>
      </c>
      <c r="DS142" s="59">
        <f t="shared" si="125"/>
        <v>285.28344025620328</v>
      </c>
      <c r="DT142" s="59">
        <f ca="1">AVERAGE(OFFSET($DS$3,0,0,'Données projet'!$E$14+1,1))-AVERAGE(OFFSET($H$3,0,0,'Données projet'!$E$14+1,1))</f>
        <v>242.21240859696931</v>
      </c>
      <c r="DU142" s="59">
        <f t="shared" si="152"/>
        <v>340.92165104349192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13.18775386229469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13.18775386229469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-5.6843418860808015E-14</v>
      </c>
      <c r="EK142" s="17">
        <f>EJ142*VLOOKUP('Données projet'!$B$15,Paramètres!$A$1:$I$89,3,0)*VLOOKUP('Données projet'!$B$15,Paramètres!$A$1:$I$89,5,0)</f>
        <v>-5.4978954722173515E-14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331.7059599630698</v>
      </c>
      <c r="EP142" s="59">
        <f t="shared" si="154"/>
        <v>173.19148969173838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62.638512563500541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62.638512563500541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-5.6843418860808015E-14</v>
      </c>
      <c r="FF142" s="17">
        <f>FE142*VLOOKUP('Données projet'!$B$16,Paramètres!$A$1:$I$89,3,0)*VLOOKUP('Données projet'!$B$16,Paramètres!$A$1:$I$89,5,0)</f>
        <v>-6.1186256061773749E-14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360.86062459677004</v>
      </c>
      <c r="FK142" s="59">
        <f t="shared" si="156"/>
        <v>186.0840067781198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75.177730779925994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75.177730779925994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-5.1159076974727213E-13</v>
      </c>
      <c r="GA142" s="17">
        <f>FZ142*VLOOKUP('Données projet'!$B$17,Paramètres!$A$1:$I$89,3,0)*VLOOKUP('Données projet'!$B$17,Paramètres!$A$1:$I$89,5,0)</f>
        <v>-5.1875304052373401E-13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448.73339628506784</v>
      </c>
      <c r="GF142" s="59">
        <f t="shared" si="158"/>
        <v>273.35778700650803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95.684056442733805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95.684056442733805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-5.1159076974727213E-13</v>
      </c>
      <c r="O143" s="13">
        <f>N143*VLOOKUP('Données projet'!$B$9,Paramètres!$A$1:$I$89,3,0)*VLOOKUP('Données projet'!$B$9,Paramètres!$A$1:$I$89,5,0)</f>
        <v>-4.6288732846733184E-13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408.51124670343137</v>
      </c>
      <c r="T143" s="59">
        <f t="shared" si="142"/>
        <v>250.47702091764884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83.705377331221612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83.705377331221612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-2.8421709430404007E-13</v>
      </c>
      <c r="AJ143" s="13">
        <f>AI143*VLOOKUP('Données projet'!$B$10,Paramètres!$A$1:$I$89,3,0)*VLOOKUP('Données projet'!$B$10,Paramètres!$A$1:$I$89,5,0)</f>
        <v>-2.2612312022829427E-13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327.22763817565902</v>
      </c>
      <c r="AO143" s="59">
        <f t="shared" si="144"/>
        <v>311.68541696405975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31.668618522175223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31.668618522175223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2.8421709430404007E-14</v>
      </c>
      <c r="BE143" s="13">
        <f>BD143*VLOOKUP('Données projet'!$B$11,Paramètres!$A$1:$I$89,3,0)*VLOOKUP('Données projet'!$B$11,Paramètres!$A$1:$I$89,5,0)</f>
        <v>1.8178525351686402E-14</v>
      </c>
      <c r="BF143" s="13">
        <f t="shared" si="145"/>
        <v>3.3304129621647644E-13</v>
      </c>
      <c r="BG143" s="20">
        <f t="shared" si="115"/>
        <v>6.1170785589788349E-13</v>
      </c>
      <c r="BH143" s="59">
        <f t="shared" si="116"/>
        <v>285.42308790422499</v>
      </c>
      <c r="BI143" s="59">
        <f ca="1">AVERAGE(OFFSET($BH$3,0,0,'Données projet'!$E$11+1,1))-AVERAGE(OFFSET($H$3,0,0,'Données projet'!$E$11+1,1))</f>
        <v>169.46470423366029</v>
      </c>
      <c r="BJ143" s="59">
        <f t="shared" si="146"/>
        <v>230.78141128389288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6.8605402198940588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6.8605402198940588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-1.7053025658242404E-13</v>
      </c>
      <c r="BZ143" s="13">
        <f>BY143*VLOOKUP('Données projet'!$B$12,Paramètres!$A$1:$I$89,3,0)*VLOOKUP('Données projet'!$B$12,Paramètres!$A$1:$I$89,5,0)</f>
        <v>-1.4897523215040567E-13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342.79161436526499</v>
      </c>
      <c r="CE143" s="59">
        <f t="shared" si="148"/>
        <v>315.50730924873733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36.872925747294289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36.872925747294289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-5.6843418860808015E-14</v>
      </c>
      <c r="CU143" s="17">
        <f>CT143*VLOOKUP('Données projet'!$B$13,Paramètres!$A$1:$I$89,3,0)*VLOOKUP('Données projet'!$B$13,Paramètres!$A$1:$I$89,5,0)</f>
        <v>-3.813056537183002E-14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201.84651193684252</v>
      </c>
      <c r="CZ143" s="59">
        <f t="shared" si="150"/>
        <v>138.00705940844708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30.080871471477042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30.080871471477042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1.1368683772161603E-13</v>
      </c>
      <c r="DP143" s="17">
        <f>DO143*VLOOKUP('Données projet'!$B$14,Paramètres!$A$1:$I$89,3,0)*VLOOKUP('Données projet'!$B$14,Paramètres!$A$1:$I$89,5,0)</f>
        <v>8.3355189417488869E-14</v>
      </c>
      <c r="DQ143" s="13">
        <f t="shared" si="151"/>
        <v>1.2790518435140618E-12</v>
      </c>
      <c r="DR143" s="20">
        <f t="shared" si="124"/>
        <v>2.3728589156891171E-12</v>
      </c>
      <c r="DS143" s="59">
        <f t="shared" si="125"/>
        <v>285.42308790422675</v>
      </c>
      <c r="DT143" s="59">
        <f ca="1">AVERAGE(OFFSET($DS$3,0,0,'Données projet'!$E$14+1,1))-AVERAGE(OFFSET($H$3,0,0,'Données projet'!$E$14+1,1))</f>
        <v>242.21240859696931</v>
      </c>
      <c r="DU143" s="59">
        <f t="shared" si="152"/>
        <v>340.92165104349192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12.929150052790694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12.929150052790694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-5.6843418860808015E-14</v>
      </c>
      <c r="EK143" s="17">
        <f>EJ143*VLOOKUP('Données projet'!$B$15,Paramètres!$A$1:$I$89,3,0)*VLOOKUP('Données projet'!$B$15,Paramètres!$A$1:$I$89,5,0)</f>
        <v>-5.4978954722173515E-14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331.7059599630698</v>
      </c>
      <c r="EP143" s="59">
        <f t="shared" si="154"/>
        <v>173.19148969173838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61.410209537850456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61.410209537850456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-5.6843418860808015E-14</v>
      </c>
      <c r="FF143" s="17">
        <f>FE143*VLOOKUP('Données projet'!$B$16,Paramètres!$A$1:$I$89,3,0)*VLOOKUP('Données projet'!$B$16,Paramètres!$A$1:$I$89,5,0)</f>
        <v>-6.1186256061773749E-14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360.86062459677004</v>
      </c>
      <c r="FK143" s="59">
        <f t="shared" si="156"/>
        <v>186.0840067781198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73.703541333219732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73.703541333219732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-5.1159076974727213E-13</v>
      </c>
      <c r="GA143" s="17">
        <f>FZ143*VLOOKUP('Données projet'!$B$17,Paramètres!$A$1:$I$89,3,0)*VLOOKUP('Données projet'!$B$17,Paramètres!$A$1:$I$89,5,0)</f>
        <v>-5.1875304052373401E-13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448.73339628506784</v>
      </c>
      <c r="GF143" s="59">
        <f t="shared" si="158"/>
        <v>273.35778700650803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93.8077504574035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93.8077504574035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-5.1159076974727213E-13</v>
      </c>
      <c r="O144" s="13">
        <f>N144*VLOOKUP('Données projet'!$B$9,Paramètres!$A$1:$I$89,3,0)*VLOOKUP('Données projet'!$B$9,Paramètres!$A$1:$I$89,5,0)</f>
        <v>-4.6288732846733184E-13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408.51124670343137</v>
      </c>
      <c r="T144" s="59">
        <f t="shared" si="142"/>
        <v>250.47702091764884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82.063965936995245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82.063965936995245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-2.8421709430404007E-13</v>
      </c>
      <c r="AJ144" s="13">
        <f>AI144*VLOOKUP('Données projet'!$B$10,Paramètres!$A$1:$I$89,3,0)*VLOOKUP('Données projet'!$B$10,Paramètres!$A$1:$I$89,5,0)</f>
        <v>-2.2612312022829427E-13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327.22763817565902</v>
      </c>
      <c r="AO144" s="59">
        <f t="shared" si="144"/>
        <v>311.68541696405975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31.047616228905373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31.047616228905373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2.8421709430404007E-14</v>
      </c>
      <c r="BE144" s="13">
        <f>BD144*VLOOKUP('Données projet'!$B$11,Paramètres!$A$1:$I$89,3,0)*VLOOKUP('Données projet'!$B$11,Paramètres!$A$1:$I$89,5,0)</f>
        <v>1.8178525351686402E-14</v>
      </c>
      <c r="BF144" s="13">
        <f t="shared" si="145"/>
        <v>3.3304129621647644E-13</v>
      </c>
      <c r="BG144" s="20">
        <f t="shared" si="115"/>
        <v>6.1170785589788349E-13</v>
      </c>
      <c r="BH144" s="59">
        <f t="shared" si="116"/>
        <v>285.56031297776065</v>
      </c>
      <c r="BI144" s="59">
        <f ca="1">AVERAGE(OFFSET($BH$3,0,0,'Données projet'!$E$11+1,1))-AVERAGE(OFFSET($H$3,0,0,'Données projet'!$E$11+1,1))</f>
        <v>169.46470423366029</v>
      </c>
      <c r="BJ144" s="59">
        <f t="shared" si="146"/>
        <v>230.78141128389288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6.7260092106982841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6.7260092106982841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-1.7053025658242404E-13</v>
      </c>
      <c r="BZ144" s="13">
        <f>BY144*VLOOKUP('Données projet'!$B$12,Paramètres!$A$1:$I$89,3,0)*VLOOKUP('Données projet'!$B$12,Paramètres!$A$1:$I$89,5,0)</f>
        <v>-1.4897523215040567E-13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342.79161436526499</v>
      </c>
      <c r="CE144" s="59">
        <f t="shared" si="148"/>
        <v>315.50730924873733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36.149870163653823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36.149870163653823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-5.6843418860808015E-14</v>
      </c>
      <c r="CU144" s="17">
        <f>CT144*VLOOKUP('Données projet'!$B$13,Paramètres!$A$1:$I$89,3,0)*VLOOKUP('Données projet'!$B$13,Paramètres!$A$1:$I$89,5,0)</f>
        <v>-3.813056537183002E-14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201.84651193684252</v>
      </c>
      <c r="CZ144" s="59">
        <f t="shared" si="150"/>
        <v>138.00705940844708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29.491003929441309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29.491003929441309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1.1368683772161603E-13</v>
      </c>
      <c r="DP144" s="17">
        <f>DO144*VLOOKUP('Données projet'!$B$14,Paramètres!$A$1:$I$89,3,0)*VLOOKUP('Données projet'!$B$14,Paramètres!$A$1:$I$89,5,0)</f>
        <v>8.3355189417488869E-14</v>
      </c>
      <c r="DQ144" s="13">
        <f t="shared" si="151"/>
        <v>1.2790518435140618E-12</v>
      </c>
      <c r="DR144" s="20">
        <f t="shared" si="124"/>
        <v>2.3728589156891171E-12</v>
      </c>
      <c r="DS144" s="59">
        <f t="shared" si="125"/>
        <v>285.56031297776241</v>
      </c>
      <c r="DT144" s="59">
        <f ca="1">AVERAGE(OFFSET($DS$3,0,0,'Données projet'!$E$14+1,1))-AVERAGE(OFFSET($H$3,0,0,'Données projet'!$E$14+1,1))</f>
        <v>242.21240859696931</v>
      </c>
      <c r="DU144" s="59">
        <f t="shared" si="152"/>
        <v>340.92165104349192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12.675617306258323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12.675617306258323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-5.6843418860808015E-14</v>
      </c>
      <c r="EK144" s="17">
        <f>EJ144*VLOOKUP('Données projet'!$B$15,Paramètres!$A$1:$I$89,3,0)*VLOOKUP('Données projet'!$B$15,Paramètres!$A$1:$I$89,5,0)</f>
        <v>-5.4978954722173515E-14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331.7059599630698</v>
      </c>
      <c r="EP144" s="59">
        <f t="shared" si="154"/>
        <v>173.19148969173838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60.205992785342502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60.205992785342502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-5.6843418860808015E-14</v>
      </c>
      <c r="FF144" s="17">
        <f>FE144*VLOOKUP('Données projet'!$B$16,Paramètres!$A$1:$I$89,3,0)*VLOOKUP('Données projet'!$B$16,Paramètres!$A$1:$I$89,5,0)</f>
        <v>-6.1186256061773749E-14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360.86062459677004</v>
      </c>
      <c r="FK144" s="59">
        <f t="shared" si="156"/>
        <v>186.0840067781198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72.258259842396598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72.258259842396598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-5.1159076974727213E-13</v>
      </c>
      <c r="GA144" s="17">
        <f>FZ144*VLOOKUP('Données projet'!$B$17,Paramètres!$A$1:$I$89,3,0)*VLOOKUP('Données projet'!$B$17,Paramètres!$A$1:$I$89,5,0)</f>
        <v>-5.1875304052373401E-13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448.73339628506784</v>
      </c>
      <c r="GF144" s="59">
        <f t="shared" si="158"/>
        <v>273.35778700650803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91.968237688011882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91.968237688011882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-5.1159076974727213E-13</v>
      </c>
      <c r="O145" s="13">
        <f>N145*VLOOKUP('Données projet'!$B$9,Paramètres!$A$1:$I$89,3,0)*VLOOKUP('Données projet'!$B$9,Paramètres!$A$1:$I$89,5,0)</f>
        <v>-4.6288732846733184E-13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408.51124670343137</v>
      </c>
      <c r="T145" s="59">
        <f t="shared" si="142"/>
        <v>250.47702091764884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80.454741619047567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80.454741619047567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-2.8421709430404007E-13</v>
      </c>
      <c r="AJ145" s="13">
        <f>AI145*VLOOKUP('Données projet'!$B$10,Paramètres!$A$1:$I$89,3,0)*VLOOKUP('Données projet'!$B$10,Paramètres!$A$1:$I$89,5,0)</f>
        <v>-2.2612312022829427E-13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327.22763817565902</v>
      </c>
      <c r="AO145" s="59">
        <f t="shared" si="144"/>
        <v>311.68541696405975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30.438791411832547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30.438791411832547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2.8421709430404007E-14</v>
      </c>
      <c r="BE145" s="13">
        <f>BD145*VLOOKUP('Données projet'!$B$11,Paramètres!$A$1:$I$89,3,0)*VLOOKUP('Données projet'!$B$11,Paramètres!$A$1:$I$89,5,0)</f>
        <v>1.8178525351686402E-14</v>
      </c>
      <c r="BF145" s="13">
        <f t="shared" si="145"/>
        <v>3.3304129621647644E-13</v>
      </c>
      <c r="BG145" s="20">
        <f t="shared" si="115"/>
        <v>6.1170785589788349E-13</v>
      </c>
      <c r="BH145" s="59">
        <f t="shared" si="116"/>
        <v>285.6951575030597</v>
      </c>
      <c r="BI145" s="59">
        <f ca="1">AVERAGE(OFFSET($BH$3,0,0,'Données projet'!$E$11+1,1))-AVERAGE(OFFSET($H$3,0,0,'Données projet'!$E$11+1,1))</f>
        <v>169.46470423366029</v>
      </c>
      <c r="BJ145" s="59">
        <f t="shared" si="146"/>
        <v>230.78141128389288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6.5941162725370246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6.5941162725370246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-1.7053025658242404E-13</v>
      </c>
      <c r="BZ145" s="13">
        <f>BY145*VLOOKUP('Données projet'!$B$12,Paramètres!$A$1:$I$89,3,0)*VLOOKUP('Données projet'!$B$12,Paramètres!$A$1:$I$89,5,0)</f>
        <v>-1.4897523215040567E-13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342.79161436526499</v>
      </c>
      <c r="CE145" s="59">
        <f t="shared" si="148"/>
        <v>315.50730924873733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35.440993258988186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35.440993258988186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-5.6843418860808015E-14</v>
      </c>
      <c r="CU145" s="17">
        <f>CT145*VLOOKUP('Données projet'!$B$13,Paramètres!$A$1:$I$89,3,0)*VLOOKUP('Données projet'!$B$13,Paramètres!$A$1:$I$89,5,0)</f>
        <v>-3.813056537183002E-14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201.84651193684252</v>
      </c>
      <c r="CZ145" s="59">
        <f t="shared" si="150"/>
        <v>138.00705940844708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28.912703330121222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28.912703330121222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1.1368683772161603E-13</v>
      </c>
      <c r="DP145" s="17">
        <f>DO145*VLOOKUP('Données projet'!$B$14,Paramètres!$A$1:$I$89,3,0)*VLOOKUP('Données projet'!$B$14,Paramètres!$A$1:$I$89,5,0)</f>
        <v>8.3355189417488869E-14</v>
      </c>
      <c r="DQ145" s="13">
        <f t="shared" si="151"/>
        <v>1.2790518435140618E-12</v>
      </c>
      <c r="DR145" s="20">
        <f t="shared" si="124"/>
        <v>2.3728589156891171E-12</v>
      </c>
      <c r="DS145" s="59">
        <f t="shared" si="125"/>
        <v>285.69515750306147</v>
      </c>
      <c r="DT145" s="59">
        <f ca="1">AVERAGE(OFFSET($DS$3,0,0,'Données projet'!$E$14+1,1))-AVERAGE(OFFSET($H$3,0,0,'Données projet'!$E$14+1,1))</f>
        <v>242.21240859696931</v>
      </c>
      <c r="DU145" s="59">
        <f t="shared" si="152"/>
        <v>340.92165104349192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12.427056182245744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12.427056182245744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-5.6843418860808015E-14</v>
      </c>
      <c r="EK145" s="17">
        <f>EJ145*VLOOKUP('Données projet'!$B$15,Paramètres!$A$1:$I$89,3,0)*VLOOKUP('Données projet'!$B$15,Paramètres!$A$1:$I$89,5,0)</f>
        <v>-5.4978954722173515E-14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331.7059599630698</v>
      </c>
      <c r="EP145" s="59">
        <f t="shared" si="154"/>
        <v>173.19148969173838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59.025389988851536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59.025389988851536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-5.6843418860808015E-14</v>
      </c>
      <c r="FF145" s="17">
        <f>FE145*VLOOKUP('Données projet'!$B$16,Paramètres!$A$1:$I$89,3,0)*VLOOKUP('Données projet'!$B$16,Paramètres!$A$1:$I$89,5,0)</f>
        <v>-6.1186256061773749E-14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360.86062459677004</v>
      </c>
      <c r="FK145" s="59">
        <f t="shared" si="156"/>
        <v>186.0840067781198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70.841319440073832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70.841319440073832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-5.1159076974727213E-13</v>
      </c>
      <c r="GA145" s="17">
        <f>FZ145*VLOOKUP('Données projet'!$B$17,Paramètres!$A$1:$I$89,3,0)*VLOOKUP('Données projet'!$B$17,Paramètres!$A$1:$I$89,5,0)</f>
        <v>-5.1875304052373401E-13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448.73339628506784</v>
      </c>
      <c r="GF145" s="59">
        <f t="shared" si="158"/>
        <v>273.35778700650803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90.164796642036023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90.164796642036023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-5.1159076974727213E-13</v>
      </c>
      <c r="O146" s="13">
        <f>N146*VLOOKUP('Données projet'!$B$9,Paramètres!$A$1:$I$89,3,0)*VLOOKUP('Données projet'!$B$9,Paramètres!$A$1:$I$89,5,0)</f>
        <v>-4.6288732846733184E-13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408.51124670343137</v>
      </c>
      <c r="T146" s="59">
        <f t="shared" si="142"/>
        <v>250.47702091764884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78.877073208444926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78.877073208444926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-2.8421709430404007E-13</v>
      </c>
      <c r="AJ146" s="13">
        <f>AI146*VLOOKUP('Données projet'!$B$10,Paramètres!$A$1:$I$89,3,0)*VLOOKUP('Données projet'!$B$10,Paramètres!$A$1:$I$89,5,0)</f>
        <v>-2.2612312022829427E-13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327.22763817565902</v>
      </c>
      <c r="AO146" s="59">
        <f t="shared" si="144"/>
        <v>311.68541696405975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29.841905278076048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29.841905278076048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2.8421709430404007E-14</v>
      </c>
      <c r="BE146" s="13">
        <f>BD146*VLOOKUP('Données projet'!$B$11,Paramètres!$A$1:$I$89,3,0)*VLOOKUP('Données projet'!$B$11,Paramètres!$A$1:$I$89,5,0)</f>
        <v>1.8178525351686402E-14</v>
      </c>
      <c r="BF146" s="13">
        <f t="shared" si="145"/>
        <v>3.3304129621647644E-13</v>
      </c>
      <c r="BG146" s="20">
        <f t="shared" si="115"/>
        <v>6.1170785589788349E-13</v>
      </c>
      <c r="BH146" s="59">
        <f t="shared" si="116"/>
        <v>285.82766277731207</v>
      </c>
      <c r="BI146" s="59">
        <f ca="1">AVERAGE(OFFSET($BH$3,0,0,'Données projet'!$E$11+1,1))-AVERAGE(OFFSET($H$3,0,0,'Données projet'!$E$11+1,1))</f>
        <v>169.46470423366029</v>
      </c>
      <c r="BJ146" s="59">
        <f t="shared" si="146"/>
        <v>230.78141128389288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6.464809674446359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6.464809674446359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-1.7053025658242404E-13</v>
      </c>
      <c r="BZ146" s="13">
        <f>BY146*VLOOKUP('Données projet'!$B$12,Paramètres!$A$1:$I$89,3,0)*VLOOKUP('Données projet'!$B$12,Paramètres!$A$1:$I$89,5,0)</f>
        <v>-1.4897523215040567E-13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342.79161436526499</v>
      </c>
      <c r="CE146" s="59">
        <f t="shared" si="148"/>
        <v>315.50730924873733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34.746016998050827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34.746016998050827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-5.6843418860808015E-14</v>
      </c>
      <c r="CU146" s="17">
        <f>CT146*VLOOKUP('Données projet'!$B$13,Paramètres!$A$1:$I$89,3,0)*VLOOKUP('Données projet'!$B$13,Paramètres!$A$1:$I$89,5,0)</f>
        <v>-3.813056537183002E-14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201.84651193684252</v>
      </c>
      <c r="CZ146" s="59">
        <f t="shared" si="150"/>
        <v>138.00705940844708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28.345742852825264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28.345742852825264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1.1368683772161603E-13</v>
      </c>
      <c r="DP146" s="17">
        <f>DO146*VLOOKUP('Données projet'!$B$14,Paramètres!$A$1:$I$89,3,0)*VLOOKUP('Données projet'!$B$14,Paramètres!$A$1:$I$89,5,0)</f>
        <v>8.3355189417488869E-14</v>
      </c>
      <c r="DQ146" s="13">
        <f t="shared" si="151"/>
        <v>1.2790518435140618E-12</v>
      </c>
      <c r="DR146" s="20">
        <f t="shared" si="124"/>
        <v>2.3728589156891171E-12</v>
      </c>
      <c r="DS146" s="59">
        <f t="shared" si="125"/>
        <v>285.82766277731383</v>
      </c>
      <c r="DT146" s="59">
        <f ca="1">AVERAGE(OFFSET($DS$3,0,0,'Données projet'!$E$14+1,1))-AVERAGE(OFFSET($H$3,0,0,'Données projet'!$E$14+1,1))</f>
        <v>242.21240859696931</v>
      </c>
      <c r="DU146" s="59">
        <f t="shared" si="152"/>
        <v>340.92165104349192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12.183369190267738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12.183369190267738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-5.6843418860808015E-14</v>
      </c>
      <c r="EK146" s="17">
        <f>EJ146*VLOOKUP('Données projet'!$B$15,Paramètres!$A$1:$I$89,3,0)*VLOOKUP('Données projet'!$B$15,Paramètres!$A$1:$I$89,5,0)</f>
        <v>-5.4978954722173515E-14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331.7059599630698</v>
      </c>
      <c r="EP146" s="59">
        <f t="shared" si="154"/>
        <v>173.19148969173838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57.867938093103156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57.867938093103156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-5.6843418860808015E-14</v>
      </c>
      <c r="FF146" s="17">
        <f>FE146*VLOOKUP('Données projet'!$B$16,Paramètres!$A$1:$I$89,3,0)*VLOOKUP('Données projet'!$B$16,Paramètres!$A$1:$I$89,5,0)</f>
        <v>-6.1186256061773749E-14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360.86062459677004</v>
      </c>
      <c r="FK146" s="59">
        <f t="shared" si="156"/>
        <v>186.0840067781198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69.452164374792318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69.452164374792318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-5.1159076974727213E-13</v>
      </c>
      <c r="GA146" s="17">
        <f>FZ146*VLOOKUP('Données projet'!$B$17,Paramètres!$A$1:$I$89,3,0)*VLOOKUP('Données projet'!$B$17,Paramètres!$A$1:$I$89,5,0)</f>
        <v>-5.1875304052373401E-13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448.73339628506784</v>
      </c>
      <c r="GF146" s="59">
        <f t="shared" si="158"/>
        <v>273.35778700650803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88.396719974981337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88.396719974981337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-5.1159076974727213E-13</v>
      </c>
      <c r="O147" s="13">
        <f>N147*VLOOKUP('Données projet'!$B$9,Paramètres!$A$1:$I$89,3,0)*VLOOKUP('Données projet'!$B$9,Paramètres!$A$1:$I$89,5,0)</f>
        <v>-4.6288732846733184E-13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408.51124670343137</v>
      </c>
      <c r="T147" s="59">
        <f t="shared" si="142"/>
        <v>250.47702091764884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77.330341913091488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77.330341913091488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-2.8421709430404007E-13</v>
      </c>
      <c r="AJ147" s="13">
        <f>AI147*VLOOKUP('Données projet'!$B$10,Paramètres!$A$1:$I$89,3,0)*VLOOKUP('Données projet'!$B$10,Paramètres!$A$1:$I$89,5,0)</f>
        <v>-2.2612312022829427E-13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327.22763817565902</v>
      </c>
      <c r="AO147" s="59">
        <f t="shared" si="144"/>
        <v>311.68541696405975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29.25672371733792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29.25672371733792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2.8421709430404007E-14</v>
      </c>
      <c r="BE147" s="13">
        <f>BD147*VLOOKUP('Données projet'!$B$11,Paramètres!$A$1:$I$89,3,0)*VLOOKUP('Données projet'!$B$11,Paramètres!$A$1:$I$89,5,0)</f>
        <v>1.8178525351686402E-14</v>
      </c>
      <c r="BF147" s="13">
        <f t="shared" si="145"/>
        <v>3.3304129621647644E-13</v>
      </c>
      <c r="BG147" s="20">
        <f t="shared" si="115"/>
        <v>6.1170785589788349E-13</v>
      </c>
      <c r="BH147" s="59">
        <f t="shared" si="116"/>
        <v>285.95786938129351</v>
      </c>
      <c r="BI147" s="59">
        <f ca="1">AVERAGE(OFFSET($BH$3,0,0,'Données projet'!$E$11+1,1))-AVERAGE(OFFSET($H$3,0,0,'Données projet'!$E$11+1,1))</f>
        <v>169.46470423366029</v>
      </c>
      <c r="BJ147" s="59">
        <f t="shared" si="146"/>
        <v>230.78141128389288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6.338038699875014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6.338038699875014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-1.7053025658242404E-13</v>
      </c>
      <c r="BZ147" s="13">
        <f>BY147*VLOOKUP('Données projet'!$B$12,Paramètres!$A$1:$I$89,3,0)*VLOOKUP('Données projet'!$B$12,Paramètres!$A$1:$I$89,5,0)</f>
        <v>-1.4897523215040567E-13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342.79161436526499</v>
      </c>
      <c r="CE147" s="59">
        <f t="shared" si="148"/>
        <v>315.50730924873733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34.06466879769679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34.06466879769679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-5.6843418860808015E-14</v>
      </c>
      <c r="CU147" s="17">
        <f>CT147*VLOOKUP('Données projet'!$B$13,Paramètres!$A$1:$I$89,3,0)*VLOOKUP('Données projet'!$B$13,Paramètres!$A$1:$I$89,5,0)</f>
        <v>-3.813056537183002E-14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201.84651193684252</v>
      </c>
      <c r="CZ147" s="59">
        <f t="shared" si="150"/>
        <v>138.00705940844708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27.789900124677335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27.789900124677335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1.1368683772161603E-13</v>
      </c>
      <c r="DP147" s="17">
        <f>DO147*VLOOKUP('Données projet'!$B$14,Paramètres!$A$1:$I$89,3,0)*VLOOKUP('Données projet'!$B$14,Paramètres!$A$1:$I$89,5,0)</f>
        <v>8.3355189417488869E-14</v>
      </c>
      <c r="DQ147" s="13">
        <f t="shared" si="151"/>
        <v>1.2790518435140618E-12</v>
      </c>
      <c r="DR147" s="20">
        <f t="shared" si="124"/>
        <v>2.3728589156891171E-12</v>
      </c>
      <c r="DS147" s="59">
        <f t="shared" si="125"/>
        <v>285.95786938129527</v>
      </c>
      <c r="DT147" s="59">
        <f ca="1">AVERAGE(OFFSET($DS$3,0,0,'Données projet'!$E$14+1,1))-AVERAGE(OFFSET($H$3,0,0,'Données projet'!$E$14+1,1))</f>
        <v>242.21240859696931</v>
      </c>
      <c r="DU147" s="59">
        <f t="shared" si="152"/>
        <v>340.92165104349192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11.944460751568032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11.944460751568032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-5.6843418860808015E-14</v>
      </c>
      <c r="EK147" s="17">
        <f>EJ147*VLOOKUP('Données projet'!$B$15,Paramètres!$A$1:$I$89,3,0)*VLOOKUP('Données projet'!$B$15,Paramètres!$A$1:$I$89,5,0)</f>
        <v>-5.4978954722173515E-14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331.7059599630698</v>
      </c>
      <c r="EP147" s="59">
        <f t="shared" si="154"/>
        <v>173.19148969173838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56.733183123054452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56.733183123054452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-5.6843418860808015E-14</v>
      </c>
      <c r="FF147" s="17">
        <f>FE147*VLOOKUP('Données projet'!$B$16,Paramètres!$A$1:$I$89,3,0)*VLOOKUP('Données projet'!$B$16,Paramètres!$A$1:$I$89,5,0)</f>
        <v>-6.1186256061773749E-14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360.86062459677004</v>
      </c>
      <c r="FK147" s="59">
        <f t="shared" si="156"/>
        <v>186.0840067781198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68.090249793040044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68.090249793040044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-5.1159076974727213E-13</v>
      </c>
      <c r="GA147" s="17">
        <f>FZ147*VLOOKUP('Données projet'!$B$17,Paramètres!$A$1:$I$89,3,0)*VLOOKUP('Données projet'!$B$17,Paramètres!$A$1:$I$89,5,0)</f>
        <v>-5.1875304052373401E-13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448.73339628506784</v>
      </c>
      <c r="GF147" s="59">
        <f t="shared" si="158"/>
        <v>273.35778700650803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86.663314212947313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86.663314212947313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-5.1159076974727213E-13</v>
      </c>
      <c r="O148" s="13">
        <f>N148*VLOOKUP('Données projet'!$B$9,Paramètres!$A$1:$I$89,3,0)*VLOOKUP('Données projet'!$B$9,Paramètres!$A$1:$I$89,5,0)</f>
        <v>-4.6288732846733184E-13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408.51124670343137</v>
      </c>
      <c r="T148" s="59">
        <f t="shared" si="142"/>
        <v>250.47702091764884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75.813941075026989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75.813941075026989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-2.8421709430404007E-13</v>
      </c>
      <c r="AJ148" s="13">
        <f>AI148*VLOOKUP('Données projet'!$B$10,Paramètres!$A$1:$I$89,3,0)*VLOOKUP('Données projet'!$B$10,Paramètres!$A$1:$I$89,5,0)</f>
        <v>-2.2612312022829427E-13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327.22763817565902</v>
      </c>
      <c r="AO148" s="59">
        <f t="shared" si="144"/>
        <v>311.68541696405975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28.683017210080358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28.683017210080358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2.8421709430404007E-14</v>
      </c>
      <c r="BE148" s="13">
        <f>BD148*VLOOKUP('Données projet'!$B$11,Paramètres!$A$1:$I$89,3,0)*VLOOKUP('Données projet'!$B$11,Paramètres!$A$1:$I$89,5,0)</f>
        <v>1.8178525351686402E-14</v>
      </c>
      <c r="BF148" s="13">
        <f t="shared" si="145"/>
        <v>3.3304129621647644E-13</v>
      </c>
      <c r="BG148" s="20">
        <f t="shared" si="115"/>
        <v>6.1170785589788349E-13</v>
      </c>
      <c r="BH148" s="59">
        <f t="shared" si="116"/>
        <v>286.08581719179421</v>
      </c>
      <c r="BI148" s="59">
        <f ca="1">AVERAGE(OFFSET($BH$3,0,0,'Données projet'!$E$11+1,1))-AVERAGE(OFFSET($H$3,0,0,'Données projet'!$E$11+1,1))</f>
        <v>169.46470423366029</v>
      </c>
      <c r="BJ148" s="59">
        <f t="shared" si="146"/>
        <v>230.78141128389288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6.2137536267923537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6.2137536267923537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-1.7053025658242404E-13</v>
      </c>
      <c r="BZ148" s="13">
        <f>BY148*VLOOKUP('Données projet'!$B$12,Paramètres!$A$1:$I$89,3,0)*VLOOKUP('Données projet'!$B$12,Paramètres!$A$1:$I$89,5,0)</f>
        <v>-1.4897523215040567E-13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342.79161436526499</v>
      </c>
      <c r="CE148" s="59">
        <f t="shared" si="148"/>
        <v>315.50730924873733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33.396681419970328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33.396681419970328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-5.6843418860808015E-14</v>
      </c>
      <c r="CU148" s="17">
        <f>CT148*VLOOKUP('Données projet'!$B$13,Paramètres!$A$1:$I$89,3,0)*VLOOKUP('Données projet'!$B$13,Paramètres!$A$1:$I$89,5,0)</f>
        <v>-3.813056537183002E-14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201.84651193684252</v>
      </c>
      <c r="CZ148" s="59">
        <f t="shared" si="150"/>
        <v>138.00705940844708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27.244957133397797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27.244957133397797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1.1368683772161603E-13</v>
      </c>
      <c r="DP148" s="17">
        <f>DO148*VLOOKUP('Données projet'!$B$14,Paramètres!$A$1:$I$89,3,0)*VLOOKUP('Données projet'!$B$14,Paramètres!$A$1:$I$89,5,0)</f>
        <v>8.3355189417488869E-14</v>
      </c>
      <c r="DQ148" s="13">
        <f t="shared" si="151"/>
        <v>1.2790518435140618E-12</v>
      </c>
      <c r="DR148" s="20">
        <f t="shared" si="124"/>
        <v>2.3728589156891171E-12</v>
      </c>
      <c r="DS148" s="59">
        <f t="shared" si="125"/>
        <v>286.08581719179597</v>
      </c>
      <c r="DT148" s="59">
        <f ca="1">AVERAGE(OFFSET($DS$3,0,0,'Données projet'!$E$14+1,1))-AVERAGE(OFFSET($H$3,0,0,'Données projet'!$E$14+1,1))</f>
        <v>242.21240859696931</v>
      </c>
      <c r="DU148" s="59">
        <f t="shared" si="152"/>
        <v>340.92165104349192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11.710237161631468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11.710237161631468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-5.6843418860808015E-14</v>
      </c>
      <c r="EK148" s="17">
        <f>EJ148*VLOOKUP('Données projet'!$B$15,Paramètres!$A$1:$I$89,3,0)*VLOOKUP('Données projet'!$B$15,Paramètres!$A$1:$I$89,5,0)</f>
        <v>-5.4978954722173515E-14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331.7059599630698</v>
      </c>
      <c r="EP148" s="59">
        <f t="shared" si="154"/>
        <v>173.19148969173838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55.620680005836213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55.620680005836213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-5.6843418860808015E-14</v>
      </c>
      <c r="FF148" s="17">
        <f>FE148*VLOOKUP('Données projet'!$B$16,Paramètres!$A$1:$I$89,3,0)*VLOOKUP('Données projet'!$B$16,Paramètres!$A$1:$I$89,5,0)</f>
        <v>-6.1186256061773749E-14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360.86062459677004</v>
      </c>
      <c r="FK148" s="59">
        <f t="shared" si="156"/>
        <v>186.0840067781198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66.755041525550055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66.755041525550055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-5.1159076974727213E-13</v>
      </c>
      <c r="GA148" s="17">
        <f>FZ148*VLOOKUP('Données projet'!$B$17,Paramètres!$A$1:$I$89,3,0)*VLOOKUP('Données projet'!$B$17,Paramètres!$A$1:$I$89,5,0)</f>
        <v>-5.1875304052373401E-13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448.73339628506784</v>
      </c>
      <c r="GF148" s="59">
        <f t="shared" si="158"/>
        <v>273.35778700650803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84.963899480633657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84.963899480633657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-5.1159076974727213E-13</v>
      </c>
      <c r="O149" s="13">
        <f>N149*VLOOKUP('Données projet'!$B$9,Paramètres!$A$1:$I$89,3,0)*VLOOKUP('Données projet'!$B$9,Paramètres!$A$1:$I$89,5,0)</f>
        <v>-4.6288732846733184E-13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408.51124670343137</v>
      </c>
      <c r="T149" s="59">
        <f t="shared" si="142"/>
        <v>250.47702091764884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74.327275932483758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74.327275932483758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-2.8421709430404007E-13</v>
      </c>
      <c r="AJ149" s="13">
        <f>AI149*VLOOKUP('Données projet'!$B$10,Paramètres!$A$1:$I$89,3,0)*VLOOKUP('Données projet'!$B$10,Paramètres!$A$1:$I$89,5,0)</f>
        <v>-2.2612312022829427E-13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327.22763817565902</v>
      </c>
      <c r="AO149" s="59">
        <f t="shared" si="144"/>
        <v>311.68541696405975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28.120560737503702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28.120560737503702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2.8421709430404007E-14</v>
      </c>
      <c r="BE149" s="13">
        <f>BD149*VLOOKUP('Données projet'!$B$11,Paramètres!$A$1:$I$89,3,0)*VLOOKUP('Données projet'!$B$11,Paramètres!$A$1:$I$89,5,0)</f>
        <v>1.8178525351686402E-14</v>
      </c>
      <c r="BF149" s="13">
        <f t="shared" si="145"/>
        <v>3.3304129621647644E-13</v>
      </c>
      <c r="BG149" s="20">
        <f t="shared" si="115"/>
        <v>6.1170785589788349E-13</v>
      </c>
      <c r="BH149" s="59">
        <f t="shared" si="116"/>
        <v>286.21154539383127</v>
      </c>
      <c r="BI149" s="59">
        <f ca="1">AVERAGE(OFFSET($BH$3,0,0,'Données projet'!$E$11+1,1))-AVERAGE(OFFSET($H$3,0,0,'Données projet'!$E$11+1,1))</f>
        <v>169.46470423366029</v>
      </c>
      <c r="BJ149" s="59">
        <f t="shared" si="146"/>
        <v>230.78141128389288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6.0919057081864354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6.0919057081864354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-1.7053025658242404E-13</v>
      </c>
      <c r="BZ149" s="13">
        <f>BY149*VLOOKUP('Données projet'!$B$12,Paramètres!$A$1:$I$89,3,0)*VLOOKUP('Données projet'!$B$12,Paramètres!$A$1:$I$89,5,0)</f>
        <v>-1.4897523215040567E-13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342.79161436526499</v>
      </c>
      <c r="CE149" s="59">
        <f t="shared" si="148"/>
        <v>315.50730924873733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32.741792867289007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32.741792867289007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-5.6843418860808015E-14</v>
      </c>
      <c r="CU149" s="17">
        <f>CT149*VLOOKUP('Données projet'!$B$13,Paramètres!$A$1:$I$89,3,0)*VLOOKUP('Données projet'!$B$13,Paramètres!$A$1:$I$89,5,0)</f>
        <v>-3.813056537183002E-14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201.84651193684252</v>
      </c>
      <c r="CZ149" s="59">
        <f t="shared" si="150"/>
        <v>138.00705940844708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26.710700141794849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26.710700141794849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1.1368683772161603E-13</v>
      </c>
      <c r="DP149" s="17">
        <f>DO149*VLOOKUP('Données projet'!$B$14,Paramètres!$A$1:$I$89,3,0)*VLOOKUP('Données projet'!$B$14,Paramètres!$A$1:$I$89,5,0)</f>
        <v>8.3355189417488869E-14</v>
      </c>
      <c r="DQ149" s="13">
        <f t="shared" si="151"/>
        <v>1.2790518435140618E-12</v>
      </c>
      <c r="DR149" s="20">
        <f t="shared" si="124"/>
        <v>2.3728589156891171E-12</v>
      </c>
      <c r="DS149" s="59">
        <f t="shared" si="125"/>
        <v>286.21154539383303</v>
      </c>
      <c r="DT149" s="59">
        <f ca="1">AVERAGE(OFFSET($DS$3,0,0,'Données projet'!$E$14+1,1))-AVERAGE(OFFSET($H$3,0,0,'Données projet'!$E$14+1,1))</f>
        <v>242.21240859696931</v>
      </c>
      <c r="DU149" s="59">
        <f t="shared" si="152"/>
        <v>340.92165104349192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11.480606553431278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11.480606553431278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-5.6843418860808015E-14</v>
      </c>
      <c r="EK149" s="17">
        <f>EJ149*VLOOKUP('Données projet'!$B$15,Paramètres!$A$1:$I$89,3,0)*VLOOKUP('Données projet'!$B$15,Paramètres!$A$1:$I$89,5,0)</f>
        <v>-5.4978954722173515E-14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331.7059599630698</v>
      </c>
      <c r="EP149" s="59">
        <f t="shared" si="154"/>
        <v>173.19148969173838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54.529992396186728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54.529992396186728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-5.6843418860808015E-14</v>
      </c>
      <c r="FF149" s="17">
        <f>FE149*VLOOKUP('Données projet'!$B$16,Paramètres!$A$1:$I$89,3,0)*VLOOKUP('Données projet'!$B$16,Paramètres!$A$1:$I$89,5,0)</f>
        <v>-6.1186256061773749E-14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360.86062459677004</v>
      </c>
      <c r="FK149" s="59">
        <f t="shared" si="156"/>
        <v>186.0840067781198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65.446015877788923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65.446015877788923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-5.1159076974727213E-13</v>
      </c>
      <c r="GA149" s="17">
        <f>FZ149*VLOOKUP('Données projet'!$B$17,Paramètres!$A$1:$I$89,3,0)*VLOOKUP('Données projet'!$B$17,Paramètres!$A$1:$I$89,5,0)</f>
        <v>-5.1875304052373401E-13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448.73339628506784</v>
      </c>
      <c r="GF149" s="59">
        <f t="shared" si="158"/>
        <v>273.35778700650803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83.297809234680031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83.297809234680031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-5.1159076974727213E-13</v>
      </c>
      <c r="O150" s="13">
        <f>N150*VLOOKUP('Données projet'!$B$9,Paramètres!$A$1:$I$89,3,0)*VLOOKUP('Données projet'!$B$9,Paramètres!$A$1:$I$89,5,0)</f>
        <v>-4.6288732846733184E-13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408.51124670343137</v>
      </c>
      <c r="T150" s="59">
        <f t="shared" si="142"/>
        <v>250.47702091764884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72.869763386609591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72.869763386609591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-2.8421709430404007E-13</v>
      </c>
      <c r="AJ150" s="13">
        <f>AI150*VLOOKUP('Données projet'!$B$10,Paramètres!$A$1:$I$89,3,0)*VLOOKUP('Données projet'!$B$10,Paramètres!$A$1:$I$89,5,0)</f>
        <v>-2.2612312022829427E-13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327.22763817565902</v>
      </c>
      <c r="AO150" s="59">
        <f t="shared" si="144"/>
        <v>311.68541696405975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27.5691336932897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27.5691336932897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2.8421709430404007E-14</v>
      </c>
      <c r="BE150" s="13">
        <f>BD150*VLOOKUP('Données projet'!$B$11,Paramètres!$A$1:$I$89,3,0)*VLOOKUP('Données projet'!$B$11,Paramètres!$A$1:$I$89,5,0)</f>
        <v>1.8178525351686402E-14</v>
      </c>
      <c r="BF150" s="13">
        <f t="shared" si="145"/>
        <v>3.3304129621647644E-13</v>
      </c>
      <c r="BG150" s="20">
        <f t="shared" si="115"/>
        <v>6.1170785589788349E-13</v>
      </c>
      <c r="BH150" s="59">
        <f t="shared" si="116"/>
        <v>286.33509249264904</v>
      </c>
      <c r="BI150" s="59">
        <f ca="1">AVERAGE(OFFSET($BH$3,0,0,'Données projet'!$E$11+1,1))-AVERAGE(OFFSET($H$3,0,0,'Données projet'!$E$11+1,1))</f>
        <v>169.46470423366029</v>
      </c>
      <c r="BJ150" s="59">
        <f t="shared" si="146"/>
        <v>230.78141128389288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5.9724471529444871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5.9724471529444871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-1.7053025658242404E-13</v>
      </c>
      <c r="BZ150" s="13">
        <f>BY150*VLOOKUP('Données projet'!$B$12,Paramètres!$A$1:$I$89,3,0)*VLOOKUP('Données projet'!$B$12,Paramètres!$A$1:$I$89,5,0)</f>
        <v>-1.4897523215040567E-13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342.79161436526499</v>
      </c>
      <c r="CE150" s="59">
        <f t="shared" si="148"/>
        <v>315.50730924873733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32.099746279683195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32.099746279683195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-5.6843418860808015E-14</v>
      </c>
      <c r="CU150" s="17">
        <f>CT150*VLOOKUP('Données projet'!$B$13,Paramètres!$A$1:$I$89,3,0)*VLOOKUP('Données projet'!$B$13,Paramètres!$A$1:$I$89,5,0)</f>
        <v>-3.813056537183002E-14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201.84651193684252</v>
      </c>
      <c r="CZ150" s="59">
        <f t="shared" si="150"/>
        <v>138.00705940844708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26.186919603932644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26.186919603932644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1.1368683772161603E-13</v>
      </c>
      <c r="DP150" s="17">
        <f>DO150*VLOOKUP('Données projet'!$B$14,Paramètres!$A$1:$I$89,3,0)*VLOOKUP('Données projet'!$B$14,Paramètres!$A$1:$I$89,5,0)</f>
        <v>8.3355189417488869E-14</v>
      </c>
      <c r="DQ150" s="13">
        <f t="shared" si="151"/>
        <v>1.2790518435140618E-12</v>
      </c>
      <c r="DR150" s="20">
        <f t="shared" si="124"/>
        <v>2.3728589156891171E-12</v>
      </c>
      <c r="DS150" s="59">
        <f t="shared" si="125"/>
        <v>286.3350924926508</v>
      </c>
      <c r="DT150" s="59">
        <f ca="1">AVERAGE(OFFSET($DS$3,0,0,'Données projet'!$E$14+1,1))-AVERAGE(OFFSET($H$3,0,0,'Données projet'!$E$14+1,1))</f>
        <v>242.21240859696931</v>
      </c>
      <c r="DU150" s="59">
        <f t="shared" si="152"/>
        <v>340.92165104349192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11.25547886139705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11.25547886139705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-5.6843418860808015E-14</v>
      </c>
      <c r="EK150" s="17">
        <f>EJ150*VLOOKUP('Données projet'!$B$15,Paramètres!$A$1:$I$89,3,0)*VLOOKUP('Données projet'!$B$15,Paramètres!$A$1:$I$89,5,0)</f>
        <v>-5.4978954722173515E-14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331.7059599630698</v>
      </c>
      <c r="EP150" s="59">
        <f t="shared" si="154"/>
        <v>173.19148969173838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53.460692505308714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53.460692505308714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-5.6843418860808015E-14</v>
      </c>
      <c r="FF150" s="17">
        <f>FE150*VLOOKUP('Données projet'!$B$16,Paramètres!$A$1:$I$89,3,0)*VLOOKUP('Données projet'!$B$16,Paramètres!$A$1:$I$89,5,0)</f>
        <v>-6.1186256061773749E-14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360.86062459677004</v>
      </c>
      <c r="FK150" s="59">
        <f t="shared" si="156"/>
        <v>186.0840067781198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64.162659424553581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64.162659424553581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-5.1159076974727213E-13</v>
      </c>
      <c r="GA150" s="17">
        <f>FZ150*VLOOKUP('Données projet'!$B$17,Paramètres!$A$1:$I$89,3,0)*VLOOKUP('Données projet'!$B$17,Paramètres!$A$1:$I$89,5,0)</f>
        <v>-5.1875304052373401E-13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448.73339628506784</v>
      </c>
      <c r="GF150" s="59">
        <f t="shared" si="158"/>
        <v>273.35778700650803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81.664390002234853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81.664390002234853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-5.1159076974727213E-13</v>
      </c>
      <c r="O151" s="13">
        <f>N151*VLOOKUP('Données projet'!$B$9,Paramètres!$A$1:$I$89,3,0)*VLOOKUP('Données projet'!$B$9,Paramètres!$A$1:$I$89,5,0)</f>
        <v>-4.6288732846733184E-13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408.51124670343137</v>
      </c>
      <c r="T151" s="59">
        <f t="shared" si="142"/>
        <v>250.47702091764884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71.440831772765151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71.440831772765151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-2.8421709430404007E-13</v>
      </c>
      <c r="AJ151" s="13">
        <f>AI151*VLOOKUP('Données projet'!$B$10,Paramètres!$A$1:$I$89,3,0)*VLOOKUP('Données projet'!$B$10,Paramètres!$A$1:$I$89,5,0)</f>
        <v>-2.2612312022829427E-13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327.22763817565902</v>
      </c>
      <c r="AO151" s="59">
        <f t="shared" si="144"/>
        <v>311.68541696405975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27.028519797075447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27.028519797075447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2.8421709430404007E-14</v>
      </c>
      <c r="BE151" s="13">
        <f>BD151*VLOOKUP('Données projet'!$B$11,Paramètres!$A$1:$I$89,3,0)*VLOOKUP('Données projet'!$B$11,Paramètres!$A$1:$I$89,5,0)</f>
        <v>1.8178525351686402E-14</v>
      </c>
      <c r="BF151" s="13">
        <f t="shared" si="145"/>
        <v>3.3304129621647644E-13</v>
      </c>
      <c r="BG151" s="20">
        <f t="shared" si="115"/>
        <v>6.1170785589788349E-13</v>
      </c>
      <c r="BH151" s="59">
        <f t="shared" si="116"/>
        <v>286.45649632551232</v>
      </c>
      <c r="BI151" s="59">
        <f ca="1">AVERAGE(OFFSET($BH$3,0,0,'Données projet'!$E$11+1,1))-AVERAGE(OFFSET($H$3,0,0,'Données projet'!$E$11+1,1))</f>
        <v>169.46470423366029</v>
      </c>
      <c r="BJ151" s="59">
        <f t="shared" si="146"/>
        <v>230.78141128389288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5.8553311071083094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5.8553311071083094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-1.7053025658242404E-13</v>
      </c>
      <c r="BZ151" s="13">
        <f>BY151*VLOOKUP('Données projet'!$B$12,Paramètres!$A$1:$I$89,3,0)*VLOOKUP('Données projet'!$B$12,Paramètres!$A$1:$I$89,5,0)</f>
        <v>-1.4897523215040567E-13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342.79161436526499</v>
      </c>
      <c r="CE151" s="59">
        <f t="shared" si="148"/>
        <v>315.50730924873733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31.470289834050583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31.470289834050583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-5.6843418860808015E-14</v>
      </c>
      <c r="CU151" s="17">
        <f>CT151*VLOOKUP('Données projet'!$B$13,Paramètres!$A$1:$I$89,3,0)*VLOOKUP('Données projet'!$B$13,Paramètres!$A$1:$I$89,5,0)</f>
        <v>-3.813056537183002E-14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201.84651193684252</v>
      </c>
      <c r="CZ151" s="59">
        <f t="shared" si="150"/>
        <v>138.00705940844708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25.673410082943334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25.673410082943334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1.1368683772161603E-13</v>
      </c>
      <c r="DP151" s="17">
        <f>DO151*VLOOKUP('Données projet'!$B$14,Paramètres!$A$1:$I$89,3,0)*VLOOKUP('Données projet'!$B$14,Paramètres!$A$1:$I$89,5,0)</f>
        <v>8.3355189417488869E-14</v>
      </c>
      <c r="DQ151" s="13">
        <f t="shared" si="151"/>
        <v>1.2790518435140618E-12</v>
      </c>
      <c r="DR151" s="20">
        <f t="shared" si="124"/>
        <v>2.3728589156891171E-12</v>
      </c>
      <c r="DS151" s="59">
        <f t="shared" si="125"/>
        <v>286.45649632551408</v>
      </c>
      <c r="DT151" s="59">
        <f ca="1">AVERAGE(OFFSET($DS$3,0,0,'Données projet'!$E$14+1,1))-AVERAGE(OFFSET($H$3,0,0,'Données projet'!$E$14+1,1))</f>
        <v>242.21240859696931</v>
      </c>
      <c r="DU151" s="59">
        <f t="shared" si="152"/>
        <v>340.92165104349192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11.034765786089281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11.034765786089281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-5.6843418860808015E-14</v>
      </c>
      <c r="EK151" s="17">
        <f>EJ151*VLOOKUP('Données projet'!$B$15,Paramètres!$A$1:$I$89,3,0)*VLOOKUP('Données projet'!$B$15,Paramètres!$A$1:$I$89,5,0)</f>
        <v>-5.4978954722173515E-14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331.7059599630698</v>
      </c>
      <c r="EP151" s="59">
        <f t="shared" si="154"/>
        <v>173.19148969173838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52.412360933082283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52.412360933082283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-5.6843418860808015E-14</v>
      </c>
      <c r="FF151" s="17">
        <f>FE151*VLOOKUP('Données projet'!$B$16,Paramètres!$A$1:$I$89,3,0)*VLOOKUP('Données projet'!$B$16,Paramètres!$A$1:$I$89,5,0)</f>
        <v>-6.1186256061773749E-14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360.86062459677004</v>
      </c>
      <c r="FK151" s="59">
        <f t="shared" si="156"/>
        <v>186.0840067781198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62.904468808596036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62.904468808596036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-5.1159076974727213E-13</v>
      </c>
      <c r="GA151" s="17">
        <f>FZ151*VLOOKUP('Données projet'!$B$17,Paramètres!$A$1:$I$89,3,0)*VLOOKUP('Données projet'!$B$17,Paramètres!$A$1:$I$89,5,0)</f>
        <v>-5.1875304052373401E-13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448.73339628506784</v>
      </c>
      <c r="GF151" s="59">
        <f t="shared" si="158"/>
        <v>273.35778700650803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80.063001124650569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80.063001124650569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-5.1159076974727213E-13</v>
      </c>
      <c r="O152" s="13">
        <f>N152*VLOOKUP('Données projet'!$B$9,Paramètres!$A$1:$I$89,3,0)*VLOOKUP('Données projet'!$B$9,Paramètres!$A$1:$I$89,5,0)</f>
        <v>-4.6288732846733184E-13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408.51124670343137</v>
      </c>
      <c r="T152" s="59">
        <f t="shared" si="142"/>
        <v>250.47702091764884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70.039920636305979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70.039920636305979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-2.8421709430404007E-13</v>
      </c>
      <c r="AJ152" s="13">
        <f>AI152*VLOOKUP('Données projet'!$B$10,Paramètres!$A$1:$I$89,3,0)*VLOOKUP('Données projet'!$B$10,Paramètres!$A$1:$I$89,5,0)</f>
        <v>-2.2612312022829427E-13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327.22763817565902</v>
      </c>
      <c r="AO152" s="59">
        <f t="shared" si="144"/>
        <v>311.68541696405975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26.498507009624038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26.498507009624038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2.8421709430404007E-14</v>
      </c>
      <c r="BE152" s="13">
        <f>BD152*VLOOKUP('Données projet'!$B$11,Paramètres!$A$1:$I$89,3,0)*VLOOKUP('Données projet'!$B$11,Paramètres!$A$1:$I$89,5,0)</f>
        <v>1.8178525351686402E-14</v>
      </c>
      <c r="BF152" s="13">
        <f t="shared" si="145"/>
        <v>3.3304129621647644E-13</v>
      </c>
      <c r="BG152" s="20">
        <f t="shared" si="115"/>
        <v>6.1170785589788349E-13</v>
      </c>
      <c r="BH152" s="59">
        <f t="shared" si="116"/>
        <v>286.57579407329371</v>
      </c>
      <c r="BI152" s="59">
        <f ca="1">AVERAGE(OFFSET($BH$3,0,0,'Données projet'!$E$11+1,1))-AVERAGE(OFFSET($H$3,0,0,'Données projet'!$E$11+1,1))</f>
        <v>169.46470423366029</v>
      </c>
      <c r="BJ152" s="59">
        <f t="shared" si="146"/>
        <v>230.78141128389288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5.7405116354972447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5.7405116354972447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-1.7053025658242404E-13</v>
      </c>
      <c r="BZ152" s="13">
        <f>BY152*VLOOKUP('Données projet'!$B$12,Paramètres!$A$1:$I$89,3,0)*VLOOKUP('Données projet'!$B$12,Paramètres!$A$1:$I$89,5,0)</f>
        <v>-1.4897523215040567E-13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342.79161436526499</v>
      </c>
      <c r="CE152" s="59">
        <f t="shared" si="148"/>
        <v>315.50730924873733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30.853176645386302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30.853176645386302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-5.6843418860808015E-14</v>
      </c>
      <c r="CU152" s="17">
        <f>CT152*VLOOKUP('Données projet'!$B$13,Paramètres!$A$1:$I$89,3,0)*VLOOKUP('Données projet'!$B$13,Paramètres!$A$1:$I$89,5,0)</f>
        <v>-3.813056537183002E-14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201.84651193684252</v>
      </c>
      <c r="CZ152" s="59">
        <f t="shared" si="150"/>
        <v>138.00705940844708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25.169970170450746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25.169970170450746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1.1368683772161603E-13</v>
      </c>
      <c r="DP152" s="17">
        <f>DO152*VLOOKUP('Données projet'!$B$14,Paramètres!$A$1:$I$89,3,0)*VLOOKUP('Données projet'!$B$14,Paramètres!$A$1:$I$89,5,0)</f>
        <v>8.3355189417488869E-14</v>
      </c>
      <c r="DQ152" s="13">
        <f t="shared" si="151"/>
        <v>1.2790518435140618E-12</v>
      </c>
      <c r="DR152" s="20">
        <f t="shared" si="124"/>
        <v>2.3728589156891171E-12</v>
      </c>
      <c r="DS152" s="59">
        <f t="shared" si="125"/>
        <v>286.57579407329547</v>
      </c>
      <c r="DT152" s="59">
        <f ca="1">AVERAGE(OFFSET($DS$3,0,0,'Données projet'!$E$14+1,1))-AVERAGE(OFFSET($H$3,0,0,'Données projet'!$E$14+1,1))</f>
        <v>242.21240859696931</v>
      </c>
      <c r="DU152" s="59">
        <f t="shared" si="152"/>
        <v>340.92165104349192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10.818380759566613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10.818380759566613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-5.6843418860808015E-14</v>
      </c>
      <c r="EK152" s="17">
        <f>EJ152*VLOOKUP('Données projet'!$B$15,Paramètres!$A$1:$I$89,3,0)*VLOOKUP('Données projet'!$B$15,Paramètres!$A$1:$I$89,5,0)</f>
        <v>-5.4978954722173515E-14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331.7059599630698</v>
      </c>
      <c r="EP152" s="59">
        <f t="shared" si="154"/>
        <v>173.19148969173838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51.384586503568094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51.384586503568094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-5.6843418860808015E-14</v>
      </c>
      <c r="FF152" s="17">
        <f>FE152*VLOOKUP('Données projet'!$B$16,Paramètres!$A$1:$I$89,3,0)*VLOOKUP('Données projet'!$B$16,Paramètres!$A$1:$I$89,5,0)</f>
        <v>-6.1186256061773749E-14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360.86062459677004</v>
      </c>
      <c r="FK152" s="59">
        <f t="shared" si="156"/>
        <v>186.0840067781198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61.670950543196923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61.670950543196923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-5.1159076974727213E-13</v>
      </c>
      <c r="GA152" s="17">
        <f>FZ152*VLOOKUP('Données projet'!$B$17,Paramètres!$A$1:$I$89,3,0)*VLOOKUP('Données projet'!$B$17,Paramètres!$A$1:$I$89,5,0)</f>
        <v>-5.1875304052373401E-13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448.73339628506784</v>
      </c>
      <c r="GF152" s="59">
        <f t="shared" si="158"/>
        <v>273.35778700650803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78.493014506204943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78.493014506204943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-5.1159076974727213E-13</v>
      </c>
      <c r="O153" s="13">
        <f>N153*VLOOKUP('Données projet'!$B$9,Paramètres!$A$1:$I$89,3,0)*VLOOKUP('Données projet'!$B$9,Paramètres!$A$1:$I$89,5,0)</f>
        <v>-4.6288732846733184E-13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408.51124670343137</v>
      </c>
      <c r="T153" s="59">
        <f t="shared" si="142"/>
        <v>250.47702091764884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68.666480512761339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68.666480512761339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-2.8421709430404007E-13</v>
      </c>
      <c r="AJ153" s="13">
        <f>AI153*VLOOKUP('Données projet'!$B$10,Paramètres!$A$1:$I$89,3,0)*VLOOKUP('Données projet'!$B$10,Paramètres!$A$1:$I$89,5,0)</f>
        <v>-2.2612312022829427E-13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327.22763817565902</v>
      </c>
      <c r="AO153" s="59">
        <f t="shared" si="144"/>
        <v>311.68541696405975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25.978887449658675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25.978887449658675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2.8421709430404007E-14</v>
      </c>
      <c r="BE153" s="13">
        <f>BD153*VLOOKUP('Données projet'!$B$11,Paramètres!$A$1:$I$89,3,0)*VLOOKUP('Données projet'!$B$11,Paramètres!$A$1:$I$89,5,0)</f>
        <v>1.8178525351686402E-14</v>
      </c>
      <c r="BF153" s="13">
        <f t="shared" si="145"/>
        <v>3.3304129621647644E-13</v>
      </c>
      <c r="BG153" s="20">
        <f t="shared" si="115"/>
        <v>6.1170785589788349E-13</v>
      </c>
      <c r="BH153" s="59">
        <f t="shared" si="116"/>
        <v>286.69302227186097</v>
      </c>
      <c r="BI153" s="59">
        <f ca="1">AVERAGE(OFFSET($BH$3,0,0,'Données projet'!$E$11+1,1))-AVERAGE(OFFSET($H$3,0,0,'Données projet'!$E$11+1,1))</f>
        <v>169.46470423366029</v>
      </c>
      <c r="BJ153" s="59">
        <f t="shared" si="146"/>
        <v>230.78141128389288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5.6279437036915105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5.6279437036915105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-1.7053025658242404E-13</v>
      </c>
      <c r="BZ153" s="13">
        <f>BY153*VLOOKUP('Données projet'!$B$12,Paramètres!$A$1:$I$89,3,0)*VLOOKUP('Données projet'!$B$12,Paramètres!$A$1:$I$89,5,0)</f>
        <v>-1.4897523215040567E-13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342.79161436526499</v>
      </c>
      <c r="CE153" s="59">
        <f t="shared" si="148"/>
        <v>315.50730924873733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30.248164669949851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30.248164669949851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-5.6843418860808015E-14</v>
      </c>
      <c r="CU153" s="17">
        <f>CT153*VLOOKUP('Données projet'!$B$13,Paramètres!$A$1:$I$89,3,0)*VLOOKUP('Données projet'!$B$13,Paramètres!$A$1:$I$89,5,0)</f>
        <v>-3.813056537183002E-14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201.84651193684252</v>
      </c>
      <c r="CZ153" s="59">
        <f t="shared" si="150"/>
        <v>138.00705940844708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24.676402407574109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24.676402407574109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1.1368683772161603E-13</v>
      </c>
      <c r="DP153" s="17">
        <f>DO153*VLOOKUP('Données projet'!$B$14,Paramètres!$A$1:$I$89,3,0)*VLOOKUP('Données projet'!$B$14,Paramètres!$A$1:$I$89,5,0)</f>
        <v>8.3355189417488869E-14</v>
      </c>
      <c r="DQ153" s="13">
        <f t="shared" si="151"/>
        <v>1.2790518435140618E-12</v>
      </c>
      <c r="DR153" s="20">
        <f t="shared" si="124"/>
        <v>2.3728589156891171E-12</v>
      </c>
      <c r="DS153" s="59">
        <f t="shared" si="125"/>
        <v>286.69302227186273</v>
      </c>
      <c r="DT153" s="59">
        <f ca="1">AVERAGE(OFFSET($DS$3,0,0,'Données projet'!$E$14+1,1))-AVERAGE(OFFSET($H$3,0,0,'Données projet'!$E$14+1,1))</f>
        <v>242.21240859696931</v>
      </c>
      <c r="DU153" s="59">
        <f t="shared" si="152"/>
        <v>340.92165104349192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10.606238911432222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10.606238911432222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-5.6843418860808015E-14</v>
      </c>
      <c r="EK153" s="17">
        <f>EJ153*VLOOKUP('Données projet'!$B$15,Paramètres!$A$1:$I$89,3,0)*VLOOKUP('Données projet'!$B$15,Paramètres!$A$1:$I$89,5,0)</f>
        <v>-5.4978954722173515E-14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331.7059599630698</v>
      </c>
      <c r="EP153" s="59">
        <f t="shared" si="154"/>
        <v>173.19148969173838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50.376966103736173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50.376966103736173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-5.6843418860808015E-14</v>
      </c>
      <c r="FF153" s="17">
        <f>FE153*VLOOKUP('Données projet'!$B$16,Paramètres!$A$1:$I$89,3,0)*VLOOKUP('Données projet'!$B$16,Paramètres!$A$1:$I$89,5,0)</f>
        <v>-6.1186256061773749E-14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360.86062459677004</v>
      </c>
      <c r="FK153" s="59">
        <f t="shared" si="156"/>
        <v>186.0840067781198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60.461620818610434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60.461620818610434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-5.1159076974727213E-13</v>
      </c>
      <c r="GA153" s="17">
        <f>FZ153*VLOOKUP('Données projet'!$B$17,Paramètres!$A$1:$I$89,3,0)*VLOOKUP('Données projet'!$B$17,Paramètres!$A$1:$I$89,5,0)</f>
        <v>-5.1875304052373401E-13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448.73339628506784</v>
      </c>
      <c r="GF153" s="59">
        <f t="shared" si="158"/>
        <v>273.35778700650803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76.953814367749743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76.953814367749743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-5.1159076974727213E-13</v>
      </c>
      <c r="O154" s="13">
        <f>N154*VLOOKUP('Données projet'!$B$9,Paramètres!$A$1:$I$89,3,0)*VLOOKUP('Données projet'!$B$9,Paramètres!$A$1:$I$89,5,0)</f>
        <v>-4.6288732846733184E-13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408.51124670343137</v>
      </c>
      <c r="T154" s="59">
        <f t="shared" si="142"/>
        <v>250.47702091764884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67.319972712323661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67.319972712323661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-2.8421709430404007E-13</v>
      </c>
      <c r="AJ154" s="13">
        <f>AI154*VLOOKUP('Données projet'!$B$10,Paramètres!$A$1:$I$89,3,0)*VLOOKUP('Données projet'!$B$10,Paramètres!$A$1:$I$89,5,0)</f>
        <v>-2.2612312022829427E-13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327.22763817565902</v>
      </c>
      <c r="AO154" s="59">
        <f t="shared" si="144"/>
        <v>311.68541696405975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25.469457312327595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25.469457312327595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2.8421709430404007E-14</v>
      </c>
      <c r="BE154" s="13">
        <f>BD154*VLOOKUP('Données projet'!$B$11,Paramètres!$A$1:$I$89,3,0)*VLOOKUP('Données projet'!$B$11,Paramètres!$A$1:$I$89,5,0)</f>
        <v>1.8178525351686402E-14</v>
      </c>
      <c r="BF154" s="13">
        <f t="shared" ref="BF154:BF203" si="167">EXP(-1.0587+0.8836*LN(BE154)+0.284)</f>
        <v>3.3304129621647644E-13</v>
      </c>
      <c r="BG154" s="20">
        <f t="shared" ref="BG154:BG203" si="168">(BE154+BF154)*0.475*44/12</f>
        <v>6.1170785589788349E-13</v>
      </c>
      <c r="BH154" s="59">
        <f t="shared" si="116"/>
        <v>286.80821682326598</v>
      </c>
      <c r="BI154" s="59">
        <f ca="1">AVERAGE(OFFSET($BH$3,0,0,'Données projet'!$E$11+1,1))-AVERAGE(OFFSET($H$3,0,0,'Données projet'!$E$11+1,1))</f>
        <v>169.46470423366029</v>
      </c>
      <c r="BJ154" s="59">
        <f t="shared" si="146"/>
        <v>230.78141128389288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5.5175831603688277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5.5175831603688277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-1.7053025658242404E-13</v>
      </c>
      <c r="BZ154" s="13">
        <f>BY154*VLOOKUP('Données projet'!$B$12,Paramètres!$A$1:$I$89,3,0)*VLOOKUP('Données projet'!$B$12,Paramètres!$A$1:$I$89,5,0)</f>
        <v>-1.4897523215040567E-13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342.79161436526499</v>
      </c>
      <c r="CE154" s="59">
        <f t="shared" si="148"/>
        <v>315.50730924873733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29.65501661033084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29.65501661033084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-5.6843418860808015E-14</v>
      </c>
      <c r="CU154" s="17">
        <f>CT154*VLOOKUP('Données projet'!$B$13,Paramètres!$A$1:$I$89,3,0)*VLOOKUP('Données projet'!$B$13,Paramètres!$A$1:$I$89,5,0)</f>
        <v>-3.813056537183002E-14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201.84651193684252</v>
      </c>
      <c r="CZ154" s="59">
        <f t="shared" si="150"/>
        <v>138.00705940844708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24.192513207480875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24.192513207480875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1.1368683772161603E-13</v>
      </c>
      <c r="DP154" s="17">
        <f>DO154*VLOOKUP('Données projet'!$B$14,Paramètres!$A$1:$I$89,3,0)*VLOOKUP('Données projet'!$B$14,Paramètres!$A$1:$I$89,5,0)</f>
        <v>8.3355189417488869E-14</v>
      </c>
      <c r="DQ154" s="13">
        <f t="shared" ref="DQ154:DQ203" si="176">EXP(-1.0587+0.8836*LN(DP154)+0.284)</f>
        <v>1.2790518435140618E-12</v>
      </c>
      <c r="DR154" s="20">
        <f t="shared" ref="DR154:DR203" si="177">(DP154+DQ154)*0.475*44/12</f>
        <v>2.3728589156891171E-12</v>
      </c>
      <c r="DS154" s="59">
        <f t="shared" si="125"/>
        <v>286.80821682326774</v>
      </c>
      <c r="DT154" s="59">
        <f ca="1">AVERAGE(OFFSET($DS$3,0,0,'Données projet'!$E$14+1,1))-AVERAGE(OFFSET($H$3,0,0,'Données projet'!$E$14+1,1))</f>
        <v>242.21240859696931</v>
      </c>
      <c r="DU154" s="59">
        <f t="shared" si="152"/>
        <v>340.92165104349192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10.398257035545994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10.398257035545994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-5.6843418860808015E-14</v>
      </c>
      <c r="EK154" s="17">
        <f>EJ154*VLOOKUP('Données projet'!$B$15,Paramètres!$A$1:$I$89,3,0)*VLOOKUP('Données projet'!$B$15,Paramètres!$A$1:$I$89,5,0)</f>
        <v>-5.4978954722173515E-14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331.7059599630698</v>
      </c>
      <c r="EP154" s="59">
        <f t="shared" si="154"/>
        <v>173.19148969173838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49.389104525357197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49.389104525357197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-5.6843418860808015E-14</v>
      </c>
      <c r="FF154" s="17">
        <f>FE154*VLOOKUP('Données projet'!$B$16,Paramètres!$A$1:$I$89,3,0)*VLOOKUP('Données projet'!$B$16,Paramètres!$A$1:$I$89,5,0)</f>
        <v>-6.1186256061773749E-14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360.86062459677004</v>
      </c>
      <c r="FK154" s="59">
        <f t="shared" si="156"/>
        <v>186.0840067781198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59.27600531230479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59.27600531230479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-5.1159076974727213E-13</v>
      </c>
      <c r="GA154" s="17">
        <f>FZ154*VLOOKUP('Données projet'!$B$17,Paramètres!$A$1:$I$89,3,0)*VLOOKUP('Données projet'!$B$17,Paramètres!$A$1:$I$89,5,0)</f>
        <v>-5.1875304052373401E-13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448.73339628506784</v>
      </c>
      <c r="GF154" s="59">
        <f t="shared" si="158"/>
        <v>273.35778700650803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75.444797005190267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75.444797005190267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-5.1159076974727213E-13</v>
      </c>
      <c r="O155" s="13">
        <f>N155*VLOOKUP('Données projet'!$B$9,Paramètres!$A$1:$I$89,3,0)*VLOOKUP('Données projet'!$B$9,Paramètres!$A$1:$I$89,5,0)</f>
        <v>-4.6288732846733184E-13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408.51124670343137</v>
      </c>
      <c r="T155" s="59">
        <f t="shared" si="142"/>
        <v>250.47702091764884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65.9998691085639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65.9998691085639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-2.8421709430404007E-13</v>
      </c>
      <c r="AJ155" s="13">
        <f>AI155*VLOOKUP('Données projet'!$B$10,Paramètres!$A$1:$I$89,3,0)*VLOOKUP('Données projet'!$B$10,Paramètres!$A$1:$I$89,5,0)</f>
        <v>-2.2612312022829427E-13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327.22763817565902</v>
      </c>
      <c r="AO155" s="59">
        <f t="shared" si="144"/>
        <v>311.68541696405975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24.970016789267873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24.970016789267873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2.8421709430404007E-14</v>
      </c>
      <c r="BE155" s="13">
        <f>BD155*VLOOKUP('Données projet'!$B$11,Paramètres!$A$1:$I$89,3,0)*VLOOKUP('Données projet'!$B$11,Paramètres!$A$1:$I$89,5,0)</f>
        <v>1.8178525351686402E-14</v>
      </c>
      <c r="BF155" s="13">
        <f t="shared" si="167"/>
        <v>3.3304129621647644E-13</v>
      </c>
      <c r="BG155" s="20">
        <f t="shared" si="168"/>
        <v>6.1170785589788349E-13</v>
      </c>
      <c r="BH155" s="59">
        <f t="shared" si="116"/>
        <v>286.92141300674052</v>
      </c>
      <c r="BI155" s="59">
        <f ca="1">AVERAGE(OFFSET($BH$3,0,0,'Données projet'!$E$11+1,1))-AVERAGE(OFFSET($H$3,0,0,'Données projet'!$E$11+1,1))</f>
        <v>169.46470423366029</v>
      </c>
      <c r="BJ155" s="59">
        <f t="shared" si="146"/>
        <v>230.78141128389288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5.4093867199874177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5.4093867199874177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-1.7053025658242404E-13</v>
      </c>
      <c r="BZ155" s="13">
        <f>BY155*VLOOKUP('Données projet'!$B$12,Paramètres!$A$1:$I$89,3,0)*VLOOKUP('Données projet'!$B$12,Paramètres!$A$1:$I$89,5,0)</f>
        <v>-1.4897523215040567E-13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342.79161436526499</v>
      </c>
      <c r="CE155" s="59">
        <f t="shared" si="148"/>
        <v>315.50730924873733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29.073499822376366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29.073499822376366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-5.6843418860808015E-14</v>
      </c>
      <c r="CU155" s="17">
        <f>CT155*VLOOKUP('Données projet'!$B$13,Paramètres!$A$1:$I$89,3,0)*VLOOKUP('Données projet'!$B$13,Paramètres!$A$1:$I$89,5,0)</f>
        <v>-3.813056537183002E-14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201.84651193684252</v>
      </c>
      <c r="CZ155" s="59">
        <f t="shared" si="150"/>
        <v>138.00705940844708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23.718112779458199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23.718112779458199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1.1368683772161603E-13</v>
      </c>
      <c r="DP155" s="17">
        <f>DO155*VLOOKUP('Données projet'!$B$14,Paramètres!$A$1:$I$89,3,0)*VLOOKUP('Données projet'!$B$14,Paramètres!$A$1:$I$89,5,0)</f>
        <v>8.3355189417488869E-14</v>
      </c>
      <c r="DQ155" s="13">
        <f t="shared" si="176"/>
        <v>1.2790518435140618E-12</v>
      </c>
      <c r="DR155" s="20">
        <f t="shared" si="177"/>
        <v>2.3728589156891171E-12</v>
      </c>
      <c r="DS155" s="59">
        <f t="shared" si="125"/>
        <v>286.92141300674228</v>
      </c>
      <c r="DT155" s="59">
        <f ca="1">AVERAGE(OFFSET($DS$3,0,0,'Données projet'!$E$14+1,1))-AVERAGE(OFFSET($H$3,0,0,'Données projet'!$E$14+1,1))</f>
        <v>242.21240859696931</v>
      </c>
      <c r="DU155" s="59">
        <f t="shared" si="152"/>
        <v>340.92165104349192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10.194353557389478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10.194353557389478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-5.6843418860808015E-14</v>
      </c>
      <c r="EK155" s="17">
        <f>EJ155*VLOOKUP('Données projet'!$B$15,Paramètres!$A$1:$I$89,3,0)*VLOOKUP('Données projet'!$B$15,Paramètres!$A$1:$I$89,5,0)</f>
        <v>-5.4978954722173515E-14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331.7059599630698</v>
      </c>
      <c r="EP155" s="59">
        <f t="shared" si="154"/>
        <v>173.19148969173838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48.420614309994171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48.420614309994171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-5.6843418860808015E-14</v>
      </c>
      <c r="FF155" s="17">
        <f>FE155*VLOOKUP('Données projet'!$B$16,Paramètres!$A$1:$I$89,3,0)*VLOOKUP('Données projet'!$B$16,Paramètres!$A$1:$I$89,5,0)</f>
        <v>-6.1186256061773749E-14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360.86062459677004</v>
      </c>
      <c r="FK155" s="59">
        <f t="shared" si="156"/>
        <v>186.0840067781198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58.11363900292374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58.11363900292374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-5.1159076974727213E-13</v>
      </c>
      <c r="GA155" s="17">
        <f>FZ155*VLOOKUP('Données projet'!$B$17,Paramètres!$A$1:$I$89,3,0)*VLOOKUP('Données projet'!$B$17,Paramètres!$A$1:$I$89,5,0)</f>
        <v>-5.1875304052373401E-13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448.73339628506784</v>
      </c>
      <c r="GF155" s="59">
        <f t="shared" si="158"/>
        <v>273.35778700650803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73.965370552700875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73.965370552700875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-5.1159076974727213E-13</v>
      </c>
      <c r="O156" s="13">
        <f>N156*VLOOKUP('Données projet'!$B$9,Paramètres!$A$1:$I$89,3,0)*VLOOKUP('Données projet'!$B$9,Paramètres!$A$1:$I$89,5,0)</f>
        <v>-4.6288732846733184E-13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408.51124670343137</v>
      </c>
      <c r="T156" s="59">
        <f t="shared" si="142"/>
        <v>250.47702091764884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64.705651931290177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64.705651931290177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-2.8421709430404007E-13</v>
      </c>
      <c r="AJ156" s="13">
        <f>AI156*VLOOKUP('Données projet'!$B$10,Paramètres!$A$1:$I$89,3,0)*VLOOKUP('Données projet'!$B$10,Paramètres!$A$1:$I$89,5,0)</f>
        <v>-2.2612312022829427E-13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327.22763817565902</v>
      </c>
      <c r="AO156" s="59">
        <f t="shared" si="144"/>
        <v>311.68541696405975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24.480369990236714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24.480369990236714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2.8421709430404007E-14</v>
      </c>
      <c r="BE156" s="13">
        <f>BD156*VLOOKUP('Données projet'!$B$11,Paramètres!$A$1:$I$89,3,0)*VLOOKUP('Données projet'!$B$11,Paramètres!$A$1:$I$89,5,0)</f>
        <v>1.8178525351686402E-14</v>
      </c>
      <c r="BF156" s="13">
        <f t="shared" si="167"/>
        <v>3.3304129621647644E-13</v>
      </c>
      <c r="BG156" s="20">
        <f t="shared" si="168"/>
        <v>6.1170785589788349E-13</v>
      </c>
      <c r="BH156" s="59">
        <f t="shared" si="116"/>
        <v>287.03264548950062</v>
      </c>
      <c r="BI156" s="59">
        <f ca="1">AVERAGE(OFFSET($BH$3,0,0,'Données projet'!$E$11+1,1))-AVERAGE(OFFSET($H$3,0,0,'Données projet'!$E$11+1,1))</f>
        <v>169.46470423366029</v>
      </c>
      <c r="BJ156" s="59">
        <f t="shared" si="146"/>
        <v>230.78141128389288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5.3033119458085753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5.3033119458085753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-1.7053025658242404E-13</v>
      </c>
      <c r="BZ156" s="13">
        <f>BY156*VLOOKUP('Données projet'!$B$12,Paramètres!$A$1:$I$89,3,0)*VLOOKUP('Données projet'!$B$12,Paramètres!$A$1:$I$89,5,0)</f>
        <v>-1.4897523215040567E-13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342.79161436526499</v>
      </c>
      <c r="CE156" s="59">
        <f t="shared" si="148"/>
        <v>315.50730924873733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28.503386223943462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28.503386223943462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-5.6843418860808015E-14</v>
      </c>
      <c r="CU156" s="17">
        <f>CT156*VLOOKUP('Données projet'!$B$13,Paramètres!$A$1:$I$89,3,0)*VLOOKUP('Données projet'!$B$13,Paramètres!$A$1:$I$89,5,0)</f>
        <v>-3.813056537183002E-14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201.84651193684252</v>
      </c>
      <c r="CZ156" s="59">
        <f t="shared" si="150"/>
        <v>138.00705940844708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23.253015054473359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23.253015054473359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1.1368683772161603E-13</v>
      </c>
      <c r="DP156" s="17">
        <f>DO156*VLOOKUP('Données projet'!$B$14,Paramètres!$A$1:$I$89,3,0)*VLOOKUP('Données projet'!$B$14,Paramètres!$A$1:$I$89,5,0)</f>
        <v>8.3355189417488869E-14</v>
      </c>
      <c r="DQ156" s="13">
        <f t="shared" si="176"/>
        <v>1.2790518435140618E-12</v>
      </c>
      <c r="DR156" s="20">
        <f t="shared" si="177"/>
        <v>2.3728589156891171E-12</v>
      </c>
      <c r="DS156" s="59">
        <f t="shared" si="125"/>
        <v>287.03264548950239</v>
      </c>
      <c r="DT156" s="59">
        <f ca="1">AVERAGE(OFFSET($DS$3,0,0,'Données projet'!$E$14+1,1))-AVERAGE(OFFSET($H$3,0,0,'Données projet'!$E$14+1,1))</f>
        <v>242.21240859696931</v>
      </c>
      <c r="DU156" s="59">
        <f t="shared" si="152"/>
        <v>340.92165104349192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9.9944485020707692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9.9944485020707692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-5.6843418860808015E-14</v>
      </c>
      <c r="EK156" s="17">
        <f>EJ156*VLOOKUP('Données projet'!$B$15,Paramètres!$A$1:$I$89,3,0)*VLOOKUP('Données projet'!$B$15,Paramètres!$A$1:$I$89,5,0)</f>
        <v>-5.4978954722173515E-14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331.7059599630698</v>
      </c>
      <c r="EP156" s="59">
        <f t="shared" si="154"/>
        <v>173.19148969173838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47.471115597033709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47.471115597033709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-5.6843418860808015E-14</v>
      </c>
      <c r="FF156" s="17">
        <f>FE156*VLOOKUP('Données projet'!$B$16,Paramètres!$A$1:$I$89,3,0)*VLOOKUP('Données projet'!$B$16,Paramètres!$A$1:$I$89,5,0)</f>
        <v>-6.1186256061773749E-14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360.86062459677004</v>
      </c>
      <c r="FK156" s="59">
        <f t="shared" si="156"/>
        <v>186.0840067781198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56.974065987896211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56.974065987896211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-5.1159076974727213E-13</v>
      </c>
      <c r="GA156" s="17">
        <f>FZ156*VLOOKUP('Données projet'!$B$17,Paramètres!$A$1:$I$89,3,0)*VLOOKUP('Données projet'!$B$17,Paramètres!$A$1:$I$89,5,0)</f>
        <v>-5.1875304052373401E-13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448.73339628506784</v>
      </c>
      <c r="GF156" s="59">
        <f t="shared" si="158"/>
        <v>273.35778700650803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72.514954750583769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72.514954750583769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-5.1159076974727213E-13</v>
      </c>
      <c r="O157" s="13">
        <f>N157*VLOOKUP('Données projet'!$B$9,Paramètres!$A$1:$I$89,3,0)*VLOOKUP('Données projet'!$B$9,Paramètres!$A$1:$I$89,5,0)</f>
        <v>-4.6288732846733184E-13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408.51124670343137</v>
      </c>
      <c r="T157" s="59">
        <f t="shared" si="142"/>
        <v>250.47702091764884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63.436813563468256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63.436813563468256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-2.8421709430404007E-13</v>
      </c>
      <c r="AJ157" s="13">
        <f>AI157*VLOOKUP('Données projet'!$B$10,Paramètres!$A$1:$I$89,3,0)*VLOOKUP('Données projet'!$B$10,Paramètres!$A$1:$I$89,5,0)</f>
        <v>-2.2612312022829427E-13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327.22763817565902</v>
      </c>
      <c r="AO157" s="59">
        <f t="shared" si="144"/>
        <v>311.68541696405975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24.000324866279499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24.000324866279499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2.8421709430404007E-14</v>
      </c>
      <c r="BE157" s="13">
        <f>BD157*VLOOKUP('Données projet'!$B$11,Paramètres!$A$1:$I$89,3,0)*VLOOKUP('Données projet'!$B$11,Paramètres!$A$1:$I$89,5,0)</f>
        <v>1.8178525351686402E-14</v>
      </c>
      <c r="BF157" s="13">
        <f t="shared" si="167"/>
        <v>3.3304129621647644E-13</v>
      </c>
      <c r="BG157" s="20">
        <f t="shared" si="168"/>
        <v>6.1170785589788349E-13</v>
      </c>
      <c r="BH157" s="59">
        <f t="shared" si="116"/>
        <v>287.14194833736337</v>
      </c>
      <c r="BI157" s="59">
        <f ca="1">AVERAGE(OFFSET($BH$3,0,0,'Données projet'!$E$11+1,1))-AVERAGE(OFFSET($H$3,0,0,'Données projet'!$E$11+1,1))</f>
        <v>169.46470423366029</v>
      </c>
      <c r="BJ157" s="59">
        <f t="shared" si="146"/>
        <v>230.78141128389288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5.199317233252156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5.199317233252156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-1.7053025658242404E-13</v>
      </c>
      <c r="BZ157" s="13">
        <f>BY157*VLOOKUP('Données projet'!$B$12,Paramètres!$A$1:$I$89,3,0)*VLOOKUP('Données projet'!$B$12,Paramètres!$A$1:$I$89,5,0)</f>
        <v>-1.4897523215040567E-13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342.79161436526499</v>
      </c>
      <c r="CE157" s="59">
        <f t="shared" si="148"/>
        <v>315.50730924873733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27.944452205440868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27.944452205440868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-5.6843418860808015E-14</v>
      </c>
      <c r="CU157" s="17">
        <f>CT157*VLOOKUP('Données projet'!$B$13,Paramètres!$A$1:$I$89,3,0)*VLOOKUP('Données projet'!$B$13,Paramètres!$A$1:$I$89,5,0)</f>
        <v>-3.813056537183002E-14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201.84651193684252</v>
      </c>
      <c r="CZ157" s="59">
        <f t="shared" si="150"/>
        <v>138.00705940844708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22.797037612193872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22.797037612193872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1.1368683772161603E-13</v>
      </c>
      <c r="DP157" s="17">
        <f>DO157*VLOOKUP('Données projet'!$B$14,Paramètres!$A$1:$I$89,3,0)*VLOOKUP('Données projet'!$B$14,Paramètres!$A$1:$I$89,5,0)</f>
        <v>8.3355189417488869E-14</v>
      </c>
      <c r="DQ157" s="13">
        <f t="shared" si="176"/>
        <v>1.2790518435140618E-12</v>
      </c>
      <c r="DR157" s="20">
        <f t="shared" si="177"/>
        <v>2.3728589156891171E-12</v>
      </c>
      <c r="DS157" s="59">
        <f t="shared" si="125"/>
        <v>287.14194833736514</v>
      </c>
      <c r="DT157" s="59">
        <f ca="1">AVERAGE(OFFSET($DS$3,0,0,'Données projet'!$E$14+1,1))-AVERAGE(OFFSET($H$3,0,0,'Données projet'!$E$14+1,1))</f>
        <v>242.21240859696931</v>
      </c>
      <c r="DU157" s="59">
        <f t="shared" si="152"/>
        <v>340.92165104349192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9.7984634629568159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9.7984634629568159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-5.6843418860808015E-14</v>
      </c>
      <c r="EK157" s="17">
        <f>EJ157*VLOOKUP('Données projet'!$B$15,Paramètres!$A$1:$I$89,3,0)*VLOOKUP('Données projet'!$B$15,Paramètres!$A$1:$I$89,5,0)</f>
        <v>-5.4978954722173515E-14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331.7059599630698</v>
      </c>
      <c r="EP157" s="59">
        <f t="shared" si="154"/>
        <v>173.19148969173838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46.540235974697367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46.540235974697367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-5.6843418860808015E-14</v>
      </c>
      <c r="FF157" s="17">
        <f>FE157*VLOOKUP('Données projet'!$B$16,Paramètres!$A$1:$I$89,3,0)*VLOOKUP('Données projet'!$B$16,Paramètres!$A$1:$I$89,5,0)</f>
        <v>-6.1186256061773749E-14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360.86062459677004</v>
      </c>
      <c r="FK157" s="59">
        <f t="shared" si="156"/>
        <v>186.0840067781198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55.856839304622468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55.856839304622468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-5.1159076974727213E-13</v>
      </c>
      <c r="GA157" s="17">
        <f>FZ157*VLOOKUP('Données projet'!$B$17,Paramètres!$A$1:$I$89,3,0)*VLOOKUP('Données projet'!$B$17,Paramètres!$A$1:$I$89,5,0)</f>
        <v>-5.1875304052373401E-13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448.73339628506784</v>
      </c>
      <c r="GF157" s="59">
        <f t="shared" si="158"/>
        <v>273.35778700650803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71.092980717679893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71.092980717679893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-5.1159076974727213E-13</v>
      </c>
      <c r="O158" s="13">
        <f>N158*VLOOKUP('Données projet'!$B$9,Paramètres!$A$1:$I$89,3,0)*VLOOKUP('Données projet'!$B$9,Paramètres!$A$1:$I$89,5,0)</f>
        <v>-4.6288732846733184E-13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408.51124670343137</v>
      </c>
      <c r="T158" s="59">
        <f t="shared" si="142"/>
        <v>250.47702091764884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62.192856342124337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62.192856342124337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-2.8421709430404007E-13</v>
      </c>
      <c r="AJ158" s="13">
        <f>AI158*VLOOKUP('Données projet'!$B$10,Paramètres!$A$1:$I$89,3,0)*VLOOKUP('Données projet'!$B$10,Paramètres!$A$1:$I$89,5,0)</f>
        <v>-2.2612312022829427E-13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327.22763817565902</v>
      </c>
      <c r="AO158" s="59">
        <f t="shared" si="144"/>
        <v>311.68541696405975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23.529693134404468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23.529693134404468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2.8421709430404007E-14</v>
      </c>
      <c r="BE158" s="13">
        <f>BD158*VLOOKUP('Données projet'!$B$11,Paramètres!$A$1:$I$89,3,0)*VLOOKUP('Données projet'!$B$11,Paramètres!$A$1:$I$89,5,0)</f>
        <v>1.8178525351686402E-14</v>
      </c>
      <c r="BF158" s="13">
        <f t="shared" si="167"/>
        <v>3.3304129621647644E-13</v>
      </c>
      <c r="BG158" s="20">
        <f t="shared" si="168"/>
        <v>6.1170785589788349E-13</v>
      </c>
      <c r="BH158" s="59">
        <f t="shared" si="116"/>
        <v>287.24935502518031</v>
      </c>
      <c r="BI158" s="59">
        <f ca="1">AVERAGE(OFFSET($BH$3,0,0,'Données projet'!$E$11+1,1))-AVERAGE(OFFSET($H$3,0,0,'Données projet'!$E$11+1,1))</f>
        <v>169.46470423366029</v>
      </c>
      <c r="BJ158" s="59">
        <f t="shared" si="146"/>
        <v>230.78141128389288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5.0973617935784565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5.0973617935784565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-1.7053025658242404E-13</v>
      </c>
      <c r="BZ158" s="13">
        <f>BY158*VLOOKUP('Données projet'!$B$12,Paramètres!$A$1:$I$89,3,0)*VLOOKUP('Données projet'!$B$12,Paramètres!$A$1:$I$89,5,0)</f>
        <v>-1.4897523215040567E-13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342.79161436526499</v>
      </c>
      <c r="CE158" s="59">
        <f t="shared" si="148"/>
        <v>315.50730924873733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27.396478542125021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27.396478542125021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-5.6843418860808015E-14</v>
      </c>
      <c r="CU158" s="17">
        <f>CT158*VLOOKUP('Données projet'!$B$13,Paramètres!$A$1:$I$89,3,0)*VLOOKUP('Données projet'!$B$13,Paramètres!$A$1:$I$89,5,0)</f>
        <v>-3.813056537183002E-14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201.84651193684252</v>
      </c>
      <c r="CZ158" s="59">
        <f t="shared" si="150"/>
        <v>138.00705940844708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22.350001609438706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22.350001609438706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1.1368683772161603E-13</v>
      </c>
      <c r="DP158" s="17">
        <f>DO158*VLOOKUP('Données projet'!$B$14,Paramètres!$A$1:$I$89,3,0)*VLOOKUP('Données projet'!$B$14,Paramètres!$A$1:$I$89,5,0)</f>
        <v>8.3355189417488869E-14</v>
      </c>
      <c r="DQ158" s="13">
        <f t="shared" si="176"/>
        <v>1.2790518435140618E-12</v>
      </c>
      <c r="DR158" s="20">
        <f t="shared" si="177"/>
        <v>2.3728589156891171E-12</v>
      </c>
      <c r="DS158" s="59">
        <f t="shared" si="125"/>
        <v>287.24935502518207</v>
      </c>
      <c r="DT158" s="59">
        <f ca="1">AVERAGE(OFFSET($DS$3,0,0,'Données projet'!$E$14+1,1))-AVERAGE(OFFSET($H$3,0,0,'Données projet'!$E$14+1,1))</f>
        <v>242.21240859696931</v>
      </c>
      <c r="DU158" s="59">
        <f t="shared" si="152"/>
        <v>340.92165104349192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9.6063215709208176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9.6063215709208176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-5.6843418860808015E-14</v>
      </c>
      <c r="EK158" s="17">
        <f>EJ158*VLOOKUP('Données projet'!$B$15,Paramètres!$A$1:$I$89,3,0)*VLOOKUP('Données projet'!$B$15,Paramètres!$A$1:$I$89,5,0)</f>
        <v>-5.4978954722173515E-14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331.7059599630698</v>
      </c>
      <c r="EP158" s="59">
        <f t="shared" si="154"/>
        <v>173.19148969173838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45.627610333974538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45.627610333974538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-5.6843418860808015E-14</v>
      </c>
      <c r="FF158" s="17">
        <f>FE158*VLOOKUP('Données projet'!$B$16,Paramètres!$A$1:$I$89,3,0)*VLOOKUP('Données projet'!$B$16,Paramètres!$A$1:$I$89,5,0)</f>
        <v>-6.1186256061773749E-14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360.86062459677004</v>
      </c>
      <c r="FK158" s="59">
        <f t="shared" si="156"/>
        <v>186.0840067781198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54.761520755166735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54.761520755166735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-5.1159076974727213E-13</v>
      </c>
      <c r="GA158" s="17">
        <f>FZ158*VLOOKUP('Données projet'!$B$17,Paramètres!$A$1:$I$89,3,0)*VLOOKUP('Données projet'!$B$17,Paramètres!$A$1:$I$89,5,0)</f>
        <v>-5.1875304052373401E-13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448.73339628506784</v>
      </c>
      <c r="GF158" s="59">
        <f t="shared" si="158"/>
        <v>273.35778700650803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69.698890728242745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69.698890728242745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-5.1159076974727213E-13</v>
      </c>
      <c r="O159" s="13">
        <f>N159*VLOOKUP('Données projet'!$B$9,Paramètres!$A$1:$I$89,3,0)*VLOOKUP('Données projet'!$B$9,Paramètres!$A$1:$I$89,5,0)</f>
        <v>-4.6288732846733184E-13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408.51124670343137</v>
      </c>
      <c r="T159" s="59">
        <f t="shared" si="142"/>
        <v>250.47702091764884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60.973292363151984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60.973292363151984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-2.8421709430404007E-13</v>
      </c>
      <c r="AJ159" s="13">
        <f>AI159*VLOOKUP('Données projet'!$B$10,Paramètres!$A$1:$I$89,3,0)*VLOOKUP('Données projet'!$B$10,Paramètres!$A$1:$I$89,5,0)</f>
        <v>-2.2612312022829427E-13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327.22763817565902</v>
      </c>
      <c r="AO159" s="59">
        <f t="shared" si="144"/>
        <v>311.68541696405975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23.068290203734495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23.068290203734495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2.8421709430404007E-14</v>
      </c>
      <c r="BE159" s="13">
        <f>BD159*VLOOKUP('Données projet'!$B$11,Paramètres!$A$1:$I$89,3,0)*VLOOKUP('Données projet'!$B$11,Paramètres!$A$1:$I$89,5,0)</f>
        <v>1.8178525351686402E-14</v>
      </c>
      <c r="BF159" s="13">
        <f t="shared" si="167"/>
        <v>3.3304129621647644E-13</v>
      </c>
      <c r="BG159" s="20">
        <f t="shared" si="168"/>
        <v>6.1170785589788349E-13</v>
      </c>
      <c r="BH159" s="59">
        <f t="shared" si="116"/>
        <v>287.35489844708894</v>
      </c>
      <c r="BI159" s="59">
        <f ca="1">AVERAGE(OFFSET($BH$3,0,0,'Données projet'!$E$11+1,1))-AVERAGE(OFFSET($H$3,0,0,'Données projet'!$E$11+1,1))</f>
        <v>169.46470423366029</v>
      </c>
      <c r="BJ159" s="59">
        <f t="shared" si="146"/>
        <v>230.78141128389288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4.9974056378900809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4.9974056378900809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-1.7053025658242404E-13</v>
      </c>
      <c r="BZ159" s="13">
        <f>BY159*VLOOKUP('Données projet'!$B$12,Paramètres!$A$1:$I$89,3,0)*VLOOKUP('Données projet'!$B$12,Paramètres!$A$1:$I$89,5,0)</f>
        <v>-1.4897523215040567E-13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342.79161436526499</v>
      </c>
      <c r="CE159" s="59">
        <f t="shared" si="148"/>
        <v>315.50730924873733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26.859250308115865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26.859250308115865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-5.6843418860808015E-14</v>
      </c>
      <c r="CU159" s="17">
        <f>CT159*VLOOKUP('Données projet'!$B$13,Paramètres!$A$1:$I$89,3,0)*VLOOKUP('Données projet'!$B$13,Paramètres!$A$1:$I$89,5,0)</f>
        <v>-3.813056537183002E-14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201.84651193684252</v>
      </c>
      <c r="CZ159" s="59">
        <f t="shared" si="150"/>
        <v>138.00705940844708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21.91173171003253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21.91173171003253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1.1368683772161603E-13</v>
      </c>
      <c r="DP159" s="17">
        <f>DO159*VLOOKUP('Données projet'!$B$14,Paramètres!$A$1:$I$89,3,0)*VLOOKUP('Données projet'!$B$14,Paramètres!$A$1:$I$89,5,0)</f>
        <v>8.3355189417488869E-14</v>
      </c>
      <c r="DQ159" s="13">
        <f t="shared" si="176"/>
        <v>1.2790518435140618E-12</v>
      </c>
      <c r="DR159" s="20">
        <f t="shared" si="177"/>
        <v>2.3728589156891171E-12</v>
      </c>
      <c r="DS159" s="59">
        <f t="shared" si="125"/>
        <v>287.3548984470907</v>
      </c>
      <c r="DT159" s="59">
        <f ca="1">AVERAGE(OFFSET($DS$3,0,0,'Données projet'!$E$14+1,1))-AVERAGE(OFFSET($H$3,0,0,'Données projet'!$E$14+1,1))</f>
        <v>242.21240859696931</v>
      </c>
      <c r="DU159" s="59">
        <f t="shared" si="152"/>
        <v>340.92165104349192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9.4179474641926628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9.4179474641926628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-5.6843418860808015E-14</v>
      </c>
      <c r="EK159" s="17">
        <f>EJ159*VLOOKUP('Données projet'!$B$15,Paramètres!$A$1:$I$89,3,0)*VLOOKUP('Données projet'!$B$15,Paramètres!$A$1:$I$89,5,0)</f>
        <v>-5.4978954722173515E-14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331.7059599630698</v>
      </c>
      <c r="EP159" s="59">
        <f t="shared" si="154"/>
        <v>173.19148969173838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44.732880725419605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44.732880725419605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-5.6843418860808015E-14</v>
      </c>
      <c r="FF159" s="17">
        <f>FE159*VLOOKUP('Données projet'!$B$16,Paramètres!$A$1:$I$89,3,0)*VLOOKUP('Données projet'!$B$16,Paramètres!$A$1:$I$89,5,0)</f>
        <v>-6.1186256061773749E-14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360.86062459677004</v>
      </c>
      <c r="FK159" s="59">
        <f t="shared" si="156"/>
        <v>186.0840067781198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53.687680734387477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53.687680734387477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-5.1159076974727213E-13</v>
      </c>
      <c r="GA159" s="17">
        <f>FZ159*VLOOKUP('Données projet'!$B$17,Paramètres!$A$1:$I$89,3,0)*VLOOKUP('Données projet'!$B$17,Paramètres!$A$1:$I$89,5,0)</f>
        <v>-5.1875304052373401E-13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448.73339628506784</v>
      </c>
      <c r="GF159" s="59">
        <f t="shared" si="158"/>
        <v>273.35778700650803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68.33213799318753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68.33213799318753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-5.1159076974727213E-13</v>
      </c>
      <c r="O160" s="13">
        <f>N160*VLOOKUP('Données projet'!$B$9,Paramètres!$A$1:$I$89,3,0)*VLOOKUP('Données projet'!$B$9,Paramètres!$A$1:$I$89,5,0)</f>
        <v>-4.6288732846733184E-13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408.51124670343137</v>
      </c>
      <c r="T160" s="59">
        <f t="shared" si="142"/>
        <v>250.47702091764884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59.777643289946703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59.777643289946703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-2.8421709430404007E-13</v>
      </c>
      <c r="AJ160" s="13">
        <f>AI160*VLOOKUP('Données projet'!$B$10,Paramètres!$A$1:$I$89,3,0)*VLOOKUP('Données projet'!$B$10,Paramètres!$A$1:$I$89,5,0)</f>
        <v>-2.2612312022829427E-13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327.22763817565902</v>
      </c>
      <c r="AO160" s="59">
        <f t="shared" si="144"/>
        <v>311.68541696405975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22.615935103106963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22.615935103106963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2.8421709430404007E-14</v>
      </c>
      <c r="BE160" s="13">
        <f>BD160*VLOOKUP('Données projet'!$B$11,Paramètres!$A$1:$I$89,3,0)*VLOOKUP('Données projet'!$B$11,Paramètres!$A$1:$I$89,5,0)</f>
        <v>1.8178525351686402E-14</v>
      </c>
      <c r="BF160" s="13">
        <f t="shared" si="167"/>
        <v>3.3304129621647644E-13</v>
      </c>
      <c r="BG160" s="20">
        <f t="shared" si="168"/>
        <v>6.1170785589788349E-13</v>
      </c>
      <c r="BH160" s="59">
        <f t="shared" si="116"/>
        <v>287.4586109265872</v>
      </c>
      <c r="BI160" s="59">
        <f ca="1">AVERAGE(OFFSET($BH$3,0,0,'Données projet'!$E$11+1,1))-AVERAGE(OFFSET($H$3,0,0,'Données projet'!$E$11+1,1))</f>
        <v>169.46470423366029</v>
      </c>
      <c r="BJ160" s="59">
        <f t="shared" si="146"/>
        <v>230.78141128389288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4.899409561447519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4.899409561447519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-1.7053025658242404E-13</v>
      </c>
      <c r="BZ160" s="13">
        <f>BY160*VLOOKUP('Données projet'!$B$12,Paramètres!$A$1:$I$89,3,0)*VLOOKUP('Données projet'!$B$12,Paramètres!$A$1:$I$89,5,0)</f>
        <v>-1.4897523215040567E-13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342.79161436526499</v>
      </c>
      <c r="CE160" s="59">
        <f t="shared" si="148"/>
        <v>315.50730924873733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26.33255679209876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26.33255679209876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-5.6843418860808015E-14</v>
      </c>
      <c r="CU160" s="17">
        <f>CT160*VLOOKUP('Données projet'!$B$13,Paramètres!$A$1:$I$89,3,0)*VLOOKUP('Données projet'!$B$13,Paramètres!$A$1:$I$89,5,0)</f>
        <v>-3.813056537183002E-14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201.84651193684252</v>
      </c>
      <c r="CZ160" s="59">
        <f t="shared" si="150"/>
        <v>138.00705940844708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21.482056016035468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21.482056016035468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1.1368683772161603E-13</v>
      </c>
      <c r="DP160" s="17">
        <f>DO160*VLOOKUP('Données projet'!$B$14,Paramètres!$A$1:$I$89,3,0)*VLOOKUP('Données projet'!$B$14,Paramètres!$A$1:$I$89,5,0)</f>
        <v>8.3355189417488869E-14</v>
      </c>
      <c r="DQ160" s="13">
        <f t="shared" si="176"/>
        <v>1.2790518435140618E-12</v>
      </c>
      <c r="DR160" s="20">
        <f t="shared" si="177"/>
        <v>2.3728589156891171E-12</v>
      </c>
      <c r="DS160" s="59">
        <f t="shared" si="125"/>
        <v>287.45861092658896</v>
      </c>
      <c r="DT160" s="59">
        <f ca="1">AVERAGE(OFFSET($DS$3,0,0,'Données projet'!$E$14+1,1))-AVERAGE(OFFSET($H$3,0,0,'Données projet'!$E$14+1,1))</f>
        <v>242.21240859696931</v>
      </c>
      <c r="DU160" s="59">
        <f t="shared" si="152"/>
        <v>340.92165104349192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9.2332672588005877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9.2332672588005877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-5.6843418860808015E-14</v>
      </c>
      <c r="EK160" s="17">
        <f>EJ160*VLOOKUP('Données projet'!$B$15,Paramètres!$A$1:$I$89,3,0)*VLOOKUP('Données projet'!$B$15,Paramètres!$A$1:$I$89,5,0)</f>
        <v>-5.4978954722173515E-14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331.7059599630698</v>
      </c>
      <c r="EP160" s="59">
        <f t="shared" si="154"/>
        <v>173.19148969173838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43.855696218757259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43.855696218757259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-5.6843418860808015E-14</v>
      </c>
      <c r="FF160" s="17">
        <f>FE160*VLOOKUP('Données projet'!$B$16,Paramètres!$A$1:$I$89,3,0)*VLOOKUP('Données projet'!$B$16,Paramètres!$A$1:$I$89,5,0)</f>
        <v>-6.1186256061773749E-14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360.86062459677004</v>
      </c>
      <c r="FK160" s="59">
        <f t="shared" si="156"/>
        <v>186.0840067781198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52.634898061437966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52.634898061437966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-5.1159076974727213E-13</v>
      </c>
      <c r="GA160" s="17">
        <f>FZ160*VLOOKUP('Données projet'!$B$17,Paramètres!$A$1:$I$89,3,0)*VLOOKUP('Données projet'!$B$17,Paramètres!$A$1:$I$89,5,0)</f>
        <v>-5.1875304052373401E-13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448.73339628506784</v>
      </c>
      <c r="GF160" s="59">
        <f t="shared" si="158"/>
        <v>273.35778700650803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66.992186445629883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66.992186445629883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-5.1159076974727213E-13</v>
      </c>
      <c r="O161" s="13">
        <f>N161*VLOOKUP('Données projet'!$B$9,Paramètres!$A$1:$I$89,3,0)*VLOOKUP('Données projet'!$B$9,Paramètres!$A$1:$I$89,5,0)</f>
        <v>-4.6288732846733184E-13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408.51124670343137</v>
      </c>
      <c r="T161" s="59">
        <f t="shared" si="142"/>
        <v>250.47702091764884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58.605440165793055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58.605440165793055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-2.8421709430404007E-13</v>
      </c>
      <c r="AJ161" s="13">
        <f>AI161*VLOOKUP('Données projet'!$B$10,Paramètres!$A$1:$I$89,3,0)*VLOOKUP('Données projet'!$B$10,Paramètres!$A$1:$I$89,5,0)</f>
        <v>-2.2612312022829427E-13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327.22763817565902</v>
      </c>
      <c r="AO161" s="59">
        <f t="shared" si="144"/>
        <v>311.68541696405975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22.172450410093369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22.172450410093369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2.8421709430404007E-14</v>
      </c>
      <c r="BE161" s="13">
        <f>BD161*VLOOKUP('Données projet'!$B$11,Paramètres!$A$1:$I$89,3,0)*VLOOKUP('Données projet'!$B$11,Paramètres!$A$1:$I$89,5,0)</f>
        <v>1.8178525351686402E-14</v>
      </c>
      <c r="BF161" s="13">
        <f t="shared" si="167"/>
        <v>3.3304129621647644E-13</v>
      </c>
      <c r="BG161" s="20">
        <f t="shared" si="168"/>
        <v>6.1170785589788349E-13</v>
      </c>
      <c r="BH161" s="59">
        <f t="shared" si="116"/>
        <v>287.56052422643262</v>
      </c>
      <c r="BI161" s="59">
        <f ca="1">AVERAGE(OFFSET($BH$3,0,0,'Données projet'!$E$11+1,1))-AVERAGE(OFFSET($H$3,0,0,'Données projet'!$E$11+1,1))</f>
        <v>169.46470423366029</v>
      </c>
      <c r="BJ161" s="59">
        <f t="shared" si="146"/>
        <v>230.78141128389288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4.8033351282922911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4.8033351282922911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-1.7053025658242404E-13</v>
      </c>
      <c r="BZ161" s="13">
        <f>BY161*VLOOKUP('Données projet'!$B$12,Paramètres!$A$1:$I$89,3,0)*VLOOKUP('Données projet'!$B$12,Paramètres!$A$1:$I$89,5,0)</f>
        <v>-1.4897523215040567E-13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342.79161436526499</v>
      </c>
      <c r="CE161" s="59">
        <f t="shared" si="148"/>
        <v>315.50730924873733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25.816191414679427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25.816191414679427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-5.6843418860808015E-14</v>
      </c>
      <c r="CU161" s="17">
        <f>CT161*VLOOKUP('Données projet'!$B$13,Paramètres!$A$1:$I$89,3,0)*VLOOKUP('Données projet'!$B$13,Paramètres!$A$1:$I$89,5,0)</f>
        <v>-3.813056537183002E-14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201.84651193684252</v>
      </c>
      <c r="CZ161" s="59">
        <f t="shared" si="150"/>
        <v>138.00705940844708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21.060806000321392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21.060806000321392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1.1368683772161603E-13</v>
      </c>
      <c r="DP161" s="17">
        <f>DO161*VLOOKUP('Données projet'!$B$14,Paramètres!$A$1:$I$89,3,0)*VLOOKUP('Données projet'!$B$14,Paramètres!$A$1:$I$89,5,0)</f>
        <v>8.3355189417488869E-14</v>
      </c>
      <c r="DQ161" s="13">
        <f t="shared" si="176"/>
        <v>1.2790518435140618E-12</v>
      </c>
      <c r="DR161" s="20">
        <f t="shared" si="177"/>
        <v>2.3728589156891171E-12</v>
      </c>
      <c r="DS161" s="59">
        <f t="shared" si="125"/>
        <v>287.56052422643438</v>
      </c>
      <c r="DT161" s="59">
        <f ca="1">AVERAGE(OFFSET($DS$3,0,0,'Données projet'!$E$14+1,1))-AVERAGE(OFFSET($H$3,0,0,'Données projet'!$E$14+1,1))</f>
        <v>242.21240859696931</v>
      </c>
      <c r="DU161" s="59">
        <f t="shared" si="152"/>
        <v>340.92165104349192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9.0522085195924475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9.0522085195924475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-5.6843418860808015E-14</v>
      </c>
      <c r="EK161" s="17">
        <f>EJ161*VLOOKUP('Données projet'!$B$15,Paramètres!$A$1:$I$89,3,0)*VLOOKUP('Données projet'!$B$15,Paramètres!$A$1:$I$89,5,0)</f>
        <v>-5.4978954722173515E-14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331.7059599630698</v>
      </c>
      <c r="EP161" s="59">
        <f t="shared" si="154"/>
        <v>173.19148969173838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42.995712765240846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42.995712765240846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-5.6843418860808015E-14</v>
      </c>
      <c r="FF161" s="17">
        <f>FE161*VLOOKUP('Données projet'!$B$16,Paramètres!$A$1:$I$89,3,0)*VLOOKUP('Données projet'!$B$16,Paramètres!$A$1:$I$89,5,0)</f>
        <v>-6.1186256061773749E-14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360.86062459677004</v>
      </c>
      <c r="FK161" s="59">
        <f t="shared" si="156"/>
        <v>186.0840067781198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51.602759814570966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51.602759814570966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-5.1159076974727213E-13</v>
      </c>
      <c r="GA161" s="17">
        <f>FZ161*VLOOKUP('Données projet'!$B$17,Paramètres!$A$1:$I$89,3,0)*VLOOKUP('Données projet'!$B$17,Paramètres!$A$1:$I$89,5,0)</f>
        <v>-5.1875304052373401E-13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448.73339628506784</v>
      </c>
      <c r="GF161" s="59">
        <f t="shared" si="158"/>
        <v>273.35778700650803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65.678510530630106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65.678510530630106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-5.1159076974727213E-13</v>
      </c>
      <c r="O162" s="13">
        <f>N162*VLOOKUP('Données projet'!$B$9,Paramètres!$A$1:$I$89,3,0)*VLOOKUP('Données projet'!$B$9,Paramètres!$A$1:$I$89,5,0)</f>
        <v>-4.6288732846733184E-13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408.51124670343137</v>
      </c>
      <c r="T162" s="59">
        <f t="shared" si="142"/>
        <v>250.47702091764884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57.45622322993075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57.45622322993075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-2.8421709430404007E-13</v>
      </c>
      <c r="AJ162" s="13">
        <f>AI162*VLOOKUP('Données projet'!$B$10,Paramètres!$A$1:$I$89,3,0)*VLOOKUP('Données projet'!$B$10,Paramètres!$A$1:$I$89,5,0)</f>
        <v>-2.2612312022829427E-13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327.22763817565902</v>
      </c>
      <c r="AO162" s="59">
        <f t="shared" si="144"/>
        <v>311.68541696405975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21.737662181410819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21.737662181410819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2.8421709430404007E-14</v>
      </c>
      <c r="BE162" s="13">
        <f>BD162*VLOOKUP('Données projet'!$B$11,Paramètres!$A$1:$I$89,3,0)*VLOOKUP('Données projet'!$B$11,Paramètres!$A$1:$I$89,5,0)</f>
        <v>1.8178525351686402E-14</v>
      </c>
      <c r="BF162" s="13">
        <f t="shared" si="167"/>
        <v>3.3304129621647644E-13</v>
      </c>
      <c r="BG162" s="20">
        <f t="shared" si="168"/>
        <v>6.1170785589788349E-13</v>
      </c>
      <c r="BH162" s="59">
        <f t="shared" si="116"/>
        <v>287.66066955836959</v>
      </c>
      <c r="BI162" s="59">
        <f ca="1">AVERAGE(OFFSET($BH$3,0,0,'Données projet'!$E$11+1,1))-AVERAGE(OFFSET($H$3,0,0,'Données projet'!$E$11+1,1))</f>
        <v>169.46470423366029</v>
      </c>
      <c r="BJ162" s="59">
        <f t="shared" si="146"/>
        <v>230.78141128389288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4.7091446561716195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4.7091446561716195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-1.7053025658242404E-13</v>
      </c>
      <c r="BZ162" s="13">
        <f>BY162*VLOOKUP('Données projet'!$B$12,Paramètres!$A$1:$I$89,3,0)*VLOOKUP('Données projet'!$B$12,Paramètres!$A$1:$I$89,5,0)</f>
        <v>-1.4897523215040567E-13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342.79161436526499</v>
      </c>
      <c r="CE162" s="59">
        <f t="shared" si="148"/>
        <v>315.50730924873733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25.309951647359505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25.309951647359505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-5.6843418860808015E-14</v>
      </c>
      <c r="CU162" s="17">
        <f>CT162*VLOOKUP('Données projet'!$B$13,Paramètres!$A$1:$I$89,3,0)*VLOOKUP('Données projet'!$B$13,Paramètres!$A$1:$I$89,5,0)</f>
        <v>-3.813056537183002E-14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201.84651193684252</v>
      </c>
      <c r="CZ162" s="59">
        <f t="shared" si="150"/>
        <v>138.00705940844708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20.64781644047833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20.64781644047833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1.1368683772161603E-13</v>
      </c>
      <c r="DP162" s="17">
        <f>DO162*VLOOKUP('Données projet'!$B$14,Paramètres!$A$1:$I$89,3,0)*VLOOKUP('Données projet'!$B$14,Paramètres!$A$1:$I$89,5,0)</f>
        <v>8.3355189417488869E-14</v>
      </c>
      <c r="DQ162" s="13">
        <f t="shared" si="176"/>
        <v>1.2790518435140618E-12</v>
      </c>
      <c r="DR162" s="20">
        <f t="shared" si="177"/>
        <v>2.3728589156891171E-12</v>
      </c>
      <c r="DS162" s="59">
        <f t="shared" si="125"/>
        <v>287.66066955837135</v>
      </c>
      <c r="DT162" s="59">
        <f ca="1">AVERAGE(OFFSET($DS$3,0,0,'Données projet'!$E$14+1,1))-AVERAGE(OFFSET($H$3,0,0,'Données projet'!$E$14+1,1))</f>
        <v>242.21240859696931</v>
      </c>
      <c r="DU162" s="59">
        <f t="shared" si="152"/>
        <v>340.92165104349192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8.874700231825253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8.874700231825253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-5.6843418860808015E-14</v>
      </c>
      <c r="EK162" s="17">
        <f>EJ162*VLOOKUP('Données projet'!$B$15,Paramètres!$A$1:$I$89,3,0)*VLOOKUP('Données projet'!$B$15,Paramètres!$A$1:$I$89,5,0)</f>
        <v>-5.4978954722173515E-14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331.7059599630698</v>
      </c>
      <c r="EP162" s="59">
        <f t="shared" si="154"/>
        <v>173.19148969173838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42.152593062709776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42.152593062709776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-5.6843418860808015E-14</v>
      </c>
      <c r="FF162" s="17">
        <f>FE162*VLOOKUP('Données projet'!$B$16,Paramètres!$A$1:$I$89,3,0)*VLOOKUP('Données projet'!$B$16,Paramètres!$A$1:$I$89,5,0)</f>
        <v>-6.1186256061773749E-14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360.86062459677004</v>
      </c>
      <c r="FK162" s="59">
        <f t="shared" si="156"/>
        <v>186.0840067781198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50.590861169182858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50.590861169182858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-5.1159076974727213E-13</v>
      </c>
      <c r="GA162" s="17">
        <f>FZ162*VLOOKUP('Données projet'!$B$17,Paramètres!$A$1:$I$89,3,0)*VLOOKUP('Données projet'!$B$17,Paramètres!$A$1:$I$89,5,0)</f>
        <v>-5.1875304052373401E-13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448.73339628506784</v>
      </c>
      <c r="GF162" s="59">
        <f t="shared" si="158"/>
        <v>273.35778700650803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64.390594999060283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64.390594999060283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-5.1159076974727213E-13</v>
      </c>
      <c r="O163" s="13">
        <f>N163*VLOOKUP('Données projet'!$B$9,Paramètres!$A$1:$I$89,3,0)*VLOOKUP('Données projet'!$B$9,Paramètres!$A$1:$I$89,5,0)</f>
        <v>-4.6288732846733184E-13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408.51124670343137</v>
      </c>
      <c r="T163" s="59">
        <f t="shared" si="142"/>
        <v>250.47702091764884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56.329541737227586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56.329541737227586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-2.8421709430404007E-13</v>
      </c>
      <c r="AJ163" s="13">
        <f>AI163*VLOOKUP('Données projet'!$B$10,Paramètres!$A$1:$I$89,3,0)*VLOOKUP('Données projet'!$B$10,Paramètres!$A$1:$I$89,5,0)</f>
        <v>-2.2612312022829427E-13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327.22763817565902</v>
      </c>
      <c r="AO163" s="59">
        <f t="shared" si="144"/>
        <v>311.68541696405975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21.311399884698098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21.311399884698098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2.8421709430404007E-14</v>
      </c>
      <c r="BE163" s="13">
        <f>BD163*VLOOKUP('Données projet'!$B$11,Paramètres!$A$1:$I$89,3,0)*VLOOKUP('Données projet'!$B$11,Paramètres!$A$1:$I$89,5,0)</f>
        <v>1.8178525351686402E-14</v>
      </c>
      <c r="BF163" s="13">
        <f t="shared" si="167"/>
        <v>3.3304129621647644E-13</v>
      </c>
      <c r="BG163" s="20">
        <f t="shared" si="168"/>
        <v>6.1170785589788349E-13</v>
      </c>
      <c r="BH163" s="59">
        <f t="shared" si="116"/>
        <v>287.75907759268898</v>
      </c>
      <c r="BI163" s="59">
        <f ca="1">AVERAGE(OFFSET($BH$3,0,0,'Données projet'!$E$11+1,1))-AVERAGE(OFFSET($H$3,0,0,'Données projet'!$E$11+1,1))</f>
        <v>169.46470423366029</v>
      </c>
      <c r="BJ163" s="59">
        <f t="shared" si="146"/>
        <v>230.78141128389288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4.6168012017587188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4.6168012017587188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-1.7053025658242404E-13</v>
      </c>
      <c r="BZ163" s="13">
        <f>BY163*VLOOKUP('Données projet'!$B$12,Paramètres!$A$1:$I$89,3,0)*VLOOKUP('Données projet'!$B$12,Paramètres!$A$1:$I$89,5,0)</f>
        <v>-1.4897523215040567E-13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342.79161436526499</v>
      </c>
      <c r="CE163" s="59">
        <f t="shared" si="148"/>
        <v>315.50730924873733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24.813638933100957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24.813638933100957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-5.6843418860808015E-14</v>
      </c>
      <c r="CU163" s="17">
        <f>CT163*VLOOKUP('Données projet'!$B$13,Paramètres!$A$1:$I$89,3,0)*VLOOKUP('Données projet'!$B$13,Paramètres!$A$1:$I$89,5,0)</f>
        <v>-3.813056537183002E-14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201.84651193684252</v>
      </c>
      <c r="CZ163" s="59">
        <f t="shared" si="150"/>
        <v>138.00705940844708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20.242925354005031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20.242925354005031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1.1368683772161603E-13</v>
      </c>
      <c r="DP163" s="17">
        <f>DO163*VLOOKUP('Données projet'!$B$14,Paramètres!$A$1:$I$89,3,0)*VLOOKUP('Données projet'!$B$14,Paramètres!$A$1:$I$89,5,0)</f>
        <v>8.3355189417488869E-14</v>
      </c>
      <c r="DQ163" s="13">
        <f t="shared" si="176"/>
        <v>1.2790518435140618E-12</v>
      </c>
      <c r="DR163" s="20">
        <f t="shared" si="177"/>
        <v>2.3728589156891171E-12</v>
      </c>
      <c r="DS163" s="59">
        <f t="shared" si="125"/>
        <v>287.75907759269074</v>
      </c>
      <c r="DT163" s="59">
        <f ca="1">AVERAGE(OFFSET($DS$3,0,0,'Données projet'!$E$14+1,1))-AVERAGE(OFFSET($H$3,0,0,'Données projet'!$E$14+1,1))</f>
        <v>242.21240859696931</v>
      </c>
      <c r="DU163" s="59">
        <f t="shared" si="152"/>
        <v>340.92165104349192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8.7006727733118083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8.7006727733118083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-5.6843418860808015E-14</v>
      </c>
      <c r="EK163" s="17">
        <f>EJ163*VLOOKUP('Données projet'!$B$15,Paramètres!$A$1:$I$89,3,0)*VLOOKUP('Données projet'!$B$15,Paramètres!$A$1:$I$89,5,0)</f>
        <v>-5.4978954722173515E-14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331.7059599630698</v>
      </c>
      <c r="EP163" s="59">
        <f t="shared" si="154"/>
        <v>173.19148969173838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41.326006423293101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41.326006423293101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-5.6843418860808015E-14</v>
      </c>
      <c r="FF163" s="17">
        <f>FE163*VLOOKUP('Données projet'!$B$16,Paramètres!$A$1:$I$89,3,0)*VLOOKUP('Données projet'!$B$16,Paramètres!$A$1:$I$89,5,0)</f>
        <v>-6.1186256061773749E-14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360.86062459677004</v>
      </c>
      <c r="FK163" s="59">
        <f t="shared" si="156"/>
        <v>186.0840067781198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49.598805239033581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49.598805239033581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-5.1159076974727213E-13</v>
      </c>
      <c r="GA163" s="17">
        <f>FZ163*VLOOKUP('Données projet'!$B$17,Paramètres!$A$1:$I$89,3,0)*VLOOKUP('Données projet'!$B$17,Paramètres!$A$1:$I$89,5,0)</f>
        <v>-5.1875304052373401E-13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448.73339628506784</v>
      </c>
      <c r="GF163" s="59">
        <f t="shared" si="158"/>
        <v>273.35778700650803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63.127934705513638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63.127934705513638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-5.1159076974727213E-13</v>
      </c>
      <c r="O164" s="13">
        <f>N164*VLOOKUP('Données projet'!$B$9,Paramètres!$A$1:$I$89,3,0)*VLOOKUP('Données projet'!$B$9,Paramètres!$A$1:$I$89,5,0)</f>
        <v>-4.6288732846733184E-13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408.51124670343137</v>
      </c>
      <c r="T164" s="59">
        <f t="shared" si="142"/>
        <v>250.47702091764884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55.224953781388479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55.224953781388479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-2.8421709430404007E-13</v>
      </c>
      <c r="AJ164" s="13">
        <f>AI164*VLOOKUP('Données projet'!$B$10,Paramètres!$A$1:$I$89,3,0)*VLOOKUP('Données projet'!$B$10,Paramètres!$A$1:$I$89,5,0)</f>
        <v>-2.2612312022829427E-13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327.22763817565902</v>
      </c>
      <c r="AO164" s="59">
        <f t="shared" si="144"/>
        <v>311.68541696405975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20.893496331629585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20.893496331629585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2.8421709430404007E-14</v>
      </c>
      <c r="BE164" s="13">
        <f>BD164*VLOOKUP('Données projet'!$B$11,Paramètres!$A$1:$I$89,3,0)*VLOOKUP('Données projet'!$B$11,Paramètres!$A$1:$I$89,5,0)</f>
        <v>1.8178525351686402E-14</v>
      </c>
      <c r="BF164" s="13">
        <f t="shared" si="167"/>
        <v>3.3304129621647644E-13</v>
      </c>
      <c r="BG164" s="20">
        <f t="shared" si="168"/>
        <v>6.1170785589788349E-13</v>
      </c>
      <c r="BH164" s="59">
        <f t="shared" si="116"/>
        <v>287.85577846762033</v>
      </c>
      <c r="BI164" s="59">
        <f ca="1">AVERAGE(OFFSET($BH$3,0,0,'Données projet'!$E$11+1,1))-AVERAGE(OFFSET($H$3,0,0,'Données projet'!$E$11+1,1))</f>
        <v>169.46470423366029</v>
      </c>
      <c r="BJ164" s="59">
        <f t="shared" si="146"/>
        <v>230.78141128389288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4.5262685461629095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4.5262685461629095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-1.7053025658242404E-13</v>
      </c>
      <c r="BZ164" s="13">
        <f>BY164*VLOOKUP('Données projet'!$B$12,Paramètres!$A$1:$I$89,3,0)*VLOOKUP('Données projet'!$B$12,Paramètres!$A$1:$I$89,5,0)</f>
        <v>-1.4897523215040567E-13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342.79161436526499</v>
      </c>
      <c r="CE164" s="59">
        <f t="shared" si="148"/>
        <v>315.50730924873733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24.327058608448159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24.327058608448159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-5.6843418860808015E-14</v>
      </c>
      <c r="CU164" s="17">
        <f>CT164*VLOOKUP('Données projet'!$B$13,Paramètres!$A$1:$I$89,3,0)*VLOOKUP('Données projet'!$B$13,Paramètres!$A$1:$I$89,5,0)</f>
        <v>-3.813056537183002E-14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201.84651193684252</v>
      </c>
      <c r="CZ164" s="59">
        <f t="shared" si="150"/>
        <v>138.00705940844708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19.845973934778296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19.845973934778296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1.1368683772161603E-13</v>
      </c>
      <c r="DP164" s="17">
        <f>DO164*VLOOKUP('Données projet'!$B$14,Paramètres!$A$1:$I$89,3,0)*VLOOKUP('Données projet'!$B$14,Paramètres!$A$1:$I$89,5,0)</f>
        <v>8.3355189417488869E-14</v>
      </c>
      <c r="DQ164" s="13">
        <f t="shared" si="176"/>
        <v>1.2790518435140618E-12</v>
      </c>
      <c r="DR164" s="20">
        <f t="shared" si="177"/>
        <v>2.3728589156891171E-12</v>
      </c>
      <c r="DS164" s="59">
        <f t="shared" si="125"/>
        <v>287.85577846762209</v>
      </c>
      <c r="DT164" s="59">
        <f ca="1">AVERAGE(OFFSET($DS$3,0,0,'Données projet'!$E$14+1,1))-AVERAGE(OFFSET($H$3,0,0,'Données projet'!$E$14+1,1))</f>
        <v>242.21240859696931</v>
      </c>
      <c r="DU164" s="59">
        <f t="shared" si="152"/>
        <v>340.92165104349192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8.5300578871135446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8.5300578871135446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-5.6843418860808015E-14</v>
      </c>
      <c r="EK164" s="17">
        <f>EJ164*VLOOKUP('Données projet'!$B$15,Paramètres!$A$1:$I$89,3,0)*VLOOKUP('Données projet'!$B$15,Paramètres!$A$1:$I$89,5,0)</f>
        <v>-5.4978954722173515E-14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331.7059599630698</v>
      </c>
      <c r="EP164" s="59">
        <f t="shared" si="154"/>
        <v>173.19148969173838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40.515628643707316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40.515628643707316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-5.6843418860808015E-14</v>
      </c>
      <c r="FF164" s="17">
        <f>FE164*VLOOKUP('Données projet'!$B$16,Paramètres!$A$1:$I$89,3,0)*VLOOKUP('Données projet'!$B$16,Paramètres!$A$1:$I$89,5,0)</f>
        <v>-6.1186256061773749E-14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360.86062459677004</v>
      </c>
      <c r="FK164" s="59">
        <f t="shared" si="156"/>
        <v>186.0840067781198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48.626202920580162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48.626202920580162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-5.1159076974727213E-13</v>
      </c>
      <c r="GA164" s="17">
        <f>FZ164*VLOOKUP('Données projet'!$B$17,Paramètres!$A$1:$I$89,3,0)*VLOOKUP('Données projet'!$B$17,Paramètres!$A$1:$I$89,5,0)</f>
        <v>-5.1875304052373401E-13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448.73339628506784</v>
      </c>
      <c r="GF164" s="59">
        <f t="shared" si="158"/>
        <v>273.35778700650803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61.89003441017671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61.89003441017671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-5.1159076974727213E-13</v>
      </c>
      <c r="O165" s="13">
        <f>N165*VLOOKUP('Données projet'!$B$9,Paramètres!$A$1:$I$89,3,0)*VLOOKUP('Données projet'!$B$9,Paramètres!$A$1:$I$89,5,0)</f>
        <v>-4.6288732846733184E-13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408.51124670343137</v>
      </c>
      <c r="T165" s="59">
        <f t="shared" si="142"/>
        <v>250.47702091764884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54.142026121631247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54.142026121631247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-2.8421709430404007E-13</v>
      </c>
      <c r="AJ165" s="13">
        <f>AI165*VLOOKUP('Données projet'!$B$10,Paramètres!$A$1:$I$89,3,0)*VLOOKUP('Données projet'!$B$10,Paramètres!$A$1:$I$89,5,0)</f>
        <v>-2.2612312022829427E-13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327.22763817565902</v>
      </c>
      <c r="AO165" s="59">
        <f t="shared" si="144"/>
        <v>311.68541696405975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20.483787612340748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20.483787612340748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2.8421709430404007E-14</v>
      </c>
      <c r="BE165" s="13">
        <f>BD165*VLOOKUP('Données projet'!$B$11,Paramètres!$A$1:$I$89,3,0)*VLOOKUP('Données projet'!$B$11,Paramètres!$A$1:$I$89,5,0)</f>
        <v>1.8178525351686402E-14</v>
      </c>
      <c r="BF165" s="13">
        <f t="shared" si="167"/>
        <v>3.3304129621647644E-13</v>
      </c>
      <c r="BG165" s="20">
        <f t="shared" si="168"/>
        <v>6.1170785589788349E-13</v>
      </c>
      <c r="BH165" s="59">
        <f t="shared" si="116"/>
        <v>287.95080179856234</v>
      </c>
      <c r="BI165" s="59">
        <f ca="1">AVERAGE(OFFSET($BH$3,0,0,'Données projet'!$E$11+1,1))-AVERAGE(OFFSET($H$3,0,0,'Données projet'!$E$11+1,1))</f>
        <v>169.46470423366029</v>
      </c>
      <c r="BJ165" s="59">
        <f t="shared" si="146"/>
        <v>230.78141128389288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4.4375111807238667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4.4375111807238667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-1.7053025658242404E-13</v>
      </c>
      <c r="BZ165" s="13">
        <f>BY165*VLOOKUP('Données projet'!$B$12,Paramètres!$A$1:$I$89,3,0)*VLOOKUP('Données projet'!$B$12,Paramètres!$A$1:$I$89,5,0)</f>
        <v>-1.4897523215040567E-13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342.79161436526499</v>
      </c>
      <c r="CE165" s="59">
        <f t="shared" si="148"/>
        <v>315.50730924873733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23.850019827177107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23.850019827177107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-5.6843418860808015E-14</v>
      </c>
      <c r="CU165" s="17">
        <f>CT165*VLOOKUP('Données projet'!$B$13,Paramètres!$A$1:$I$89,3,0)*VLOOKUP('Données projet'!$B$13,Paramètres!$A$1:$I$89,5,0)</f>
        <v>-3.813056537183002E-14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201.84651193684252</v>
      </c>
      <c r="CZ165" s="59">
        <f t="shared" si="150"/>
        <v>138.00705940844708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19.456806490766141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19.456806490766141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1.1368683772161603E-13</v>
      </c>
      <c r="DP165" s="17">
        <f>DO165*VLOOKUP('Données projet'!$B$14,Paramètres!$A$1:$I$89,3,0)*VLOOKUP('Données projet'!$B$14,Paramètres!$A$1:$I$89,5,0)</f>
        <v>8.3355189417488869E-14</v>
      </c>
      <c r="DQ165" s="13">
        <f t="shared" si="176"/>
        <v>1.2790518435140618E-12</v>
      </c>
      <c r="DR165" s="20">
        <f t="shared" si="177"/>
        <v>2.3728589156891171E-12</v>
      </c>
      <c r="DS165" s="59">
        <f t="shared" si="125"/>
        <v>287.9508017985641</v>
      </c>
      <c r="DT165" s="59">
        <f ca="1">AVERAGE(OFFSET($DS$3,0,0,'Données projet'!$E$14+1,1))-AVERAGE(OFFSET($H$3,0,0,'Données projet'!$E$14+1,1))</f>
        <v>242.21240859696931</v>
      </c>
      <c r="DU165" s="59">
        <f t="shared" si="152"/>
        <v>340.92165104349192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8.3627886547688224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8.3627886547688224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-5.6843418860808015E-14</v>
      </c>
      <c r="EK165" s="17">
        <f>EJ165*VLOOKUP('Données projet'!$B$15,Paramètres!$A$1:$I$89,3,0)*VLOOKUP('Données projet'!$B$15,Paramètres!$A$1:$I$89,5,0)</f>
        <v>-5.4978954722173515E-14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331.7059599630698</v>
      </c>
      <c r="EP165" s="59">
        <f t="shared" si="154"/>
        <v>173.19148969173838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39.721141878097569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39.721141878097569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-5.6843418860808015E-14</v>
      </c>
      <c r="FF165" s="17">
        <f>FE165*VLOOKUP('Données projet'!$B$16,Paramètres!$A$1:$I$89,3,0)*VLOOKUP('Données projet'!$B$16,Paramètres!$A$1:$I$89,5,0)</f>
        <v>-6.1186256061773749E-14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360.86062459677004</v>
      </c>
      <c r="FK165" s="59">
        <f t="shared" si="156"/>
        <v>186.0840067781198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47.672672740362778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47.672672740362778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-5.1159076974727213E-13</v>
      </c>
      <c r="GA165" s="17">
        <f>FZ165*VLOOKUP('Données projet'!$B$17,Paramètres!$A$1:$I$89,3,0)*VLOOKUP('Données projet'!$B$17,Paramètres!$A$1:$I$89,5,0)</f>
        <v>-5.1875304052373401E-13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448.73339628506784</v>
      </c>
      <c r="GF165" s="59">
        <f t="shared" si="158"/>
        <v>273.35778700650803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60.67640858458671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60.67640858458671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-5.1159076974727213E-13</v>
      </c>
      <c r="O166" s="13">
        <f>N166*VLOOKUP('Données projet'!$B$9,Paramètres!$A$1:$I$89,3,0)*VLOOKUP('Données projet'!$B$9,Paramètres!$A$1:$I$89,5,0)</f>
        <v>-4.6288732846733184E-13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408.51124670343137</v>
      </c>
      <c r="T166" s="59">
        <f t="shared" si="142"/>
        <v>250.47702091764884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53.080334012761206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53.080334012761206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-2.8421709430404007E-13</v>
      </c>
      <c r="AJ166" s="13">
        <f>AI166*VLOOKUP('Données projet'!$B$10,Paramètres!$A$1:$I$89,3,0)*VLOOKUP('Données projet'!$B$10,Paramètres!$A$1:$I$89,5,0)</f>
        <v>-2.2612312022829427E-13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327.22763817565902</v>
      </c>
      <c r="AO166" s="59">
        <f t="shared" si="144"/>
        <v>311.68541696405975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20.082113031139521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20.082113031139521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2.8421709430404007E-14</v>
      </c>
      <c r="BE166" s="13">
        <f>BD166*VLOOKUP('Données projet'!$B$11,Paramètres!$A$1:$I$89,3,0)*VLOOKUP('Données projet'!$B$11,Paramètres!$A$1:$I$89,5,0)</f>
        <v>1.8178525351686402E-14</v>
      </c>
      <c r="BF166" s="13">
        <f t="shared" si="167"/>
        <v>3.3304129621647644E-13</v>
      </c>
      <c r="BG166" s="20">
        <f t="shared" si="168"/>
        <v>6.1170785589788349E-13</v>
      </c>
      <c r="BH166" s="59">
        <f t="shared" si="116"/>
        <v>288.04417668715286</v>
      </c>
      <c r="BI166" s="59">
        <f ca="1">AVERAGE(OFFSET($BH$3,0,0,'Données projet'!$E$11+1,1))-AVERAGE(OFFSET($H$3,0,0,'Données projet'!$E$11+1,1))</f>
        <v>169.46470423366029</v>
      </c>
      <c r="BJ166" s="59">
        <f t="shared" si="146"/>
        <v>230.78141128389288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4.3504942930844361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4.3504942930844361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-1.7053025658242404E-13</v>
      </c>
      <c r="BZ166" s="13">
        <f>BY166*VLOOKUP('Données projet'!$B$12,Paramètres!$A$1:$I$89,3,0)*VLOOKUP('Données projet'!$B$12,Paramètres!$A$1:$I$89,5,0)</f>
        <v>-1.4897523215040567E-13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342.79161436526499</v>
      </c>
      <c r="CE166" s="59">
        <f t="shared" si="148"/>
        <v>315.50730924873733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23.382335485441853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23.382335485441853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-5.6843418860808015E-14</v>
      </c>
      <c r="CU166" s="17">
        <f>CT166*VLOOKUP('Données projet'!$B$13,Paramètres!$A$1:$I$89,3,0)*VLOOKUP('Données projet'!$B$13,Paramètres!$A$1:$I$89,5,0)</f>
        <v>-3.813056537183002E-14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201.84651193684252</v>
      </c>
      <c r="CZ166" s="59">
        <f t="shared" si="150"/>
        <v>138.00705940844708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19.075270382962358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19.075270382962358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1.1368683772161603E-13</v>
      </c>
      <c r="DP166" s="17">
        <f>DO166*VLOOKUP('Données projet'!$B$14,Paramètres!$A$1:$I$89,3,0)*VLOOKUP('Données projet'!$B$14,Paramètres!$A$1:$I$89,5,0)</f>
        <v>8.3355189417488869E-14</v>
      </c>
      <c r="DQ166" s="13">
        <f t="shared" si="176"/>
        <v>1.2790518435140618E-12</v>
      </c>
      <c r="DR166" s="20">
        <f t="shared" si="177"/>
        <v>2.3728589156891171E-12</v>
      </c>
      <c r="DS166" s="59">
        <f t="shared" si="125"/>
        <v>288.04417668715462</v>
      </c>
      <c r="DT166" s="59">
        <f ca="1">AVERAGE(OFFSET($DS$3,0,0,'Données projet'!$E$14+1,1))-AVERAGE(OFFSET($H$3,0,0,'Données projet'!$E$14+1,1))</f>
        <v>242.21240859696931</v>
      </c>
      <c r="DU166" s="59">
        <f t="shared" si="152"/>
        <v>340.92165104349192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8.1987994700462234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8.1987994700462234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-5.6843418860808015E-14</v>
      </c>
      <c r="EK166" s="17">
        <f>EJ166*VLOOKUP('Données projet'!$B$15,Paramètres!$A$1:$I$89,3,0)*VLOOKUP('Données projet'!$B$15,Paramètres!$A$1:$I$89,5,0)</f>
        <v>-5.4978954722173515E-14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331.7059599630698</v>
      </c>
      <c r="EP166" s="59">
        <f t="shared" si="154"/>
        <v>173.19148969173838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38.942234513372355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38.942234513372355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-5.6843418860808015E-14</v>
      </c>
      <c r="FF166" s="17">
        <f>FE166*VLOOKUP('Données projet'!$B$16,Paramètres!$A$1:$I$89,3,0)*VLOOKUP('Données projet'!$B$16,Paramètres!$A$1:$I$89,5,0)</f>
        <v>-6.1186256061773749E-14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360.86062459677004</v>
      </c>
      <c r="FK166" s="59">
        <f t="shared" si="156"/>
        <v>186.0840067781198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46.737840705383476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46.737840705383476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-5.1159076974727213E-13</v>
      </c>
      <c r="GA166" s="17">
        <f>FZ166*VLOOKUP('Données projet'!$B$17,Paramètres!$A$1:$I$89,3,0)*VLOOKUP('Données projet'!$B$17,Paramètres!$A$1:$I$89,5,0)</f>
        <v>-5.1875304052373401E-13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448.73339628506784</v>
      </c>
      <c r="GF166" s="59">
        <f t="shared" si="158"/>
        <v>273.35778700650803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59.486581221197874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59.486581221197874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-5.1159076974727213E-13</v>
      </c>
      <c r="O167" s="13">
        <f>N167*VLOOKUP('Données projet'!$B$9,Paramètres!$A$1:$I$89,3,0)*VLOOKUP('Données projet'!$B$9,Paramètres!$A$1:$I$89,5,0)</f>
        <v>-4.6288732846733184E-13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408.51124670343137</v>
      </c>
      <c r="T167" s="59">
        <f t="shared" si="142"/>
        <v>250.47702091764884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52.039461038577862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52.039461038577862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-2.8421709430404007E-13</v>
      </c>
      <c r="AJ167" s="13">
        <f>AI167*VLOOKUP('Données projet'!$B$10,Paramètres!$A$1:$I$89,3,0)*VLOOKUP('Données projet'!$B$10,Paramètres!$A$1:$I$89,5,0)</f>
        <v>-2.2612312022829427E-13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327.22763817565902</v>
      </c>
      <c r="AO167" s="59">
        <f t="shared" si="144"/>
        <v>311.68541696405975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19.688315043478347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19.688315043478347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2.8421709430404007E-14</v>
      </c>
      <c r="BE167" s="13">
        <f>BD167*VLOOKUP('Données projet'!$B$11,Paramètres!$A$1:$I$89,3,0)*VLOOKUP('Données projet'!$B$11,Paramètres!$A$1:$I$89,5,0)</f>
        <v>1.8178525351686402E-14</v>
      </c>
      <c r="BF167" s="13">
        <f t="shared" si="167"/>
        <v>3.3304129621647644E-13</v>
      </c>
      <c r="BG167" s="20">
        <f t="shared" si="168"/>
        <v>6.1170785589788349E-13</v>
      </c>
      <c r="BH167" s="59">
        <f t="shared" si="116"/>
        <v>288.13593173018131</v>
      </c>
      <c r="BI167" s="59">
        <f ca="1">AVERAGE(OFFSET($BH$3,0,0,'Données projet'!$E$11+1,1))-AVERAGE(OFFSET($H$3,0,0,'Données projet'!$E$11+1,1))</f>
        <v>169.46470423366029</v>
      </c>
      <c r="BJ167" s="59">
        <f t="shared" si="146"/>
        <v>230.78141128389288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4.2651837535365535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4.2651837535365535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-1.7053025658242404E-13</v>
      </c>
      <c r="BZ167" s="13">
        <f>BY167*VLOOKUP('Données projet'!$B$12,Paramètres!$A$1:$I$89,3,0)*VLOOKUP('Données projet'!$B$12,Paramètres!$A$1:$I$89,5,0)</f>
        <v>-1.4897523215040567E-13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342.79161436526499</v>
      </c>
      <c r="CE167" s="59">
        <f t="shared" si="148"/>
        <v>315.50730924873733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22.923822148388748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22.923822148388748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-5.6843418860808015E-14</v>
      </c>
      <c r="CU167" s="17">
        <f>CT167*VLOOKUP('Données projet'!$B$13,Paramètres!$A$1:$I$89,3,0)*VLOOKUP('Données projet'!$B$13,Paramètres!$A$1:$I$89,5,0)</f>
        <v>-3.813056537183002E-14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201.84651193684252</v>
      </c>
      <c r="CZ167" s="59">
        <f t="shared" si="150"/>
        <v>138.00705940844708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18.701215965518564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18.701215965518564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1.1368683772161603E-13</v>
      </c>
      <c r="DP167" s="17">
        <f>DO167*VLOOKUP('Données projet'!$B$14,Paramètres!$A$1:$I$89,3,0)*VLOOKUP('Données projet'!$B$14,Paramètres!$A$1:$I$89,5,0)</f>
        <v>8.3355189417488869E-14</v>
      </c>
      <c r="DQ167" s="13">
        <f t="shared" si="176"/>
        <v>1.2790518435140618E-12</v>
      </c>
      <c r="DR167" s="20">
        <f t="shared" si="177"/>
        <v>2.3728589156891171E-12</v>
      </c>
      <c r="DS167" s="59">
        <f t="shared" si="125"/>
        <v>288.13593173018307</v>
      </c>
      <c r="DT167" s="59">
        <f ca="1">AVERAGE(OFFSET($DS$3,0,0,'Données projet'!$E$14+1,1))-AVERAGE(OFFSET($H$3,0,0,'Données projet'!$E$14+1,1))</f>
        <v>242.21240859696931</v>
      </c>
      <c r="DU167" s="59">
        <f t="shared" si="152"/>
        <v>340.92165104349192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8.0380260132125088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8.0380260132125088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-5.6843418860808015E-14</v>
      </c>
      <c r="EK167" s="17">
        <f>EJ167*VLOOKUP('Données projet'!$B$15,Paramètres!$A$1:$I$89,3,0)*VLOOKUP('Données projet'!$B$15,Paramètres!$A$1:$I$89,5,0)</f>
        <v>-5.4978954722173515E-14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331.7059599630698</v>
      </c>
      <c r="EP167" s="59">
        <f t="shared" si="154"/>
        <v>173.19148969173838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38.17860104698282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38.17860104698282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-5.6843418860808015E-14</v>
      </c>
      <c r="FF167" s="17">
        <f>FE167*VLOOKUP('Données projet'!$B$16,Paramètres!$A$1:$I$89,3,0)*VLOOKUP('Données projet'!$B$16,Paramètres!$A$1:$I$89,5,0)</f>
        <v>-6.1186256061773749E-14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360.86062459677004</v>
      </c>
      <c r="FK167" s="59">
        <f t="shared" si="156"/>
        <v>186.0840067781198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45.821340156418877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45.821340156418877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-5.1159076974727213E-13</v>
      </c>
      <c r="GA167" s="17">
        <f>FZ167*VLOOKUP('Données projet'!$B$17,Paramètres!$A$1:$I$89,3,0)*VLOOKUP('Données projet'!$B$17,Paramètres!$A$1:$I$89,5,0)</f>
        <v>-5.1875304052373401E-13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448.73339628506784</v>
      </c>
      <c r="GF167" s="59">
        <f t="shared" si="158"/>
        <v>273.35778700650803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58.32008564668206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58.32008564668206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-5.1159076974727213E-13</v>
      </c>
      <c r="O168" s="13">
        <f>N168*VLOOKUP('Données projet'!$B$9,Paramètres!$A$1:$I$89,3,0)*VLOOKUP('Données projet'!$B$9,Paramètres!$A$1:$I$89,5,0)</f>
        <v>-4.6288732846733184E-13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408.51124670343137</v>
      </c>
      <c r="T168" s="59">
        <f t="shared" si="142"/>
        <v>250.47702091764884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51.018998948548429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51.018998948548429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-2.8421709430404007E-13</v>
      </c>
      <c r="AJ168" s="13">
        <f>AI168*VLOOKUP('Données projet'!$B$10,Paramètres!$A$1:$I$89,3,0)*VLOOKUP('Données projet'!$B$10,Paramètres!$A$1:$I$89,5,0)</f>
        <v>-2.2612312022829427E-13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327.22763817565902</v>
      </c>
      <c r="AO168" s="59">
        <f t="shared" si="144"/>
        <v>311.68541696405975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19.302239194162155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19.302239194162155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2.8421709430404007E-14</v>
      </c>
      <c r="BE168" s="13">
        <f>BD168*VLOOKUP('Données projet'!$B$11,Paramètres!$A$1:$I$89,3,0)*VLOOKUP('Données projet'!$B$11,Paramètres!$A$1:$I$89,5,0)</f>
        <v>1.8178525351686402E-14</v>
      </c>
      <c r="BF168" s="13">
        <f t="shared" si="167"/>
        <v>3.3304129621647644E-13</v>
      </c>
      <c r="BG168" s="20">
        <f t="shared" si="168"/>
        <v>6.1170785589788349E-13</v>
      </c>
      <c r="BH168" s="59">
        <f t="shared" si="116"/>
        <v>288.22609502834678</v>
      </c>
      <c r="BI168" s="59">
        <f ca="1">AVERAGE(OFFSET($BH$3,0,0,'Données projet'!$E$11+1,1))-AVERAGE(OFFSET($H$3,0,0,'Données projet'!$E$11+1,1))</f>
        <v>169.46470423366029</v>
      </c>
      <c r="BJ168" s="59">
        <f t="shared" si="146"/>
        <v>230.78141128389288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4.1815461016349138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4.1815461016349138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-1.7053025658242404E-13</v>
      </c>
      <c r="BZ168" s="13">
        <f>BY168*VLOOKUP('Données projet'!$B$12,Paramètres!$A$1:$I$89,3,0)*VLOOKUP('Données projet'!$B$12,Paramètres!$A$1:$I$89,5,0)</f>
        <v>-1.4897523215040567E-13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342.79161436526499</v>
      </c>
      <c r="CE168" s="59">
        <f t="shared" si="148"/>
        <v>315.50730924873733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22.474299978209732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22.474299978209732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-5.6843418860808015E-14</v>
      </c>
      <c r="CU168" s="17">
        <f>CT168*VLOOKUP('Données projet'!$B$13,Paramètres!$A$1:$I$89,3,0)*VLOOKUP('Données projet'!$B$13,Paramètres!$A$1:$I$89,5,0)</f>
        <v>-3.813056537183002E-14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201.84651193684252</v>
      </c>
      <c r="CZ168" s="59">
        <f t="shared" si="150"/>
        <v>138.00705940844708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18.334496527050174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18.334496527050174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1.1368683772161603E-13</v>
      </c>
      <c r="DP168" s="17">
        <f>DO168*VLOOKUP('Données projet'!$B$14,Paramètres!$A$1:$I$89,3,0)*VLOOKUP('Données projet'!$B$14,Paramètres!$A$1:$I$89,5,0)</f>
        <v>8.3355189417488869E-14</v>
      </c>
      <c r="DQ168" s="13">
        <f t="shared" si="176"/>
        <v>1.2790518435140618E-12</v>
      </c>
      <c r="DR168" s="20">
        <f t="shared" si="177"/>
        <v>2.3728589156891171E-12</v>
      </c>
      <c r="DS168" s="59">
        <f t="shared" si="125"/>
        <v>288.22609502834854</v>
      </c>
      <c r="DT168" s="59">
        <f ca="1">AVERAGE(OFFSET($DS$3,0,0,'Données projet'!$E$14+1,1))-AVERAGE(OFFSET($H$3,0,0,'Données projet'!$E$14+1,1))</f>
        <v>242.21240859696931</v>
      </c>
      <c r="DU168" s="59">
        <f t="shared" si="152"/>
        <v>340.92165104349192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7.8804052258051769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7.8804052258051769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-5.6843418860808015E-14</v>
      </c>
      <c r="EK168" s="17">
        <f>EJ168*VLOOKUP('Données projet'!$B$15,Paramètres!$A$1:$I$89,3,0)*VLOOKUP('Données projet'!$B$15,Paramètres!$A$1:$I$89,5,0)</f>
        <v>-5.4978954722173515E-14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331.7059599630698</v>
      </c>
      <c r="EP168" s="59">
        <f t="shared" si="154"/>
        <v>173.19148969173838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37.429941967098763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37.429941967098763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-5.6843418860808015E-14</v>
      </c>
      <c r="FF168" s="17">
        <f>FE168*VLOOKUP('Données projet'!$B$16,Paramètres!$A$1:$I$89,3,0)*VLOOKUP('Données projet'!$B$16,Paramètres!$A$1:$I$89,5,0)</f>
        <v>-6.1186256061773749E-14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360.86062459677004</v>
      </c>
      <c r="FK168" s="59">
        <f t="shared" si="156"/>
        <v>186.0840067781198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44.922811624209338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44.922811624209338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-5.1159076974727213E-13</v>
      </c>
      <c r="GA168" s="17">
        <f>FZ168*VLOOKUP('Données projet'!$B$17,Paramètres!$A$1:$I$89,3,0)*VLOOKUP('Données projet'!$B$17,Paramètres!$A$1:$I$89,5,0)</f>
        <v>-5.1875304052373401E-13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448.73339628506784</v>
      </c>
      <c r="GF168" s="59">
        <f t="shared" si="158"/>
        <v>273.35778700650803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57.176464338890455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57.176464338890455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-5.1159076974727213E-13</v>
      </c>
      <c r="O169" s="13">
        <f>N169*VLOOKUP('Données projet'!$B$9,Paramètres!$A$1:$I$89,3,0)*VLOOKUP('Données projet'!$B$9,Paramètres!$A$1:$I$89,5,0)</f>
        <v>-4.6288732846733184E-13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408.51124670343137</v>
      </c>
      <c r="T169" s="59">
        <f t="shared" si="142"/>
        <v>250.47702091764884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50.018547497684054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50.018547497684054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-2.8421709430404007E-13</v>
      </c>
      <c r="AJ169" s="13">
        <f>AI169*VLOOKUP('Données projet'!$B$10,Paramètres!$A$1:$I$89,3,0)*VLOOKUP('Données projet'!$B$10,Paramètres!$A$1:$I$89,5,0)</f>
        <v>-2.2612312022829427E-13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327.22763817565902</v>
      </c>
      <c r="AO169" s="59">
        <f t="shared" si="144"/>
        <v>311.68541696405975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18.923734056768037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18.923734056768037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2.8421709430404007E-14</v>
      </c>
      <c r="BE169" s="13">
        <f>BD169*VLOOKUP('Données projet'!$B$11,Paramètres!$A$1:$I$89,3,0)*VLOOKUP('Données projet'!$B$11,Paramètres!$A$1:$I$89,5,0)</f>
        <v>1.8178525351686402E-14</v>
      </c>
      <c r="BF169" s="13">
        <f t="shared" si="167"/>
        <v>3.3304129621647644E-13</v>
      </c>
      <c r="BG169" s="20">
        <f t="shared" si="168"/>
        <v>6.1170785589788349E-13</v>
      </c>
      <c r="BH169" s="59">
        <f t="shared" si="116"/>
        <v>288.31469419486405</v>
      </c>
      <c r="BI169" s="59">
        <f ca="1">AVERAGE(OFFSET($BH$3,0,0,'Données projet'!$E$11+1,1))-AVERAGE(OFFSET($H$3,0,0,'Données projet'!$E$11+1,1))</f>
        <v>169.46470423366029</v>
      </c>
      <c r="BJ169" s="59">
        <f t="shared" si="146"/>
        <v>230.78141128389288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4.0995485330731354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4.0995485330731354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-1.7053025658242404E-13</v>
      </c>
      <c r="BZ169" s="13">
        <f>BY169*VLOOKUP('Données projet'!$B$12,Paramètres!$A$1:$I$89,3,0)*VLOOKUP('Données projet'!$B$12,Paramètres!$A$1:$I$89,5,0)</f>
        <v>-1.4897523215040567E-13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342.79161436526499</v>
      </c>
      <c r="CE169" s="59">
        <f t="shared" si="148"/>
        <v>315.50730924873733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22.033592663606477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22.033592663606477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-5.6843418860808015E-14</v>
      </c>
      <c r="CU169" s="17">
        <f>CT169*VLOOKUP('Données projet'!$B$13,Paramètres!$A$1:$I$89,3,0)*VLOOKUP('Données projet'!$B$13,Paramètres!$A$1:$I$89,5,0)</f>
        <v>-3.813056537183002E-14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201.84651193684252</v>
      </c>
      <c r="CZ169" s="59">
        <f t="shared" si="150"/>
        <v>138.00705940844708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17.974968233093378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17.974968233093378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1.1368683772161603E-13</v>
      </c>
      <c r="DP169" s="17">
        <f>DO169*VLOOKUP('Données projet'!$B$14,Paramètres!$A$1:$I$89,3,0)*VLOOKUP('Données projet'!$B$14,Paramètres!$A$1:$I$89,5,0)</f>
        <v>8.3355189417488869E-14</v>
      </c>
      <c r="DQ169" s="13">
        <f t="shared" si="176"/>
        <v>1.2790518435140618E-12</v>
      </c>
      <c r="DR169" s="20">
        <f t="shared" si="177"/>
        <v>2.3728589156891171E-12</v>
      </c>
      <c r="DS169" s="59">
        <f t="shared" si="125"/>
        <v>288.31469419486581</v>
      </c>
      <c r="DT169" s="59">
        <f ca="1">AVERAGE(OFFSET($DS$3,0,0,'Données projet'!$E$14+1,1))-AVERAGE(OFFSET($H$3,0,0,'Données projet'!$E$14+1,1))</f>
        <v>242.21240859696931</v>
      </c>
      <c r="DU169" s="59">
        <f t="shared" si="152"/>
        <v>340.92165104349192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7.7258752858997157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7.7258752858997157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-5.6843418860808015E-14</v>
      </c>
      <c r="EK169" s="17">
        <f>EJ169*VLOOKUP('Données projet'!$B$15,Paramètres!$A$1:$I$89,3,0)*VLOOKUP('Données projet'!$B$15,Paramètres!$A$1:$I$89,5,0)</f>
        <v>-5.4978954722173515E-14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331.7059599630698</v>
      </c>
      <c r="EP169" s="59">
        <f t="shared" si="154"/>
        <v>173.19148969173838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36.695963635134277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36.695963635134277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-5.6843418860808015E-14</v>
      </c>
      <c r="FF169" s="17">
        <f>FE169*VLOOKUP('Données projet'!$B$16,Paramètres!$A$1:$I$89,3,0)*VLOOKUP('Données projet'!$B$16,Paramètres!$A$1:$I$89,5,0)</f>
        <v>-6.1186256061773749E-14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360.86062459677004</v>
      </c>
      <c r="FK169" s="59">
        <f t="shared" si="156"/>
        <v>186.0840067781198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44.041902688468134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44.041902688468134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-5.1159076974727213E-13</v>
      </c>
      <c r="GA169" s="17">
        <f>FZ169*VLOOKUP('Données projet'!$B$17,Paramètres!$A$1:$I$89,3,0)*VLOOKUP('Données projet'!$B$17,Paramètres!$A$1:$I$89,5,0)</f>
        <v>-5.1875304052373401E-13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448.73339628506784</v>
      </c>
      <c r="GF169" s="59">
        <f t="shared" si="158"/>
        <v>273.35778700650803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56.055268747404519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56.055268747404519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-5.1159076974727213E-13</v>
      </c>
      <c r="O170" s="13">
        <f>N170*VLOOKUP('Données projet'!$B$9,Paramètres!$A$1:$I$89,3,0)*VLOOKUP('Données projet'!$B$9,Paramètres!$A$1:$I$89,5,0)</f>
        <v>-4.6288732846733184E-13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408.51124670343137</v>
      </c>
      <c r="T170" s="59">
        <f t="shared" si="142"/>
        <v>250.47702091764884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49.037714289556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49.037714289556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-2.8421709430404007E-13</v>
      </c>
      <c r="AJ170" s="13">
        <f>AI170*VLOOKUP('Données projet'!$B$10,Paramètres!$A$1:$I$89,3,0)*VLOOKUP('Données projet'!$B$10,Paramètres!$A$1:$I$89,5,0)</f>
        <v>-2.2612312022829427E-13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327.22763817565902</v>
      </c>
      <c r="AO170" s="59">
        <f t="shared" si="144"/>
        <v>311.68541696405975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18.55265117425288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18.55265117425288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2.8421709430404007E-14</v>
      </c>
      <c r="BE170" s="13">
        <f>BD170*VLOOKUP('Données projet'!$B$11,Paramètres!$A$1:$I$89,3,0)*VLOOKUP('Données projet'!$B$11,Paramètres!$A$1:$I$89,5,0)</f>
        <v>1.8178525351686402E-14</v>
      </c>
      <c r="BF170" s="13">
        <f t="shared" si="167"/>
        <v>3.3304129621647644E-13</v>
      </c>
      <c r="BG170" s="20">
        <f t="shared" si="168"/>
        <v>6.1170785589788349E-13</v>
      </c>
      <c r="BH170" s="59">
        <f t="shared" si="116"/>
        <v>288.40175636392024</v>
      </c>
      <c r="BI170" s="59">
        <f ca="1">AVERAGE(OFFSET($BH$3,0,0,'Données projet'!$E$11+1,1))-AVERAGE(OFFSET($H$3,0,0,'Données projet'!$E$11+1,1))</f>
        <v>169.46470423366029</v>
      </c>
      <c r="BJ170" s="59">
        <f t="shared" si="146"/>
        <v>230.78141128389288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4.0191588868172747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4.0191588868172747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-1.7053025658242404E-13</v>
      </c>
      <c r="BZ170" s="13">
        <f>BY170*VLOOKUP('Données projet'!$B$12,Paramètres!$A$1:$I$89,3,0)*VLOOKUP('Données projet'!$B$12,Paramètres!$A$1:$I$89,5,0)</f>
        <v>-1.4897523215040567E-13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342.79161436526499</v>
      </c>
      <c r="CE170" s="59">
        <f t="shared" si="148"/>
        <v>315.50730924873733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21.601527350637671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21.601527350637671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-5.6843418860808015E-14</v>
      </c>
      <c r="CU170" s="17">
        <f>CT170*VLOOKUP('Données projet'!$B$13,Paramètres!$A$1:$I$89,3,0)*VLOOKUP('Données projet'!$B$13,Paramètres!$A$1:$I$89,5,0)</f>
        <v>-3.813056537183002E-14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201.84651193684252</v>
      </c>
      <c r="CZ170" s="59">
        <f t="shared" si="150"/>
        <v>138.00705940844708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17.622490069690468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17.622490069690468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1.1368683772161603E-13</v>
      </c>
      <c r="DP170" s="17">
        <f>DO170*VLOOKUP('Données projet'!$B$14,Paramètres!$A$1:$I$89,3,0)*VLOOKUP('Données projet'!$B$14,Paramètres!$A$1:$I$89,5,0)</f>
        <v>8.3355189417488869E-14</v>
      </c>
      <c r="DQ170" s="13">
        <f t="shared" si="176"/>
        <v>1.2790518435140618E-12</v>
      </c>
      <c r="DR170" s="20">
        <f t="shared" si="177"/>
        <v>2.3728589156891171E-12</v>
      </c>
      <c r="DS170" s="59">
        <f t="shared" si="125"/>
        <v>288.401756363922</v>
      </c>
      <c r="DT170" s="59">
        <f ca="1">AVERAGE(OFFSET($DS$3,0,0,'Données projet'!$E$14+1,1))-AVERAGE(OFFSET($H$3,0,0,'Données projet'!$E$14+1,1))</f>
        <v>242.21240859696931</v>
      </c>
      <c r="DU170" s="59">
        <f t="shared" si="152"/>
        <v>340.92165104349192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7.5743755838618441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7.5743755838618441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-5.6843418860808015E-14</v>
      </c>
      <c r="EK170" s="17">
        <f>EJ170*VLOOKUP('Données projet'!$B$15,Paramètres!$A$1:$I$89,3,0)*VLOOKUP('Données projet'!$B$15,Paramètres!$A$1:$I$89,5,0)</f>
        <v>-5.4978954722173515E-14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331.7059599630698</v>
      </c>
      <c r="EP170" s="59">
        <f t="shared" si="154"/>
        <v>173.19148969173838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35.976378170577043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35.976378170577043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-5.6843418860808015E-14</v>
      </c>
      <c r="FF170" s="17">
        <f>FE170*VLOOKUP('Données projet'!$B$16,Paramètres!$A$1:$I$89,3,0)*VLOOKUP('Données projet'!$B$16,Paramètres!$A$1:$I$89,5,0)</f>
        <v>-6.1186256061773749E-14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360.86062459677004</v>
      </c>
      <c r="FK170" s="59">
        <f t="shared" si="156"/>
        <v>186.0840067781198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43.178267839655419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43.178267839655419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-5.1159076974727213E-13</v>
      </c>
      <c r="GA170" s="17">
        <f>FZ170*VLOOKUP('Données projet'!$B$17,Paramètres!$A$1:$I$89,3,0)*VLOOKUP('Données projet'!$B$17,Paramètres!$A$1:$I$89,5,0)</f>
        <v>-5.1875304052373401E-13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448.73339628506784</v>
      </c>
      <c r="GF170" s="59">
        <f t="shared" si="158"/>
        <v>273.35778700650803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54.95605911760584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54.95605911760584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-5.1159076974727213E-13</v>
      </c>
      <c r="O171" s="13">
        <f>N171*VLOOKUP('Données projet'!$B$9,Paramètres!$A$1:$I$89,3,0)*VLOOKUP('Données projet'!$B$9,Paramètres!$A$1:$I$89,5,0)</f>
        <v>-4.6288732846733184E-13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408.51124670343137</v>
      </c>
      <c r="T171" s="59">
        <f t="shared" si="142"/>
        <v>250.47702091764884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48.076114622390151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48.076114622390151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-2.8421709430404007E-13</v>
      </c>
      <c r="AJ171" s="13">
        <f>AI171*VLOOKUP('Données projet'!$B$10,Paramètres!$A$1:$I$89,3,0)*VLOOKUP('Données projet'!$B$10,Paramètres!$A$1:$I$89,5,0)</f>
        <v>-2.2612312022829427E-13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327.22763817565902</v>
      </c>
      <c r="AO171" s="59">
        <f t="shared" si="144"/>
        <v>311.68541696405975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18.188845000725635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18.188845000725635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2.8421709430404007E-14</v>
      </c>
      <c r="BE171" s="13">
        <f>BD171*VLOOKUP('Données projet'!$B$11,Paramètres!$A$1:$I$89,3,0)*VLOOKUP('Données projet'!$B$11,Paramètres!$A$1:$I$89,5,0)</f>
        <v>1.8178525351686402E-14</v>
      </c>
      <c r="BF171" s="13">
        <f t="shared" si="167"/>
        <v>3.3304129621647644E-13</v>
      </c>
      <c r="BG171" s="20">
        <f t="shared" si="168"/>
        <v>6.1170785589788349E-13</v>
      </c>
      <c r="BH171" s="59">
        <f t="shared" si="116"/>
        <v>288.48730819898515</v>
      </c>
      <c r="BI171" s="59">
        <f ca="1">AVERAGE(OFFSET($BH$3,0,0,'Données projet'!$E$11+1,1))-AVERAGE(OFFSET($H$3,0,0,'Données projet'!$E$11+1,1))</f>
        <v>169.46470423366029</v>
      </c>
      <c r="BJ171" s="59">
        <f t="shared" si="146"/>
        <v>230.78141128389288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3.940345632491649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3.940345632491649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-1.7053025658242404E-13</v>
      </c>
      <c r="BZ171" s="13">
        <f>BY171*VLOOKUP('Données projet'!$B$12,Paramètres!$A$1:$I$89,3,0)*VLOOKUP('Données projet'!$B$12,Paramètres!$A$1:$I$89,5,0)</f>
        <v>-1.4897523215040567E-13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342.79161436526499</v>
      </c>
      <c r="CE171" s="59">
        <f t="shared" si="148"/>
        <v>315.50730924873733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21.177934574922364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21.177934574922364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-5.6843418860808015E-14</v>
      </c>
      <c r="CU171" s="17">
        <f>CT171*VLOOKUP('Données projet'!$B$13,Paramètres!$A$1:$I$89,3,0)*VLOOKUP('Données projet'!$B$13,Paramètres!$A$1:$I$89,5,0)</f>
        <v>-3.813056537183002E-14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201.84651193684252</v>
      </c>
      <c r="CZ171" s="59">
        <f t="shared" si="150"/>
        <v>138.00705940844708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17.276923788081437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17.276923788081437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1.1368683772161603E-13</v>
      </c>
      <c r="DP171" s="17">
        <f>DO171*VLOOKUP('Données projet'!$B$14,Paramètres!$A$1:$I$89,3,0)*VLOOKUP('Données projet'!$B$14,Paramètres!$A$1:$I$89,5,0)</f>
        <v>8.3355189417488869E-14</v>
      </c>
      <c r="DQ171" s="13">
        <f t="shared" si="176"/>
        <v>1.2790518435140618E-12</v>
      </c>
      <c r="DR171" s="20">
        <f t="shared" si="177"/>
        <v>2.3728589156891171E-12</v>
      </c>
      <c r="DS171" s="59">
        <f t="shared" si="125"/>
        <v>288.48730819898691</v>
      </c>
      <c r="DT171" s="59">
        <f ca="1">AVERAGE(OFFSET($DS$3,0,0,'Données projet'!$E$14+1,1))-AVERAGE(OFFSET($H$3,0,0,'Données projet'!$E$14+1,1))</f>
        <v>242.21240859696931</v>
      </c>
      <c r="DU171" s="59">
        <f t="shared" si="152"/>
        <v>340.92165104349192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7.4258466985752412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7.4258466985752412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-5.6843418860808015E-14</v>
      </c>
      <c r="EK171" s="17">
        <f>EJ171*VLOOKUP('Données projet'!$B$15,Paramètres!$A$1:$I$89,3,0)*VLOOKUP('Données projet'!$B$15,Paramètres!$A$1:$I$89,5,0)</f>
        <v>-5.4978954722173515E-14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331.7059599630698</v>
      </c>
      <c r="EP171" s="59">
        <f t="shared" si="154"/>
        <v>173.19148969173838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35.270903338075975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35.270903338075975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-5.6843418860808015E-14</v>
      </c>
      <c r="FF171" s="17">
        <f>FE171*VLOOKUP('Données projet'!$B$16,Paramètres!$A$1:$I$89,3,0)*VLOOKUP('Données projet'!$B$16,Paramètres!$A$1:$I$89,5,0)</f>
        <v>-6.1186256061773749E-14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360.86062459677004</v>
      </c>
      <c r="FK171" s="59">
        <f t="shared" si="156"/>
        <v>186.0840067781198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42.331568343462678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42.331568343462678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-5.1159076974727213E-13</v>
      </c>
      <c r="GA171" s="17">
        <f>FZ171*VLOOKUP('Données projet'!$B$17,Paramètres!$A$1:$I$89,3,0)*VLOOKUP('Données projet'!$B$17,Paramètres!$A$1:$I$89,5,0)</f>
        <v>-5.1875304052373401E-13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448.73339628506784</v>
      </c>
      <c r="GF171" s="59">
        <f t="shared" si="158"/>
        <v>273.35778700650803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53.878404318195834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53.878404318195834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-5.1159076974727213E-13</v>
      </c>
      <c r="O172" s="13">
        <f>N172*VLOOKUP('Données projet'!$B$9,Paramètres!$A$1:$I$89,3,0)*VLOOKUP('Données projet'!$B$9,Paramètres!$A$1:$I$89,5,0)</f>
        <v>-4.6288732846733184E-13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408.51124670343137</v>
      </c>
      <c r="T172" s="59">
        <f t="shared" si="142"/>
        <v>250.47702091764884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47.133371338179543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47.133371338179543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-2.8421709430404007E-13</v>
      </c>
      <c r="AJ172" s="13">
        <f>AI172*VLOOKUP('Données projet'!$B$10,Paramètres!$A$1:$I$89,3,0)*VLOOKUP('Données projet'!$B$10,Paramètres!$A$1:$I$89,5,0)</f>
        <v>-2.2612312022829427E-13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327.22763817565902</v>
      </c>
      <c r="AO172" s="59">
        <f t="shared" si="144"/>
        <v>311.68541696405975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17.832172844361406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17.832172844361406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2.8421709430404007E-14</v>
      </c>
      <c r="BE172" s="13">
        <f>BD172*VLOOKUP('Données projet'!$B$11,Paramètres!$A$1:$I$89,3,0)*VLOOKUP('Données projet'!$B$11,Paramètres!$A$1:$I$89,5,0)</f>
        <v>1.8178525351686402E-14</v>
      </c>
      <c r="BF172" s="13">
        <f t="shared" si="167"/>
        <v>3.3304129621647644E-13</v>
      </c>
      <c r="BG172" s="20">
        <f t="shared" si="168"/>
        <v>6.1170785589788349E-13</v>
      </c>
      <c r="BH172" s="59">
        <f t="shared" si="116"/>
        <v>288.57137590097705</v>
      </c>
      <c r="BI172" s="59">
        <f ca="1">AVERAGE(OFFSET($BH$3,0,0,'Données projet'!$E$11+1,1))-AVERAGE(OFFSET($H$3,0,0,'Données projet'!$E$11+1,1))</f>
        <v>169.46470423366029</v>
      </c>
      <c r="BJ172" s="59">
        <f t="shared" si="146"/>
        <v>230.78141128389288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3.86307785801201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3.86307785801201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-1.7053025658242404E-13</v>
      </c>
      <c r="BZ172" s="13">
        <f>BY172*VLOOKUP('Données projet'!$B$12,Paramètres!$A$1:$I$89,3,0)*VLOOKUP('Données projet'!$B$12,Paramètres!$A$1:$I$89,5,0)</f>
        <v>-1.4897523215040567E-13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342.79161436526499</v>
      </c>
      <c r="CE172" s="59">
        <f t="shared" si="148"/>
        <v>315.50730924873733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20.762648195172755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20.762648195172755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-5.6843418860808015E-14</v>
      </c>
      <c r="CU172" s="17">
        <f>CT172*VLOOKUP('Données projet'!$B$13,Paramètres!$A$1:$I$89,3,0)*VLOOKUP('Données projet'!$B$13,Paramètres!$A$1:$I$89,5,0)</f>
        <v>-3.813056537183002E-14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201.84651193684252</v>
      </c>
      <c r="CZ172" s="59">
        <f t="shared" si="150"/>
        <v>138.00705940844708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16.938133850480142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16.938133850480142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1.1368683772161603E-13</v>
      </c>
      <c r="DP172" s="17">
        <f>DO172*VLOOKUP('Données projet'!$B$14,Paramètres!$A$1:$I$89,3,0)*VLOOKUP('Données projet'!$B$14,Paramètres!$A$1:$I$89,5,0)</f>
        <v>8.3355189417488869E-14</v>
      </c>
      <c r="DQ172" s="13">
        <f t="shared" si="176"/>
        <v>1.2790518435140618E-12</v>
      </c>
      <c r="DR172" s="20">
        <f t="shared" si="177"/>
        <v>2.3728589156891171E-12</v>
      </c>
      <c r="DS172" s="59">
        <f t="shared" si="125"/>
        <v>288.57137590097881</v>
      </c>
      <c r="DT172" s="59">
        <f ca="1">AVERAGE(OFFSET($DS$3,0,0,'Données projet'!$E$14+1,1))-AVERAGE(OFFSET($H$3,0,0,'Données projet'!$E$14+1,1))</f>
        <v>242.21240859696931</v>
      </c>
      <c r="DU172" s="59">
        <f t="shared" si="152"/>
        <v>340.92165104349192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7.2802303741354333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7.2802303741354333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-5.6843418860808015E-14</v>
      </c>
      <c r="EK172" s="17">
        <f>EJ172*VLOOKUP('Données projet'!$B$15,Paramètres!$A$1:$I$89,3,0)*VLOOKUP('Données projet'!$B$15,Paramètres!$A$1:$I$89,5,0)</f>
        <v>-5.4978954722173515E-14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331.7059599630698</v>
      </c>
      <c r="EP172" s="59">
        <f t="shared" si="154"/>
        <v>173.19148969173838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34.579262436743093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34.579262436743093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-5.6843418860808015E-14</v>
      </c>
      <c r="FF172" s="17">
        <f>FE172*VLOOKUP('Données projet'!$B$16,Paramètres!$A$1:$I$89,3,0)*VLOOKUP('Données projet'!$B$16,Paramètres!$A$1:$I$89,5,0)</f>
        <v>-6.1186256061773749E-14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360.86062459677004</v>
      </c>
      <c r="FK172" s="59">
        <f t="shared" si="156"/>
        <v>186.0840067781198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41.501472107954577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41.501472107954577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-5.1159076974727213E-13</v>
      </c>
      <c r="GA172" s="17">
        <f>FZ172*VLOOKUP('Données projet'!$B$17,Paramètres!$A$1:$I$89,3,0)*VLOOKUP('Données projet'!$B$17,Paramètres!$A$1:$I$89,5,0)</f>
        <v>-5.1875304052373401E-13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448.73339628506784</v>
      </c>
      <c r="GF172" s="59">
        <f t="shared" si="158"/>
        <v>273.35778700650803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52.821881672097739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52.821881672097739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-5.1159076974727213E-13</v>
      </c>
      <c r="O173" s="13">
        <f>N173*VLOOKUP('Données projet'!$B$9,Paramètres!$A$1:$I$89,3,0)*VLOOKUP('Données projet'!$B$9,Paramètres!$A$1:$I$89,5,0)</f>
        <v>-4.6288732846733184E-13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408.51124670343137</v>
      </c>
      <c r="T173" s="59">
        <f t="shared" si="142"/>
        <v>250.47702091764884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46.209114674755682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46.209114674755682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-2.8421709430404007E-13</v>
      </c>
      <c r="AJ173" s="13">
        <f>AI173*VLOOKUP('Données projet'!$B$10,Paramètres!$A$1:$I$89,3,0)*VLOOKUP('Données projet'!$B$10,Paramètres!$A$1:$I$89,5,0)</f>
        <v>-2.2612312022829427E-13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327.22763817565902</v>
      </c>
      <c r="AO173" s="59">
        <f t="shared" si="144"/>
        <v>311.68541696405975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17.482494811434943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17.482494811434943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2.8421709430404007E-14</v>
      </c>
      <c r="BE173" s="13">
        <f>BD173*VLOOKUP('Données projet'!$B$11,Paramètres!$A$1:$I$89,3,0)*VLOOKUP('Données projet'!$B$11,Paramètres!$A$1:$I$89,5,0)</f>
        <v>1.8178525351686402E-14</v>
      </c>
      <c r="BF173" s="13">
        <f t="shared" si="167"/>
        <v>3.3304129621647644E-13</v>
      </c>
      <c r="BG173" s="20">
        <f t="shared" si="168"/>
        <v>6.1170785589788349E-13</v>
      </c>
      <c r="BH173" s="59">
        <f t="shared" si="116"/>
        <v>288.65398521628651</v>
      </c>
      <c r="BI173" s="59">
        <f ca="1">AVERAGE(OFFSET($BH$3,0,0,'Données projet'!$E$11+1,1))-AVERAGE(OFFSET($H$3,0,0,'Données projet'!$E$11+1,1))</f>
        <v>169.46470423366029</v>
      </c>
      <c r="BJ173" s="59">
        <f t="shared" si="146"/>
        <v>230.78141128389288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3.7873252574612279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3.7873252574612279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-1.7053025658242404E-13</v>
      </c>
      <c r="BZ173" s="13">
        <f>BY173*VLOOKUP('Données projet'!$B$12,Paramètres!$A$1:$I$89,3,0)*VLOOKUP('Données projet'!$B$12,Paramètres!$A$1:$I$89,5,0)</f>
        <v>-1.4897523215040567E-13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342.79161436526499</v>
      </c>
      <c r="CE173" s="59">
        <f t="shared" si="148"/>
        <v>315.50730924873733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20.355505328030354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20.355505328030354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-5.6843418860808015E-14</v>
      </c>
      <c r="CU173" s="17">
        <f>CT173*VLOOKUP('Données projet'!$B$13,Paramètres!$A$1:$I$89,3,0)*VLOOKUP('Données projet'!$B$13,Paramètres!$A$1:$I$89,5,0)</f>
        <v>-3.813056537183002E-14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201.84651193684252</v>
      </c>
      <c r="CZ173" s="59">
        <f t="shared" si="150"/>
        <v>138.00705940844708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16.605987376913749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16.605987376913749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1.1368683772161603E-13</v>
      </c>
      <c r="DP173" s="17">
        <f>DO173*VLOOKUP('Données projet'!$B$14,Paramètres!$A$1:$I$89,3,0)*VLOOKUP('Données projet'!$B$14,Paramètres!$A$1:$I$89,5,0)</f>
        <v>8.3355189417488869E-14</v>
      </c>
      <c r="DQ173" s="13">
        <f t="shared" si="176"/>
        <v>1.2790518435140618E-12</v>
      </c>
      <c r="DR173" s="20">
        <f t="shared" si="177"/>
        <v>2.3728589156891171E-12</v>
      </c>
      <c r="DS173" s="59">
        <f t="shared" si="125"/>
        <v>288.65398521628828</v>
      </c>
      <c r="DT173" s="59">
        <f ca="1">AVERAGE(OFFSET($DS$3,0,0,'Données projet'!$E$14+1,1))-AVERAGE(OFFSET($H$3,0,0,'Données projet'!$E$14+1,1))</f>
        <v>242.21240859696931</v>
      </c>
      <c r="DU173" s="59">
        <f t="shared" si="152"/>
        <v>340.92165104349192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7.1374694970007022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7.1374694970007022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-5.6843418860808015E-14</v>
      </c>
      <c r="EK173" s="17">
        <f>EJ173*VLOOKUP('Données projet'!$B$15,Paramètres!$A$1:$I$89,3,0)*VLOOKUP('Données projet'!$B$15,Paramètres!$A$1:$I$89,5,0)</f>
        <v>-5.4978954722173515E-14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331.7059599630698</v>
      </c>
      <c r="EP173" s="59">
        <f t="shared" si="154"/>
        <v>173.19148969173838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33.901184191626058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33.901184191626058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-5.6843418860808015E-14</v>
      </c>
      <c r="FF173" s="17">
        <f>FE173*VLOOKUP('Données projet'!$B$16,Paramètres!$A$1:$I$89,3,0)*VLOOKUP('Données projet'!$B$16,Paramètres!$A$1:$I$89,5,0)</f>
        <v>-6.1186256061773749E-14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360.86062459677004</v>
      </c>
      <c r="FK173" s="59">
        <f t="shared" si="156"/>
        <v>186.0840067781198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40.687653553316082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40.687653553316082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-5.1159076974727213E-13</v>
      </c>
      <c r="GA173" s="17">
        <f>FZ173*VLOOKUP('Données projet'!$B$17,Paramètres!$A$1:$I$89,3,0)*VLOOKUP('Données projet'!$B$17,Paramètres!$A$1:$I$89,5,0)</f>
        <v>-5.1875304052373401E-13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448.73339628506784</v>
      </c>
      <c r="GF173" s="59">
        <f t="shared" si="158"/>
        <v>273.35778700650803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51.786076790674443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51.786076790674443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-5.1159076974727213E-13</v>
      </c>
      <c r="O174" s="13">
        <f>N174*VLOOKUP('Données projet'!$B$9,Paramètres!$A$1:$I$89,3,0)*VLOOKUP('Données projet'!$B$9,Paramètres!$A$1:$I$89,5,0)</f>
        <v>-4.6288732846733184E-13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408.51124670343137</v>
      </c>
      <c r="T174" s="59">
        <f t="shared" si="142"/>
        <v>250.47702091764884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45.30298212076066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45.30298212076066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-2.8421709430404007E-13</v>
      </c>
      <c r="AJ174" s="13">
        <f>AI174*VLOOKUP('Données projet'!$B$10,Paramètres!$A$1:$I$89,3,0)*VLOOKUP('Données projet'!$B$10,Paramètres!$A$1:$I$89,5,0)</f>
        <v>-2.2612312022829427E-13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327.22763817565902</v>
      </c>
      <c r="AO174" s="59">
        <f t="shared" si="144"/>
        <v>311.68541696405975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17.139673751451628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17.139673751451628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2.8421709430404007E-14</v>
      </c>
      <c r="BE174" s="13">
        <f>BD174*VLOOKUP('Données projet'!$B$11,Paramètres!$A$1:$I$89,3,0)*VLOOKUP('Données projet'!$B$11,Paramètres!$A$1:$I$89,5,0)</f>
        <v>1.8178525351686402E-14</v>
      </c>
      <c r="BF174" s="13">
        <f t="shared" si="167"/>
        <v>3.3304129621647644E-13</v>
      </c>
      <c r="BG174" s="20">
        <f t="shared" si="168"/>
        <v>6.1170785589788349E-13</v>
      </c>
      <c r="BH174" s="59">
        <f t="shared" si="116"/>
        <v>288.73516144466214</v>
      </c>
      <c r="BI174" s="59">
        <f ca="1">AVERAGE(OFFSET($BH$3,0,0,'Données projet'!$E$11+1,1))-AVERAGE(OFFSET($H$3,0,0,'Données projet'!$E$11+1,1))</f>
        <v>169.46470423366029</v>
      </c>
      <c r="BJ174" s="59">
        <f t="shared" si="146"/>
        <v>230.78141128389288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3.713058119202723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3.713058119202723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-1.7053025658242404E-13</v>
      </c>
      <c r="BZ174" s="13">
        <f>BY174*VLOOKUP('Données projet'!$B$12,Paramètres!$A$1:$I$89,3,0)*VLOOKUP('Données projet'!$B$12,Paramètres!$A$1:$I$89,5,0)</f>
        <v>-1.4897523215040567E-13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342.79161436526499</v>
      </c>
      <c r="CE174" s="59">
        <f t="shared" si="148"/>
        <v>315.50730924873733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19.956346284179986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19.956346284179986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-5.6843418860808015E-14</v>
      </c>
      <c r="CU174" s="17">
        <f>CT174*VLOOKUP('Données projet'!$B$13,Paramètres!$A$1:$I$89,3,0)*VLOOKUP('Données projet'!$B$13,Paramètres!$A$1:$I$89,5,0)</f>
        <v>-3.813056537183002E-14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201.84651193684252</v>
      </c>
      <c r="CZ174" s="59">
        <f t="shared" si="150"/>
        <v>138.00705940844708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16.280354093104648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16.280354093104648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1.1368683772161603E-13</v>
      </c>
      <c r="DP174" s="17">
        <f>DO174*VLOOKUP('Données projet'!$B$14,Paramètres!$A$1:$I$89,3,0)*VLOOKUP('Données projet'!$B$14,Paramètres!$A$1:$I$89,5,0)</f>
        <v>8.3355189417488869E-14</v>
      </c>
      <c r="DQ174" s="13">
        <f t="shared" si="176"/>
        <v>1.2790518435140618E-12</v>
      </c>
      <c r="DR174" s="20">
        <f t="shared" si="177"/>
        <v>2.3728589156891171E-12</v>
      </c>
      <c r="DS174" s="59">
        <f t="shared" si="125"/>
        <v>288.7351614446639</v>
      </c>
      <c r="DT174" s="59">
        <f ca="1">AVERAGE(OFFSET($DS$3,0,0,'Données projet'!$E$14+1,1))-AVERAGE(OFFSET($H$3,0,0,'Données projet'!$E$14+1,1))</f>
        <v>242.21240859696931</v>
      </c>
      <c r="DU174" s="59">
        <f t="shared" si="152"/>
        <v>340.92165104349192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6.9975080735910469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6.9975080735910469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-5.6843418860808015E-14</v>
      </c>
      <c r="EK174" s="17">
        <f>EJ174*VLOOKUP('Données projet'!$B$15,Paramètres!$A$1:$I$89,3,0)*VLOOKUP('Données projet'!$B$15,Paramètres!$A$1:$I$89,5,0)</f>
        <v>-5.4978954722173515E-14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331.7059599630698</v>
      </c>
      <c r="EP174" s="59">
        <f t="shared" si="154"/>
        <v>173.19148969173838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33.236402647308878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33.236402647308878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-5.6843418860808015E-14</v>
      </c>
      <c r="FF174" s="17">
        <f>FE174*VLOOKUP('Données projet'!$B$16,Paramètres!$A$1:$I$89,3,0)*VLOOKUP('Données projet'!$B$16,Paramètres!$A$1:$I$89,5,0)</f>
        <v>-6.1186256061773749E-14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360.86062459677004</v>
      </c>
      <c r="FK174" s="59">
        <f t="shared" si="156"/>
        <v>186.0840067781198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39.889793484153742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39.889793484153742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-5.1159076974727213E-13</v>
      </c>
      <c r="GA174" s="17">
        <f>FZ174*VLOOKUP('Données projet'!$B$17,Paramètres!$A$1:$I$89,3,0)*VLOOKUP('Données projet'!$B$17,Paramètres!$A$1:$I$89,5,0)</f>
        <v>-5.1875304052373401E-13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448.73339628506784</v>
      </c>
      <c r="GF174" s="59">
        <f t="shared" si="158"/>
        <v>273.35778700650803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50.770583411197265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50.770583411197265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-5.1159076974727213E-13</v>
      </c>
      <c r="O175" s="13">
        <f>N175*VLOOKUP('Données projet'!$B$9,Paramètres!$A$1:$I$89,3,0)*VLOOKUP('Données projet'!$B$9,Paramètres!$A$1:$I$89,5,0)</f>
        <v>-4.6288732846733184E-13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408.51124670343137</v>
      </c>
      <c r="T175" s="59">
        <f t="shared" si="142"/>
        <v>250.47702091764884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44.414618273463198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44.414618273463198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-2.8421709430404007E-13</v>
      </c>
      <c r="AJ175" s="13">
        <f>AI175*VLOOKUP('Données projet'!$B$10,Paramètres!$A$1:$I$89,3,0)*VLOOKUP('Données projet'!$B$10,Paramètres!$A$1:$I$89,5,0)</f>
        <v>-2.2612312022829427E-13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327.22763817565902</v>
      </c>
      <c r="AO175" s="59">
        <f t="shared" si="144"/>
        <v>311.68541696405975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16.803575203354388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16.803575203354388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2.8421709430404007E-14</v>
      </c>
      <c r="BE175" s="13">
        <f>BD175*VLOOKUP('Données projet'!$B$11,Paramètres!$A$1:$I$89,3,0)*VLOOKUP('Données projet'!$B$11,Paramètres!$A$1:$I$89,5,0)</f>
        <v>1.8178525351686402E-14</v>
      </c>
      <c r="BF175" s="13">
        <f t="shared" si="167"/>
        <v>3.3304129621647644E-13</v>
      </c>
      <c r="BG175" s="20">
        <f t="shared" si="168"/>
        <v>6.1170785589788349E-13</v>
      </c>
      <c r="BH175" s="59">
        <f t="shared" si="116"/>
        <v>288.81492944695827</v>
      </c>
      <c r="BI175" s="59">
        <f ca="1">AVERAGE(OFFSET($BH$3,0,0,'Données projet'!$E$11+1,1))-AVERAGE(OFFSET($H$3,0,0,'Données projet'!$E$11+1,1))</f>
        <v>169.46470423366029</v>
      </c>
      <c r="BJ175" s="59">
        <f t="shared" si="146"/>
        <v>230.78141128389288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3.6402473142269858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3.6402473142269858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-1.7053025658242404E-13</v>
      </c>
      <c r="BZ175" s="13">
        <f>BY175*VLOOKUP('Données projet'!$B$12,Paramètres!$A$1:$I$89,3,0)*VLOOKUP('Données projet'!$B$12,Paramètres!$A$1:$I$89,5,0)</f>
        <v>-1.4897523215040567E-13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342.79161436526499</v>
      </c>
      <c r="CE175" s="59">
        <f t="shared" si="148"/>
        <v>315.50730924873733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19.565014505716547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19.565014505716547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-5.6843418860808015E-14</v>
      </c>
      <c r="CU175" s="17">
        <f>CT175*VLOOKUP('Données projet'!$B$13,Paramètres!$A$1:$I$89,3,0)*VLOOKUP('Données projet'!$B$13,Paramètres!$A$1:$I$89,5,0)</f>
        <v>-3.813056537183002E-14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201.84651193684252</v>
      </c>
      <c r="CZ175" s="59">
        <f t="shared" si="150"/>
        <v>138.00705940844708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15.961106279374354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15.961106279374354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1.1368683772161603E-13</v>
      </c>
      <c r="DP175" s="17">
        <f>DO175*VLOOKUP('Données projet'!$B$14,Paramètres!$A$1:$I$89,3,0)*VLOOKUP('Données projet'!$B$14,Paramètres!$A$1:$I$89,5,0)</f>
        <v>8.3355189417488869E-14</v>
      </c>
      <c r="DQ175" s="13">
        <f t="shared" si="176"/>
        <v>1.2790518435140618E-12</v>
      </c>
      <c r="DR175" s="20">
        <f t="shared" si="177"/>
        <v>2.3728589156891171E-12</v>
      </c>
      <c r="DS175" s="59">
        <f t="shared" si="125"/>
        <v>288.81492944696004</v>
      </c>
      <c r="DT175" s="59">
        <f ca="1">AVERAGE(OFFSET($DS$3,0,0,'Données projet'!$E$14+1,1))-AVERAGE(OFFSET($H$3,0,0,'Données projet'!$E$14+1,1))</f>
        <v>242.21240859696931</v>
      </c>
      <c r="DU175" s="59">
        <f t="shared" si="152"/>
        <v>340.92165104349192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6.8602912083264158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6.8602912083264158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-5.6843418860808015E-14</v>
      </c>
      <c r="EK175" s="17">
        <f>EJ175*VLOOKUP('Données projet'!$B$15,Paramètres!$A$1:$I$89,3,0)*VLOOKUP('Données projet'!$B$15,Paramètres!$A$1:$I$89,5,0)</f>
        <v>-5.4978954722173515E-14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331.7059599630698</v>
      </c>
      <c r="EP175" s="59">
        <f t="shared" si="154"/>
        <v>173.19148969173838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32.584657063599053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32.584657063599053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-5.6843418860808015E-14</v>
      </c>
      <c r="FF175" s="17">
        <f>FE175*VLOOKUP('Données projet'!$B$16,Paramètres!$A$1:$I$89,3,0)*VLOOKUP('Données projet'!$B$16,Paramètres!$A$1:$I$89,5,0)</f>
        <v>-6.1186256061773749E-14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360.86062459677004</v>
      </c>
      <c r="FK175" s="59">
        <f t="shared" si="156"/>
        <v>186.0840067781198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39.107578964301091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39.107578964301091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-5.1159076974727213E-13</v>
      </c>
      <c r="GA175" s="17">
        <f>FZ175*VLOOKUP('Données projet'!$B$17,Paramètres!$A$1:$I$89,3,0)*VLOOKUP('Données projet'!$B$17,Paramètres!$A$1:$I$89,5,0)</f>
        <v>-5.1875304052373401E-13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448.73339628506784</v>
      </c>
      <c r="GF175" s="59">
        <f t="shared" si="158"/>
        <v>273.35778700650803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49.775003237501828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49.775003237501828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-5.1159076974727213E-13</v>
      </c>
      <c r="O176" s="13">
        <f>N176*VLOOKUP('Données projet'!$B$9,Paramètres!$A$1:$I$89,3,0)*VLOOKUP('Données projet'!$B$9,Paramètres!$A$1:$I$89,5,0)</f>
        <v>-4.6288732846733184E-13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408.51124670343137</v>
      </c>
      <c r="T176" s="59">
        <f t="shared" si="142"/>
        <v>250.47702091764884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43.543674699362789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43.543674699362789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-2.8421709430404007E-13</v>
      </c>
      <c r="AJ176" s="13">
        <f>AI176*VLOOKUP('Données projet'!$B$10,Paramètres!$A$1:$I$89,3,0)*VLOOKUP('Données projet'!$B$10,Paramètres!$A$1:$I$89,5,0)</f>
        <v>-2.2612312022829427E-13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327.22763817565902</v>
      </c>
      <c r="AO176" s="59">
        <f t="shared" si="144"/>
        <v>311.68541696405975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16.47406734278546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16.47406734278546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2.8421709430404007E-14</v>
      </c>
      <c r="BE176" s="13">
        <f>BD176*VLOOKUP('Données projet'!$B$11,Paramètres!$A$1:$I$89,3,0)*VLOOKUP('Données projet'!$B$11,Paramètres!$A$1:$I$89,5,0)</f>
        <v>1.8178525351686402E-14</v>
      </c>
      <c r="BF176" s="13">
        <f t="shared" si="167"/>
        <v>3.3304129621647644E-13</v>
      </c>
      <c r="BG176" s="20">
        <f t="shared" si="168"/>
        <v>6.1170785589788349E-13</v>
      </c>
      <c r="BH176" s="59">
        <f t="shared" si="116"/>
        <v>288.8933136527491</v>
      </c>
      <c r="BI176" s="59">
        <f ca="1">AVERAGE(OFFSET($BH$3,0,0,'Données projet'!$E$11+1,1))-AVERAGE(OFFSET($H$3,0,0,'Données projet'!$E$11+1,1))</f>
        <v>169.46470423366029</v>
      </c>
      <c r="BJ176" s="59">
        <f t="shared" si="146"/>
        <v>230.78141128389288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3.5688642847266165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3.5688642847266165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-1.7053025658242404E-13</v>
      </c>
      <c r="BZ176" s="13">
        <f>BY176*VLOOKUP('Données projet'!$B$12,Paramètres!$A$1:$I$89,3,0)*VLOOKUP('Données projet'!$B$12,Paramètres!$A$1:$I$89,5,0)</f>
        <v>-1.4897523215040567E-13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342.79161436526499</v>
      </c>
      <c r="CE176" s="59">
        <f t="shared" si="148"/>
        <v>315.50730924873733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19.181356504739963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19.181356504739963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-5.6843418860808015E-14</v>
      </c>
      <c r="CU176" s="17">
        <f>CT176*VLOOKUP('Données projet'!$B$13,Paramètres!$A$1:$I$89,3,0)*VLOOKUP('Données projet'!$B$13,Paramètres!$A$1:$I$89,5,0)</f>
        <v>-3.813056537183002E-14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201.84651193684252</v>
      </c>
      <c r="CZ176" s="59">
        <f t="shared" si="150"/>
        <v>138.00705940844708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15.648118720549371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15.648118720549371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1.1368683772161603E-13</v>
      </c>
      <c r="DP176" s="17">
        <f>DO176*VLOOKUP('Données projet'!$B$14,Paramètres!$A$1:$I$89,3,0)*VLOOKUP('Données projet'!$B$14,Paramètres!$A$1:$I$89,5,0)</f>
        <v>8.3355189417488869E-14</v>
      </c>
      <c r="DQ176" s="13">
        <f t="shared" si="176"/>
        <v>1.2790518435140618E-12</v>
      </c>
      <c r="DR176" s="20">
        <f t="shared" si="177"/>
        <v>2.3728589156891171E-12</v>
      </c>
      <c r="DS176" s="59">
        <f t="shared" si="125"/>
        <v>288.89331365275086</v>
      </c>
      <c r="DT176" s="59">
        <f ca="1">AVERAGE(OFFSET($DS$3,0,0,'Données projet'!$E$14+1,1))-AVERAGE(OFFSET($H$3,0,0,'Données projet'!$E$14+1,1))</f>
        <v>242.21240859696931</v>
      </c>
      <c r="DU176" s="59">
        <f t="shared" si="152"/>
        <v>340.92165104349192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6.7257650820956005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6.7257650820956005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-5.6843418860808015E-14</v>
      </c>
      <c r="EK176" s="17">
        <f>EJ176*VLOOKUP('Données projet'!$B$15,Paramètres!$A$1:$I$89,3,0)*VLOOKUP('Données projet'!$B$15,Paramètres!$A$1:$I$89,5,0)</f>
        <v>-5.4978954722173515E-14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331.7059599630698</v>
      </c>
      <c r="EP176" s="59">
        <f t="shared" si="154"/>
        <v>173.19148969173838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31.945691813260222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31.945691813260222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-5.6843418860808015E-14</v>
      </c>
      <c r="FF176" s="17">
        <f>FE176*VLOOKUP('Données projet'!$B$16,Paramètres!$A$1:$I$89,3,0)*VLOOKUP('Données projet'!$B$16,Paramètres!$A$1:$I$89,5,0)</f>
        <v>-6.1186256061773749E-14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360.86062459677004</v>
      </c>
      <c r="FK176" s="59">
        <f t="shared" si="156"/>
        <v>186.0840067781198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38.340703194078998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38.340703194078998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-5.1159076974727213E-13</v>
      </c>
      <c r="GA176" s="17">
        <f>FZ176*VLOOKUP('Données projet'!$B$17,Paramètres!$A$1:$I$89,3,0)*VLOOKUP('Données projet'!$B$17,Paramètres!$A$1:$I$89,5,0)</f>
        <v>-5.1875304052373401E-13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448.73339628506784</v>
      </c>
      <c r="GF176" s="59">
        <f t="shared" si="158"/>
        <v>273.35778700650803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48.798945783768616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48.798945783768616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-5.1159076974727213E-13</v>
      </c>
      <c r="O177" s="13">
        <f>N177*VLOOKUP('Données projet'!$B$9,Paramètres!$A$1:$I$89,3,0)*VLOOKUP('Données projet'!$B$9,Paramètres!$A$1:$I$89,5,0)</f>
        <v>-4.6288732846733184E-13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408.51124670343137</v>
      </c>
      <c r="T177" s="59">
        <f t="shared" si="142"/>
        <v>250.47702091764884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42.689809797527367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42.689809797527367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-2.8421709430404007E-13</v>
      </c>
      <c r="AJ177" s="13">
        <f>AI177*VLOOKUP('Données projet'!$B$10,Paramètres!$A$1:$I$89,3,0)*VLOOKUP('Données projet'!$B$10,Paramètres!$A$1:$I$89,5,0)</f>
        <v>-2.2612312022829427E-13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327.22763817565902</v>
      </c>
      <c r="AO177" s="59">
        <f t="shared" si="144"/>
        <v>311.68541696405975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16.151020930382341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16.151020930382341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2.8421709430404007E-14</v>
      </c>
      <c r="BE177" s="13">
        <f>BD177*VLOOKUP('Données projet'!$B$11,Paramètres!$A$1:$I$89,3,0)*VLOOKUP('Données projet'!$B$11,Paramètres!$A$1:$I$89,5,0)</f>
        <v>1.8178525351686402E-14</v>
      </c>
      <c r="BF177" s="13">
        <f t="shared" si="167"/>
        <v>3.3304129621647644E-13</v>
      </c>
      <c r="BG177" s="20">
        <f t="shared" si="168"/>
        <v>6.1170785589788349E-13</v>
      </c>
      <c r="BH177" s="59">
        <f t="shared" si="116"/>
        <v>288.97033806781036</v>
      </c>
      <c r="BI177" s="59">
        <f ca="1">AVERAGE(OFFSET($BH$3,0,0,'Données projet'!$E$11+1,1))-AVERAGE(OFFSET($H$3,0,0,'Données projet'!$E$11+1,1))</f>
        <v>169.46470423366029</v>
      </c>
      <c r="BJ177" s="59">
        <f t="shared" si="146"/>
        <v>230.78141128389288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3.498881032895401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3.498881032895401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-1.7053025658242404E-13</v>
      </c>
      <c r="BZ177" s="13">
        <f>BY177*VLOOKUP('Données projet'!$B$12,Paramètres!$A$1:$I$89,3,0)*VLOOKUP('Données projet'!$B$12,Paramètres!$A$1:$I$89,5,0)</f>
        <v>-1.4897523215040567E-13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342.79161436526499</v>
      </c>
      <c r="CE177" s="59">
        <f t="shared" si="148"/>
        <v>315.50730924873733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18.805221803154254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18.805221803154254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-5.6843418860808015E-14</v>
      </c>
      <c r="CU177" s="17">
        <f>CT177*VLOOKUP('Données projet'!$B$13,Paramètres!$A$1:$I$89,3,0)*VLOOKUP('Données projet'!$B$13,Paramètres!$A$1:$I$89,5,0)</f>
        <v>-3.813056537183002E-14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201.84651193684252</v>
      </c>
      <c r="CZ177" s="59">
        <f t="shared" si="150"/>
        <v>138.00705940844708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15.341268656849385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15.341268656849385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1.1368683772161603E-13</v>
      </c>
      <c r="DP177" s="17">
        <f>DO177*VLOOKUP('Données projet'!$B$14,Paramètres!$A$1:$I$89,3,0)*VLOOKUP('Données projet'!$B$14,Paramètres!$A$1:$I$89,5,0)</f>
        <v>8.3355189417488869E-14</v>
      </c>
      <c r="DQ177" s="13">
        <f t="shared" si="176"/>
        <v>1.2790518435140618E-12</v>
      </c>
      <c r="DR177" s="20">
        <f t="shared" si="177"/>
        <v>2.3728589156891171E-12</v>
      </c>
      <c r="DS177" s="59">
        <f t="shared" si="125"/>
        <v>288.97033806781212</v>
      </c>
      <c r="DT177" s="59">
        <f ca="1">AVERAGE(OFFSET($DS$3,0,0,'Données projet'!$E$14+1,1))-AVERAGE(OFFSET($H$3,0,0,'Données projet'!$E$14+1,1))</f>
        <v>242.21240859696931</v>
      </c>
      <c r="DU177" s="59">
        <f t="shared" si="152"/>
        <v>340.92165104349192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6.593876931147336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6.593876931147336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-5.6843418860808015E-14</v>
      </c>
      <c r="EK177" s="17">
        <f>EJ177*VLOOKUP('Données projet'!$B$15,Paramètres!$A$1:$I$89,3,0)*VLOOKUP('Données projet'!$B$15,Paramètres!$A$1:$I$89,5,0)</f>
        <v>-5.4978954722173515E-14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331.7059599630698</v>
      </c>
      <c r="EP177" s="59">
        <f t="shared" si="154"/>
        <v>173.19148969173838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31.319256281750217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31.319256281750217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-5.6843418860808015E-14</v>
      </c>
      <c r="FF177" s="17">
        <f>FE177*VLOOKUP('Données projet'!$B$16,Paramètres!$A$1:$I$89,3,0)*VLOOKUP('Données projet'!$B$16,Paramètres!$A$1:$I$89,5,0)</f>
        <v>-6.1186256061773749E-14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360.86062459677004</v>
      </c>
      <c r="FK177" s="59">
        <f t="shared" si="156"/>
        <v>186.0840067781198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37.588865389962926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37.588865389962926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-5.1159076974727213E-13</v>
      </c>
      <c r="GA177" s="17">
        <f>FZ177*VLOOKUP('Données projet'!$B$17,Paramètres!$A$1:$I$89,3,0)*VLOOKUP('Données projet'!$B$17,Paramètres!$A$1:$I$89,5,0)</f>
        <v>-5.1875304052373401E-13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448.73339628506784</v>
      </c>
      <c r="GF177" s="59">
        <f t="shared" si="158"/>
        <v>273.35778700650803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47.842028221366853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47.842028221366853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-5.1159076974727213E-13</v>
      </c>
      <c r="O178" s="13">
        <f>N178*VLOOKUP('Données projet'!$B$9,Paramètres!$A$1:$I$89,3,0)*VLOOKUP('Données projet'!$B$9,Paramètres!$A$1:$I$89,5,0)</f>
        <v>-4.6288732846733184E-13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408.51124670343137</v>
      </c>
      <c r="T178" s="59">
        <f t="shared" si="142"/>
        <v>250.47702091764884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41.852688665610771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41.852688665610771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-2.8421709430404007E-13</v>
      </c>
      <c r="AJ178" s="13">
        <f>AI178*VLOOKUP('Données projet'!$B$10,Paramètres!$A$1:$I$89,3,0)*VLOOKUP('Données projet'!$B$10,Paramètres!$A$1:$I$89,5,0)</f>
        <v>-2.2612312022829427E-13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327.22763817565902</v>
      </c>
      <c r="AO178" s="59">
        <f t="shared" si="144"/>
        <v>311.68541696405975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15.83430926108759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15.83430926108759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2.8421709430404007E-14</v>
      </c>
      <c r="BE178" s="13">
        <f>BD178*VLOOKUP('Données projet'!$B$11,Paramètres!$A$1:$I$89,3,0)*VLOOKUP('Données projet'!$B$11,Paramètres!$A$1:$I$89,5,0)</f>
        <v>1.8178525351686402E-14</v>
      </c>
      <c r="BF178" s="13">
        <f t="shared" si="167"/>
        <v>3.3304129621647644E-13</v>
      </c>
      <c r="BG178" s="20">
        <f t="shared" si="168"/>
        <v>6.1170785589788349E-13</v>
      </c>
      <c r="BH178" s="59">
        <f t="shared" si="116"/>
        <v>289.04602628147103</v>
      </c>
      <c r="BI178" s="59">
        <f ca="1">AVERAGE(OFFSET($BH$3,0,0,'Données projet'!$E$11+1,1))-AVERAGE(OFFSET($H$3,0,0,'Données projet'!$E$11+1,1))</f>
        <v>169.46470423366029</v>
      </c>
      <c r="BJ178" s="59">
        <f t="shared" si="146"/>
        <v>230.78141128389288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3.4302701099470267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3.4302701099470267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-1.7053025658242404E-13</v>
      </c>
      <c r="BZ178" s="13">
        <f>BY178*VLOOKUP('Données projet'!$B$12,Paramètres!$A$1:$I$89,3,0)*VLOOKUP('Données projet'!$B$12,Paramètres!$A$1:$I$89,5,0)</f>
        <v>-1.4897523215040567E-13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342.79161436526499</v>
      </c>
      <c r="CE178" s="59">
        <f t="shared" si="148"/>
        <v>315.50730924873733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18.436462873647127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18.436462873647127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-5.6843418860808015E-14</v>
      </c>
      <c r="CU178" s="17">
        <f>CT178*VLOOKUP('Données projet'!$B$13,Paramètres!$A$1:$I$89,3,0)*VLOOKUP('Données projet'!$B$13,Paramètres!$A$1:$I$89,5,0)</f>
        <v>-3.813056537183002E-14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201.84651193684252</v>
      </c>
      <c r="CZ178" s="59">
        <f t="shared" si="150"/>
        <v>138.00705940844708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15.040435735738498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15.040435735738498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1.1368683772161603E-13</v>
      </c>
      <c r="DP178" s="17">
        <f>DO178*VLOOKUP('Données projet'!$B$14,Paramètres!$A$1:$I$89,3,0)*VLOOKUP('Données projet'!$B$14,Paramètres!$A$1:$I$89,5,0)</f>
        <v>8.3355189417488869E-14</v>
      </c>
      <c r="DQ178" s="13">
        <f t="shared" si="176"/>
        <v>1.2790518435140618E-12</v>
      </c>
      <c r="DR178" s="20">
        <f t="shared" si="177"/>
        <v>2.3728589156891171E-12</v>
      </c>
      <c r="DS178" s="59">
        <f t="shared" si="125"/>
        <v>289.04602628147279</v>
      </c>
      <c r="DT178" s="59">
        <f ca="1">AVERAGE(OFFSET($DS$3,0,0,'Données projet'!$E$14+1,1))-AVERAGE(OFFSET($H$3,0,0,'Données projet'!$E$14+1,1))</f>
        <v>242.21240859696931</v>
      </c>
      <c r="DU178" s="59">
        <f t="shared" si="152"/>
        <v>340.92165104349192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6.4645750263953383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6.4645750263953383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-5.6843418860808015E-14</v>
      </c>
      <c r="EK178" s="17">
        <f>EJ178*VLOOKUP('Données projet'!$B$15,Paramètres!$A$1:$I$89,3,0)*VLOOKUP('Données projet'!$B$15,Paramètres!$A$1:$I$89,5,0)</f>
        <v>-5.4978954722173515E-14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331.7059599630698</v>
      </c>
      <c r="EP178" s="59">
        <f t="shared" si="154"/>
        <v>173.19148969173838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30.705104768925178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30.705104768925178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-5.6843418860808015E-14</v>
      </c>
      <c r="FF178" s="17">
        <f>FE178*VLOOKUP('Données projet'!$B$16,Paramètres!$A$1:$I$89,3,0)*VLOOKUP('Données projet'!$B$16,Paramètres!$A$1:$I$89,5,0)</f>
        <v>-6.1186256061773749E-14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360.86062459677004</v>
      </c>
      <c r="FK178" s="59">
        <f t="shared" si="156"/>
        <v>186.0840067781198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36.851770666609795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36.851770666609795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-5.1159076974727213E-13</v>
      </c>
      <c r="GA178" s="17">
        <f>FZ178*VLOOKUP('Données projet'!$B$17,Paramètres!$A$1:$I$89,3,0)*VLOOKUP('Données projet'!$B$17,Paramètres!$A$1:$I$89,5,0)</f>
        <v>-5.1875304052373401E-13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448.73339628506784</v>
      </c>
      <c r="GF178" s="59">
        <f t="shared" si="158"/>
        <v>273.35778700650803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46.9038752287017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46.9038752287017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-5.1159076974727213E-13</v>
      </c>
      <c r="O179" s="13">
        <f>N179*VLOOKUP('Données projet'!$B$9,Paramètres!$A$1:$I$89,3,0)*VLOOKUP('Données projet'!$B$9,Paramètres!$A$1:$I$89,5,0)</f>
        <v>-4.6288732846733184E-13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408.51124670343137</v>
      </c>
      <c r="T179" s="59">
        <f t="shared" si="142"/>
        <v>250.47702091764884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41.031982968497587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41.031982968497587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-2.8421709430404007E-13</v>
      </c>
      <c r="AJ179" s="13">
        <f>AI179*VLOOKUP('Données projet'!$B$10,Paramètres!$A$1:$I$89,3,0)*VLOOKUP('Données projet'!$B$10,Paramètres!$A$1:$I$89,5,0)</f>
        <v>-2.2612312022829427E-13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327.22763817565902</v>
      </c>
      <c r="AO179" s="59">
        <f t="shared" si="144"/>
        <v>311.68541696405975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15.523808114452665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15.523808114452665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2.8421709430404007E-14</v>
      </c>
      <c r="BE179" s="13">
        <f>BD179*VLOOKUP('Données projet'!$B$11,Paramètres!$A$1:$I$89,3,0)*VLOOKUP('Données projet'!$B$11,Paramètres!$A$1:$I$89,5,0)</f>
        <v>1.8178525351686402E-14</v>
      </c>
      <c r="BF179" s="13">
        <f t="shared" si="167"/>
        <v>3.3304129621647644E-13</v>
      </c>
      <c r="BG179" s="20">
        <f t="shared" si="168"/>
        <v>6.1170785589788349E-13</v>
      </c>
      <c r="BH179" s="59">
        <f t="shared" si="116"/>
        <v>289.12040147383823</v>
      </c>
      <c r="BI179" s="59">
        <f ca="1">AVERAGE(OFFSET($BH$3,0,0,'Données projet'!$E$11+1,1))-AVERAGE(OFFSET($H$3,0,0,'Données projet'!$E$11+1,1))</f>
        <v>169.46470423366029</v>
      </c>
      <c r="BJ179" s="59">
        <f t="shared" si="146"/>
        <v>230.78141128389288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3.3630046053491394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3.3630046053491394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-1.7053025658242404E-13</v>
      </c>
      <c r="BZ179" s="13">
        <f>BY179*VLOOKUP('Données projet'!$B$12,Paramètres!$A$1:$I$89,3,0)*VLOOKUP('Données projet'!$B$12,Paramètres!$A$1:$I$89,5,0)</f>
        <v>-1.4897523215040567E-13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342.79161436526499</v>
      </c>
      <c r="CE179" s="59">
        <f t="shared" si="148"/>
        <v>315.50730924873733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18.074935081826894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18.074935081826894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-5.6843418860808015E-14</v>
      </c>
      <c r="CU179" s="17">
        <f>CT179*VLOOKUP('Données projet'!$B$13,Paramètres!$A$1:$I$89,3,0)*VLOOKUP('Données projet'!$B$13,Paramètres!$A$1:$I$89,5,0)</f>
        <v>-3.813056537183002E-14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201.84651193684252</v>
      </c>
      <c r="CZ179" s="59">
        <f t="shared" si="150"/>
        <v>138.00705940844708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14.745501964720631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14.745501964720631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1.1368683772161603E-13</v>
      </c>
      <c r="DP179" s="17">
        <f>DO179*VLOOKUP('Données projet'!$B$14,Paramètres!$A$1:$I$89,3,0)*VLOOKUP('Données projet'!$B$14,Paramètres!$A$1:$I$89,5,0)</f>
        <v>8.3355189417488869E-14</v>
      </c>
      <c r="DQ179" s="13">
        <f t="shared" si="176"/>
        <v>1.2790518435140618E-12</v>
      </c>
      <c r="DR179" s="20">
        <f t="shared" si="177"/>
        <v>2.3728589156891171E-12</v>
      </c>
      <c r="DS179" s="59">
        <f t="shared" si="125"/>
        <v>289.12040147383999</v>
      </c>
      <c r="DT179" s="59">
        <f ca="1">AVERAGE(OFFSET($DS$3,0,0,'Données projet'!$E$14+1,1))-AVERAGE(OFFSET($H$3,0,0,'Données projet'!$E$14+1,1))</f>
        <v>242.21240859696931</v>
      </c>
      <c r="DU179" s="59">
        <f t="shared" si="152"/>
        <v>340.92165104349192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6.3378086531291524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6.3378086531291524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-5.6843418860808015E-14</v>
      </c>
      <c r="EK179" s="17">
        <f>EJ179*VLOOKUP('Données projet'!$B$15,Paramètres!$A$1:$I$89,3,0)*VLOOKUP('Données projet'!$B$15,Paramètres!$A$1:$I$89,5,0)</f>
        <v>-5.4978954722173515E-14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331.7059599630698</v>
      </c>
      <c r="EP179" s="59">
        <f t="shared" si="154"/>
        <v>173.19148969173838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30.102996392671201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30.102996392671201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-5.6843418860808015E-14</v>
      </c>
      <c r="FF179" s="17">
        <f>FE179*VLOOKUP('Données projet'!$B$16,Paramètres!$A$1:$I$89,3,0)*VLOOKUP('Données projet'!$B$16,Paramètres!$A$1:$I$89,5,0)</f>
        <v>-6.1186256061773749E-14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360.86062459677004</v>
      </c>
      <c r="FK179" s="59">
        <f t="shared" si="156"/>
        <v>186.0840067781198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36.129129921198228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36.129129921198228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-5.1159076974727213E-13</v>
      </c>
      <c r="GA179" s="17">
        <f>FZ179*VLOOKUP('Données projet'!$B$17,Paramètres!$A$1:$I$89,3,0)*VLOOKUP('Données projet'!$B$17,Paramètres!$A$1:$I$89,5,0)</f>
        <v>-5.1875304052373401E-13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448.73339628506784</v>
      </c>
      <c r="GF179" s="59">
        <f t="shared" si="158"/>
        <v>273.35778700650803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45.984118844005891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45.984118844005891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-5.1159076974727213E-13</v>
      </c>
      <c r="O180" s="13">
        <f>N180*VLOOKUP('Données projet'!$B$9,Paramètres!$A$1:$I$89,3,0)*VLOOKUP('Données projet'!$B$9,Paramètres!$A$1:$I$89,5,0)</f>
        <v>-4.6288732846733184E-13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408.51124670343137</v>
      </c>
      <c r="T180" s="59">
        <f t="shared" si="142"/>
        <v>250.47702091764884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40.227370809523748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40.227370809523748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-2.8421709430404007E-13</v>
      </c>
      <c r="AJ180" s="13">
        <f>AI180*VLOOKUP('Données projet'!$B$10,Paramètres!$A$1:$I$89,3,0)*VLOOKUP('Données projet'!$B$10,Paramètres!$A$1:$I$89,5,0)</f>
        <v>-2.2612312022829427E-13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327.22763817565902</v>
      </c>
      <c r="AO180" s="59">
        <f t="shared" si="144"/>
        <v>311.68541696405975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15.219395705916252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15.219395705916252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2.8421709430404007E-14</v>
      </c>
      <c r="BE180" s="13">
        <f>BD180*VLOOKUP('Données projet'!$B$11,Paramètres!$A$1:$I$89,3,0)*VLOOKUP('Données projet'!$B$11,Paramètres!$A$1:$I$89,5,0)</f>
        <v>1.8178525351686402E-14</v>
      </c>
      <c r="BF180" s="13">
        <f t="shared" si="167"/>
        <v>3.3304129621647644E-13</v>
      </c>
      <c r="BG180" s="20">
        <f t="shared" si="168"/>
        <v>6.1170785589788349E-13</v>
      </c>
      <c r="BH180" s="59">
        <f t="shared" si="116"/>
        <v>289.19348642289589</v>
      </c>
      <c r="BI180" s="59">
        <f ca="1">AVERAGE(OFFSET($BH$3,0,0,'Données projet'!$E$11+1,1))-AVERAGE(OFFSET($H$3,0,0,'Données projet'!$E$11+1,1))</f>
        <v>169.46470423366029</v>
      </c>
      <c r="BJ180" s="59">
        <f t="shared" si="146"/>
        <v>230.78141128389288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3.2970581362685096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3.2970581362685096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-1.7053025658242404E-13</v>
      </c>
      <c r="BZ180" s="13">
        <f>BY180*VLOOKUP('Données projet'!$B$12,Paramètres!$A$1:$I$89,3,0)*VLOOKUP('Données projet'!$B$12,Paramètres!$A$1:$I$89,5,0)</f>
        <v>-1.4897523215040567E-13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342.79161436526499</v>
      </c>
      <c r="CE180" s="59">
        <f t="shared" si="148"/>
        <v>315.50730924873733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17.720496629494079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17.720496629494079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-5.6843418860808015E-14</v>
      </c>
      <c r="CU180" s="17">
        <f>CT180*VLOOKUP('Données projet'!$B$13,Paramètres!$A$1:$I$89,3,0)*VLOOKUP('Données projet'!$B$13,Paramètres!$A$1:$I$89,5,0)</f>
        <v>-3.813056537183002E-14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201.84651193684252</v>
      </c>
      <c r="CZ180" s="59">
        <f t="shared" si="150"/>
        <v>138.00705940844708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14.456351665060588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14.456351665060588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1.1368683772161603E-13</v>
      </c>
      <c r="DP180" s="17">
        <f>DO180*VLOOKUP('Données projet'!$B$14,Paramètres!$A$1:$I$89,3,0)*VLOOKUP('Données projet'!$B$14,Paramètres!$A$1:$I$89,5,0)</f>
        <v>8.3355189417488869E-14</v>
      </c>
      <c r="DQ180" s="13">
        <f t="shared" si="176"/>
        <v>1.2790518435140618E-12</v>
      </c>
      <c r="DR180" s="20">
        <f t="shared" si="177"/>
        <v>2.3728589156891171E-12</v>
      </c>
      <c r="DS180" s="59">
        <f t="shared" si="125"/>
        <v>289.19348642289765</v>
      </c>
      <c r="DT180" s="59">
        <f ca="1">AVERAGE(OFFSET($DS$3,0,0,'Données projet'!$E$14+1,1))-AVERAGE(OFFSET($H$3,0,0,'Données projet'!$E$14+1,1))</f>
        <v>242.21240859696931</v>
      </c>
      <c r="DU180" s="59">
        <f t="shared" si="152"/>
        <v>340.92165104349192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6.2135280911228641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6.2135280911228641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-5.6843418860808015E-14</v>
      </c>
      <c r="EK180" s="17">
        <f>EJ180*VLOOKUP('Données projet'!$B$15,Paramètres!$A$1:$I$89,3,0)*VLOOKUP('Données projet'!$B$15,Paramètres!$A$1:$I$89,5,0)</f>
        <v>-5.4978954722173515E-14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331.7059599630698</v>
      </c>
      <c r="EP180" s="59">
        <f t="shared" si="154"/>
        <v>173.19148969173838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29.512694994425718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29.512694994425718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-5.6843418860808015E-14</v>
      </c>
      <c r="FF180" s="17">
        <f>FE180*VLOOKUP('Données projet'!$B$16,Paramètres!$A$1:$I$89,3,0)*VLOOKUP('Données projet'!$B$16,Paramètres!$A$1:$I$89,5,0)</f>
        <v>-6.1186256061773749E-14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360.86062459677004</v>
      </c>
      <c r="FK180" s="59">
        <f t="shared" si="156"/>
        <v>186.0840067781198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35.420659720036852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35.420659720036852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-5.1159076974727213E-13</v>
      </c>
      <c r="GA180" s="17">
        <f>FZ180*VLOOKUP('Données projet'!$B$17,Paramètres!$A$1:$I$89,3,0)*VLOOKUP('Données projet'!$B$17,Paramètres!$A$1:$I$89,5,0)</f>
        <v>-5.1875304052373401E-13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448.73339628506784</v>
      </c>
      <c r="GF180" s="59">
        <f t="shared" si="158"/>
        <v>273.35778700650803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45.082398321017969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45.082398321017969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-5.1159076974727213E-13</v>
      </c>
      <c r="O181" s="13">
        <f>N181*VLOOKUP('Données projet'!$B$9,Paramètres!$A$1:$I$89,3,0)*VLOOKUP('Données projet'!$B$9,Paramètres!$A$1:$I$89,5,0)</f>
        <v>-4.6288732846733184E-13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408.51124670343137</v>
      </c>
      <c r="T181" s="59">
        <f t="shared" si="142"/>
        <v>250.47702091764884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39.438536604222428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39.438536604222428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-2.8421709430404007E-13</v>
      </c>
      <c r="AJ181" s="13">
        <f>AI181*VLOOKUP('Données projet'!$B$10,Paramètres!$A$1:$I$89,3,0)*VLOOKUP('Données projet'!$B$10,Paramètres!$A$1:$I$89,5,0)</f>
        <v>-2.2612312022829427E-13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327.22763817565902</v>
      </c>
      <c r="AO181" s="59">
        <f t="shared" si="144"/>
        <v>311.68541696405975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14.920952639038003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14.920952639038003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2.8421709430404007E-14</v>
      </c>
      <c r="BE181" s="13">
        <f>BD181*VLOOKUP('Données projet'!$B$11,Paramètres!$A$1:$I$89,3,0)*VLOOKUP('Données projet'!$B$11,Paramètres!$A$1:$I$89,5,0)</f>
        <v>1.8178525351686402E-14</v>
      </c>
      <c r="BF181" s="13">
        <f t="shared" si="167"/>
        <v>3.3304129621647644E-13</v>
      </c>
      <c r="BG181" s="20">
        <f t="shared" si="168"/>
        <v>6.1170785589788349E-13</v>
      </c>
      <c r="BH181" s="59">
        <f t="shared" si="116"/>
        <v>289.26530351148079</v>
      </c>
      <c r="BI181" s="59">
        <f ca="1">AVERAGE(OFFSET($BH$3,0,0,'Données projet'!$E$11+1,1))-AVERAGE(OFFSET($H$3,0,0,'Données projet'!$E$11+1,1))</f>
        <v>169.46470423366029</v>
      </c>
      <c r="BJ181" s="59">
        <f t="shared" si="146"/>
        <v>230.78141128389288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3.2324048372231768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3.2324048372231768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-1.7053025658242404E-13</v>
      </c>
      <c r="BZ181" s="13">
        <f>BY181*VLOOKUP('Données projet'!$B$12,Paramètres!$A$1:$I$89,3,0)*VLOOKUP('Données projet'!$B$12,Paramètres!$A$1:$I$89,5,0)</f>
        <v>-1.4897523215040567E-13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342.79161436526499</v>
      </c>
      <c r="CE181" s="59">
        <f t="shared" si="148"/>
        <v>315.50730924873733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17.373008499025399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17.373008499025399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-5.6843418860808015E-14</v>
      </c>
      <c r="CU181" s="17">
        <f>CT181*VLOOKUP('Données projet'!$B$13,Paramètres!$A$1:$I$89,3,0)*VLOOKUP('Données projet'!$B$13,Paramètres!$A$1:$I$89,5,0)</f>
        <v>-3.813056537183002E-14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201.84651193684252</v>
      </c>
      <c r="CZ181" s="59">
        <f t="shared" si="150"/>
        <v>138.00705940844708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14.172871426412609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14.172871426412609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1.1368683772161603E-13</v>
      </c>
      <c r="DP181" s="17">
        <f>DO181*VLOOKUP('Données projet'!$B$14,Paramètres!$A$1:$I$89,3,0)*VLOOKUP('Données projet'!$B$14,Paramètres!$A$1:$I$89,5,0)</f>
        <v>8.3355189417488869E-14</v>
      </c>
      <c r="DQ181" s="13">
        <f t="shared" si="176"/>
        <v>1.2790518435140618E-12</v>
      </c>
      <c r="DR181" s="20">
        <f t="shared" si="177"/>
        <v>2.3728589156891171E-12</v>
      </c>
      <c r="DS181" s="59">
        <f t="shared" si="125"/>
        <v>289.26530351148256</v>
      </c>
      <c r="DT181" s="59">
        <f ca="1">AVERAGE(OFFSET($DS$3,0,0,'Données projet'!$E$14+1,1))-AVERAGE(OFFSET($H$3,0,0,'Données projet'!$E$14+1,1))</f>
        <v>242.21240859696931</v>
      </c>
      <c r="DU181" s="59">
        <f t="shared" si="152"/>
        <v>340.92165104349192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6.0916845951338612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6.0916845951338612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-5.6843418860808015E-14</v>
      </c>
      <c r="EK181" s="17">
        <f>EJ181*VLOOKUP('Données projet'!$B$15,Paramètres!$A$1:$I$89,3,0)*VLOOKUP('Données projet'!$B$15,Paramètres!$A$1:$I$89,5,0)</f>
        <v>-5.4978954722173515E-14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331.7059599630698</v>
      </c>
      <c r="EP181" s="59">
        <f t="shared" si="154"/>
        <v>173.19148969173838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28.933969046551528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28.933969046551528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-5.6843418860808015E-14</v>
      </c>
      <c r="FF181" s="17">
        <f>FE181*VLOOKUP('Données projet'!$B$16,Paramètres!$A$1:$I$89,3,0)*VLOOKUP('Données projet'!$B$16,Paramètres!$A$1:$I$89,5,0)</f>
        <v>-6.1186256061773749E-14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360.86062459677004</v>
      </c>
      <c r="FK181" s="59">
        <f t="shared" si="156"/>
        <v>186.0840067781198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34.726082187396095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34.726082187396095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-5.1159076974727213E-13</v>
      </c>
      <c r="GA181" s="17">
        <f>FZ181*VLOOKUP('Données projet'!$B$17,Paramètres!$A$1:$I$89,3,0)*VLOOKUP('Données projet'!$B$17,Paramètres!$A$1:$I$89,5,0)</f>
        <v>-5.1875304052373401E-13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448.73339628506784</v>
      </c>
      <c r="GF181" s="59">
        <f t="shared" si="158"/>
        <v>273.35778700650803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44.198359987490626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44.198359987490626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-5.1159076974727213E-13</v>
      </c>
      <c r="O182" s="13">
        <f>N182*VLOOKUP('Données projet'!$B$9,Paramètres!$A$1:$I$89,3,0)*VLOOKUP('Données projet'!$B$9,Paramètres!$A$1:$I$89,5,0)</f>
        <v>-4.6288732846733184E-13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408.51124670343137</v>
      </c>
      <c r="T182" s="59">
        <f t="shared" si="142"/>
        <v>250.47702091764884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38.665170956545708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38.665170956545708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-2.8421709430404007E-13</v>
      </c>
      <c r="AJ182" s="13">
        <f>AI182*VLOOKUP('Données projet'!$B$10,Paramètres!$A$1:$I$89,3,0)*VLOOKUP('Données projet'!$B$10,Paramètres!$A$1:$I$89,5,0)</f>
        <v>-2.2612312022829427E-13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327.22763817565902</v>
      </c>
      <c r="AO182" s="59">
        <f t="shared" si="144"/>
        <v>311.68541696405975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14.62836185866894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14.62836185866894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2.8421709430404007E-14</v>
      </c>
      <c r="BE182" s="13">
        <f>BD182*VLOOKUP('Données projet'!$B$11,Paramètres!$A$1:$I$89,3,0)*VLOOKUP('Données projet'!$B$11,Paramètres!$A$1:$I$89,5,0)</f>
        <v>1.8178525351686402E-14</v>
      </c>
      <c r="BF182" s="13">
        <f t="shared" si="167"/>
        <v>3.3304129621647644E-13</v>
      </c>
      <c r="BG182" s="20">
        <f t="shared" si="168"/>
        <v>6.1170785589788349E-13</v>
      </c>
      <c r="BH182" s="59">
        <f t="shared" si="116"/>
        <v>289.33587473413775</v>
      </c>
      <c r="BI182" s="59">
        <f ca="1">AVERAGE(OFFSET($BH$3,0,0,'Données projet'!$E$11+1,1))-AVERAGE(OFFSET($H$3,0,0,'Données projet'!$E$11+1,1))</f>
        <v>169.46470423366029</v>
      </c>
      <c r="BJ182" s="59">
        <f t="shared" si="146"/>
        <v>230.78141128389288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3.1690193499375043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3.1690193499375043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-1.7053025658242404E-13</v>
      </c>
      <c r="BZ182" s="13">
        <f>BY182*VLOOKUP('Données projet'!$B$12,Paramètres!$A$1:$I$89,3,0)*VLOOKUP('Données projet'!$B$12,Paramètres!$A$1:$I$89,5,0)</f>
        <v>-1.4897523215040567E-13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342.79161436526499</v>
      </c>
      <c r="CE182" s="59">
        <f t="shared" si="148"/>
        <v>315.50730924873733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17.032334398848381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17.032334398848381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-5.6843418860808015E-14</v>
      </c>
      <c r="CU182" s="17">
        <f>CT182*VLOOKUP('Données projet'!$B$13,Paramètres!$A$1:$I$89,3,0)*VLOOKUP('Données projet'!$B$13,Paramètres!$A$1:$I$89,5,0)</f>
        <v>-3.813056537183002E-14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201.84651193684252</v>
      </c>
      <c r="CZ182" s="59">
        <f t="shared" si="150"/>
        <v>138.00705940844708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13.894950062338644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13.894950062338644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1.1368683772161603E-13</v>
      </c>
      <c r="DP182" s="17">
        <f>DO182*VLOOKUP('Données projet'!$B$14,Paramètres!$A$1:$I$89,3,0)*VLOOKUP('Données projet'!$B$14,Paramètres!$A$1:$I$89,5,0)</f>
        <v>8.3355189417488869E-14</v>
      </c>
      <c r="DQ182" s="13">
        <f t="shared" si="176"/>
        <v>1.2790518435140618E-12</v>
      </c>
      <c r="DR182" s="20">
        <f t="shared" si="177"/>
        <v>2.3728589156891171E-12</v>
      </c>
      <c r="DS182" s="59">
        <f t="shared" si="125"/>
        <v>289.33587473413951</v>
      </c>
      <c r="DT182" s="59">
        <f ca="1">AVERAGE(OFFSET($DS$3,0,0,'Données projet'!$E$14+1,1))-AVERAGE(OFFSET($H$3,0,0,'Données projet'!$E$14+1,1))</f>
        <v>242.21240859696931</v>
      </c>
      <c r="DU182" s="59">
        <f t="shared" si="152"/>
        <v>340.92165104349192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5.9722303757840081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5.9722303757840081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-5.6843418860808015E-14</v>
      </c>
      <c r="EK182" s="17">
        <f>EJ182*VLOOKUP('Données projet'!$B$15,Paramètres!$A$1:$I$89,3,0)*VLOOKUP('Données projet'!$B$15,Paramètres!$A$1:$I$89,5,0)</f>
        <v>-5.4978954722173515E-14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331.7059599630698</v>
      </c>
      <c r="EP182" s="59">
        <f t="shared" si="154"/>
        <v>173.19148969173838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28.366591561527176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28.366591561527176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-5.6843418860808015E-14</v>
      </c>
      <c r="FF182" s="17">
        <f>FE182*VLOOKUP('Données projet'!$B$16,Paramètres!$A$1:$I$89,3,0)*VLOOKUP('Données projet'!$B$16,Paramètres!$A$1:$I$89,5,0)</f>
        <v>-6.1186256061773749E-14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360.86062459677004</v>
      </c>
      <c r="FK182" s="59">
        <f t="shared" si="156"/>
        <v>186.0840067781198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34.045124896519958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34.045124896519958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-5.1159076974727213E-13</v>
      </c>
      <c r="GA182" s="17">
        <f>FZ182*VLOOKUP('Données projet'!$B$17,Paramètres!$A$1:$I$89,3,0)*VLOOKUP('Données projet'!$B$17,Paramètres!$A$1:$I$89,5,0)</f>
        <v>-5.1875304052373401E-13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448.73339628506784</v>
      </c>
      <c r="GF182" s="59">
        <f t="shared" si="158"/>
        <v>273.35778700650803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43.331657106473614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43.331657106473614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-5.1159076974727213E-13</v>
      </c>
      <c r="O183" s="13">
        <f>N183*VLOOKUP('Données projet'!$B$9,Paramètres!$A$1:$I$89,3,0)*VLOOKUP('Données projet'!$B$9,Paramètres!$A$1:$I$89,5,0)</f>
        <v>-4.6288732846733184E-13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408.51124670343137</v>
      </c>
      <c r="T183" s="59">
        <f t="shared" si="142"/>
        <v>250.47702091764884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37.906970537513459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37.906970537513459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-2.8421709430404007E-13</v>
      </c>
      <c r="AJ183" s="13">
        <f>AI183*VLOOKUP('Données projet'!$B$10,Paramètres!$A$1:$I$89,3,0)*VLOOKUP('Données projet'!$B$10,Paramètres!$A$1:$I$89,5,0)</f>
        <v>-2.2612312022829427E-13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327.22763817565902</v>
      </c>
      <c r="AO183" s="59">
        <f t="shared" si="144"/>
        <v>311.68541696405975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14.341508605040161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14.341508605040161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2.8421709430404007E-14</v>
      </c>
      <c r="BE183" s="13">
        <f>BD183*VLOOKUP('Données projet'!$B$11,Paramètres!$A$1:$I$89,3,0)*VLOOKUP('Données projet'!$B$11,Paramètres!$A$1:$I$89,5,0)</f>
        <v>1.8178525351686402E-14</v>
      </c>
      <c r="BF183" s="13">
        <f t="shared" si="167"/>
        <v>3.3304129621647644E-13</v>
      </c>
      <c r="BG183" s="20">
        <f t="shared" si="168"/>
        <v>6.1170785589788349E-13</v>
      </c>
      <c r="BH183" s="59">
        <f t="shared" si="116"/>
        <v>289.40522170385526</v>
      </c>
      <c r="BI183" s="59">
        <f ca="1">AVERAGE(OFFSET($BH$3,0,0,'Données projet'!$E$11+1,1))-AVERAGE(OFFSET($H$3,0,0,'Données projet'!$E$11+1,1))</f>
        <v>169.46470423366029</v>
      </c>
      <c r="BJ183" s="59">
        <f t="shared" si="146"/>
        <v>230.78141128389288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3.1068768133961742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3.1068768133961742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-1.7053025658242404E-13</v>
      </c>
      <c r="BZ183" s="13">
        <f>BY183*VLOOKUP('Données projet'!$B$12,Paramètres!$A$1:$I$89,3,0)*VLOOKUP('Données projet'!$B$12,Paramètres!$A$1:$I$89,5,0)</f>
        <v>-1.4897523215040567E-13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342.79161436526499</v>
      </c>
      <c r="CE183" s="59">
        <f t="shared" si="148"/>
        <v>315.50730924873733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16.69834070998515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16.69834070998515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-5.6843418860808015E-14</v>
      </c>
      <c r="CU183" s="17">
        <f>CT183*VLOOKUP('Données projet'!$B$13,Paramètres!$A$1:$I$89,3,0)*VLOOKUP('Données projet'!$B$13,Paramètres!$A$1:$I$89,5,0)</f>
        <v>-3.813056537183002E-14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201.84651193684252</v>
      </c>
      <c r="CZ183" s="59">
        <f t="shared" si="150"/>
        <v>138.00705940844708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13.622478566698877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13.622478566698877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1.1368683772161603E-13</v>
      </c>
      <c r="DP183" s="17">
        <f>DO183*VLOOKUP('Données projet'!$B$14,Paramètres!$A$1:$I$89,3,0)*VLOOKUP('Données projet'!$B$14,Paramètres!$A$1:$I$89,5,0)</f>
        <v>8.3355189417488869E-14</v>
      </c>
      <c r="DQ183" s="13">
        <f t="shared" si="176"/>
        <v>1.2790518435140618E-12</v>
      </c>
      <c r="DR183" s="20">
        <f t="shared" si="177"/>
        <v>2.3728589156891171E-12</v>
      </c>
      <c r="DS183" s="59">
        <f t="shared" si="125"/>
        <v>289.40522170385702</v>
      </c>
      <c r="DT183" s="59">
        <f ca="1">AVERAGE(OFFSET($DS$3,0,0,'Données projet'!$E$14+1,1))-AVERAGE(OFFSET($H$3,0,0,'Données projet'!$E$14+1,1))</f>
        <v>242.21240859696931</v>
      </c>
      <c r="DU183" s="59">
        <f t="shared" si="152"/>
        <v>340.92165104349192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5.8551185808157262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5.8551185808157262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-5.6843418860808015E-14</v>
      </c>
      <c r="EK183" s="17">
        <f>EJ183*VLOOKUP('Données projet'!$B$15,Paramètres!$A$1:$I$89,3,0)*VLOOKUP('Données projet'!$B$15,Paramètres!$A$1:$I$89,5,0)</f>
        <v>-5.4978954722173515E-14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331.7059599630698</v>
      </c>
      <c r="EP183" s="59">
        <f t="shared" si="154"/>
        <v>173.19148969173838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27.810340002918061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27.810340002918061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-5.6843418860808015E-14</v>
      </c>
      <c r="FF183" s="17">
        <f>FE183*VLOOKUP('Données projet'!$B$16,Paramètres!$A$1:$I$89,3,0)*VLOOKUP('Données projet'!$B$16,Paramètres!$A$1:$I$89,5,0)</f>
        <v>-6.1186256061773749E-14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360.86062459677004</v>
      </c>
      <c r="FK183" s="59">
        <f t="shared" si="156"/>
        <v>186.0840067781198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33.377520762774971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33.377520762774971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-5.1159076974727213E-13</v>
      </c>
      <c r="GA183" s="17">
        <f>FZ183*VLOOKUP('Données projet'!$B$17,Paramètres!$A$1:$I$89,3,0)*VLOOKUP('Données projet'!$B$17,Paramètres!$A$1:$I$89,5,0)</f>
        <v>-5.1875304052373401E-13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448.73339628506784</v>
      </c>
      <c r="GF183" s="59">
        <f t="shared" si="158"/>
        <v>273.35778700650803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42.481949740316786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42.481949740316786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-5.1159076974727213E-13</v>
      </c>
      <c r="O184" s="13">
        <f>N184*VLOOKUP('Données projet'!$B$9,Paramètres!$A$1:$I$89,3,0)*VLOOKUP('Données projet'!$B$9,Paramètres!$A$1:$I$89,5,0)</f>
        <v>-4.6288732846733184E-13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408.51124670343137</v>
      </c>
      <c r="T184" s="59">
        <f t="shared" si="142"/>
        <v>250.47702091764884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37.163637966241843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37.163637966241843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-2.8421709430404007E-13</v>
      </c>
      <c r="AJ184" s="13">
        <f>AI184*VLOOKUP('Données projet'!$B$10,Paramètres!$A$1:$I$89,3,0)*VLOOKUP('Données projet'!$B$10,Paramètres!$A$1:$I$89,5,0)</f>
        <v>-2.2612312022829427E-13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327.22763817565902</v>
      </c>
      <c r="AO184" s="59">
        <f t="shared" si="144"/>
        <v>311.68541696405975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14.060280368751833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14.060280368751833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2.8421709430404007E-14</v>
      </c>
      <c r="BE184" s="13">
        <f>BD184*VLOOKUP('Données projet'!$B$11,Paramètres!$A$1:$I$89,3,0)*VLOOKUP('Données projet'!$B$11,Paramètres!$A$1:$I$89,5,0)</f>
        <v>1.8178525351686402E-14</v>
      </c>
      <c r="BF184" s="13">
        <f t="shared" si="167"/>
        <v>3.3304129621647644E-13</v>
      </c>
      <c r="BG184" s="20">
        <f t="shared" si="168"/>
        <v>6.1170785589788349E-13</v>
      </c>
      <c r="BH184" s="59">
        <f t="shared" si="116"/>
        <v>289.47336565868471</v>
      </c>
      <c r="BI184" s="59">
        <f ca="1">AVERAGE(OFFSET($BH$3,0,0,'Données projet'!$E$11+1,1))-AVERAGE(OFFSET($H$3,0,0,'Données projet'!$E$11+1,1))</f>
        <v>169.46470423366029</v>
      </c>
      <c r="BJ184" s="59">
        <f t="shared" si="146"/>
        <v>230.78141128389288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3.045952854093215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3.045952854093215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-1.7053025658242404E-13</v>
      </c>
      <c r="BZ184" s="13">
        <f>BY184*VLOOKUP('Données projet'!$B$12,Paramètres!$A$1:$I$89,3,0)*VLOOKUP('Données projet'!$B$12,Paramètres!$A$1:$I$89,5,0)</f>
        <v>-1.4897523215040567E-13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342.79161436526499</v>
      </c>
      <c r="CE184" s="59">
        <f t="shared" si="148"/>
        <v>315.50730924873733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16.370896433644489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16.370896433644489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-5.6843418860808015E-14</v>
      </c>
      <c r="CU184" s="17">
        <f>CT184*VLOOKUP('Données projet'!$B$13,Paramètres!$A$1:$I$89,3,0)*VLOOKUP('Données projet'!$B$13,Paramètres!$A$1:$I$89,5,0)</f>
        <v>-3.813056537183002E-14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201.84651193684252</v>
      </c>
      <c r="CZ184" s="59">
        <f t="shared" si="150"/>
        <v>138.00705940844708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13.355350070897403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13.355350070897403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1.1368683772161603E-13</v>
      </c>
      <c r="DP184" s="17">
        <f>DO184*VLOOKUP('Données projet'!$B$14,Paramètres!$A$1:$I$89,3,0)*VLOOKUP('Données projet'!$B$14,Paramètres!$A$1:$I$89,5,0)</f>
        <v>8.3355189417488869E-14</v>
      </c>
      <c r="DQ184" s="13">
        <f t="shared" si="176"/>
        <v>1.2790518435140618E-12</v>
      </c>
      <c r="DR184" s="20">
        <f t="shared" si="177"/>
        <v>2.3728589156891171E-12</v>
      </c>
      <c r="DS184" s="59">
        <f t="shared" si="125"/>
        <v>289.47336565868648</v>
      </c>
      <c r="DT184" s="59">
        <f ca="1">AVERAGE(OFFSET($DS$3,0,0,'Données projet'!$E$14+1,1))-AVERAGE(OFFSET($H$3,0,0,'Données projet'!$E$14+1,1))</f>
        <v>242.21240859696931</v>
      </c>
      <c r="DU184" s="59">
        <f t="shared" si="152"/>
        <v>340.92165104349192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5.7403032767156308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5.7403032767156308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-5.6843418860808015E-14</v>
      </c>
      <c r="EK184" s="17">
        <f>EJ184*VLOOKUP('Données projet'!$B$15,Paramètres!$A$1:$I$89,3,0)*VLOOKUP('Données projet'!$B$15,Paramètres!$A$1:$I$89,5,0)</f>
        <v>-5.4978954722173515E-14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331.7059599630698</v>
      </c>
      <c r="EP184" s="59">
        <f t="shared" si="154"/>
        <v>173.19148969173838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27.264996198093318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27.264996198093318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-5.6843418860808015E-14</v>
      </c>
      <c r="FF184" s="17">
        <f>FE184*VLOOKUP('Données projet'!$B$16,Paramètres!$A$1:$I$89,3,0)*VLOOKUP('Données projet'!$B$16,Paramètres!$A$1:$I$89,5,0)</f>
        <v>-6.1186256061773749E-14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360.86062459677004</v>
      </c>
      <c r="FK184" s="59">
        <f t="shared" si="156"/>
        <v>186.0840067781198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32.723007938894405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32.723007938894405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-5.1159076974727213E-13</v>
      </c>
      <c r="GA184" s="17">
        <f>FZ184*VLOOKUP('Données projet'!$B$17,Paramètres!$A$1:$I$89,3,0)*VLOOKUP('Données projet'!$B$17,Paramètres!$A$1:$I$89,5,0)</f>
        <v>-5.1875304052373401E-13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448.73339628506784</v>
      </c>
      <c r="GF184" s="59">
        <f t="shared" si="158"/>
        <v>273.35778700650803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41.648904617339973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41.648904617339973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-5.1159076974727213E-13</v>
      </c>
      <c r="O185" s="13">
        <f>N185*VLOOKUP('Données projet'!$B$9,Paramètres!$A$1:$I$89,3,0)*VLOOKUP('Données projet'!$B$9,Paramètres!$A$1:$I$89,5,0)</f>
        <v>-4.6288732846733184E-13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408.51124670343137</v>
      </c>
      <c r="T185" s="59">
        <f t="shared" si="142"/>
        <v>250.47702091764884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36.43488169330476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36.43488169330476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-2.8421709430404007E-13</v>
      </c>
      <c r="AJ185" s="13">
        <f>AI185*VLOOKUP('Données projet'!$B$10,Paramètres!$A$1:$I$89,3,0)*VLOOKUP('Données projet'!$B$10,Paramètres!$A$1:$I$89,5,0)</f>
        <v>-2.2612312022829427E-13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327.22763817565902</v>
      </c>
      <c r="AO185" s="59">
        <f t="shared" si="144"/>
        <v>311.68541696405975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13.784566846644832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13.784566846644832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2.8421709430404007E-14</v>
      </c>
      <c r="BE185" s="13">
        <f>BD185*VLOOKUP('Données projet'!$B$11,Paramètres!$A$1:$I$89,3,0)*VLOOKUP('Données projet'!$B$11,Paramètres!$A$1:$I$89,5,0)</f>
        <v>1.8178525351686402E-14</v>
      </c>
      <c r="BF185" s="13">
        <f t="shared" si="167"/>
        <v>3.3304129621647644E-13</v>
      </c>
      <c r="BG185" s="20">
        <f t="shared" si="168"/>
        <v>6.1170785589788349E-13</v>
      </c>
      <c r="BH185" s="59">
        <f t="shared" si="116"/>
        <v>289.54032746824504</v>
      </c>
      <c r="BI185" s="59">
        <f ca="1">AVERAGE(OFFSET($BH$3,0,0,'Données projet'!$E$11+1,1))-AVERAGE(OFFSET($H$3,0,0,'Données projet'!$E$11+1,1))</f>
        <v>169.46470423366029</v>
      </c>
      <c r="BJ185" s="59">
        <f t="shared" si="146"/>
        <v>230.78141128389288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2.9862235764722409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2.9862235764722409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-1.7053025658242404E-13</v>
      </c>
      <c r="BZ185" s="13">
        <f>BY185*VLOOKUP('Données projet'!$B$12,Paramètres!$A$1:$I$89,3,0)*VLOOKUP('Données projet'!$B$12,Paramètres!$A$1:$I$89,5,0)</f>
        <v>-1.4897523215040567E-13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342.79161436526499</v>
      </c>
      <c r="CE185" s="59">
        <f t="shared" si="148"/>
        <v>315.50730924873733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16.049873139841583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16.049873139841583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-5.6843418860808015E-14</v>
      </c>
      <c r="CU185" s="17">
        <f>CT185*VLOOKUP('Données projet'!$B$13,Paramètres!$A$1:$I$89,3,0)*VLOOKUP('Données projet'!$B$13,Paramètres!$A$1:$I$89,5,0)</f>
        <v>-3.813056537183002E-14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201.84651193684252</v>
      </c>
      <c r="CZ185" s="59">
        <f t="shared" si="150"/>
        <v>138.00705940844708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13.093459801966302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13.093459801966302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1.1368683772161603E-13</v>
      </c>
      <c r="DP185" s="17">
        <f>DO185*VLOOKUP('Données projet'!$B$14,Paramètres!$A$1:$I$89,3,0)*VLOOKUP('Données projet'!$B$14,Paramètres!$A$1:$I$89,5,0)</f>
        <v>8.3355189417488869E-14</v>
      </c>
      <c r="DQ185" s="13">
        <f t="shared" si="176"/>
        <v>1.2790518435140618E-12</v>
      </c>
      <c r="DR185" s="20">
        <f t="shared" si="177"/>
        <v>2.3728589156891171E-12</v>
      </c>
      <c r="DS185" s="59">
        <f t="shared" si="125"/>
        <v>289.5403274682468</v>
      </c>
      <c r="DT185" s="59">
        <f ca="1">AVERAGE(OFFSET($DS$3,0,0,'Données projet'!$E$14+1,1))-AVERAGE(OFFSET($H$3,0,0,'Données projet'!$E$14+1,1))</f>
        <v>242.21240859696931</v>
      </c>
      <c r="DU185" s="59">
        <f t="shared" si="152"/>
        <v>340.92165104349192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5.6277394306985178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5.6277394306985178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-5.6843418860808015E-14</v>
      </c>
      <c r="EK185" s="17">
        <f>EJ185*VLOOKUP('Données projet'!$B$15,Paramètres!$A$1:$I$89,3,0)*VLOOKUP('Données projet'!$B$15,Paramètres!$A$1:$I$89,5,0)</f>
        <v>-5.4978954722173515E-14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331.7059599630698</v>
      </c>
      <c r="EP185" s="59">
        <f t="shared" si="154"/>
        <v>173.19148969173838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26.730346252654311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26.730346252654311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-5.6843418860808015E-14</v>
      </c>
      <c r="FF185" s="17">
        <f>FE185*VLOOKUP('Données projet'!$B$16,Paramètres!$A$1:$I$89,3,0)*VLOOKUP('Données projet'!$B$16,Paramètres!$A$1:$I$89,5,0)</f>
        <v>-6.1186256061773749E-14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360.86062459677004</v>
      </c>
      <c r="FK185" s="59">
        <f t="shared" si="156"/>
        <v>186.0840067781198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32.081329712276734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32.081329712276734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-5.1159076974727213E-13</v>
      </c>
      <c r="GA185" s="17">
        <f>FZ185*VLOOKUP('Données projet'!$B$17,Paramètres!$A$1:$I$89,3,0)*VLOOKUP('Données projet'!$B$17,Paramètres!$A$1:$I$89,5,0)</f>
        <v>-5.1875304052373401E-13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448.73339628506784</v>
      </c>
      <c r="GF185" s="59">
        <f t="shared" si="158"/>
        <v>273.35778700650803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40.832195001117384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40.832195001117384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-5.1159076974727213E-13</v>
      </c>
      <c r="O186" s="13">
        <f>N186*VLOOKUP('Données projet'!$B$9,Paramètres!$A$1:$I$89,3,0)*VLOOKUP('Données projet'!$B$9,Paramètres!$A$1:$I$89,5,0)</f>
        <v>-4.6288732846733184E-13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408.51124670343137</v>
      </c>
      <c r="T186" s="59">
        <f t="shared" si="142"/>
        <v>250.47702091764884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35.72041588638254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35.72041588638254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-2.8421709430404007E-13</v>
      </c>
      <c r="AJ186" s="13">
        <f>AI186*VLOOKUP('Données projet'!$B$10,Paramètres!$A$1:$I$89,3,0)*VLOOKUP('Données projet'!$B$10,Paramètres!$A$1:$I$89,5,0)</f>
        <v>-2.2612312022829427E-13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327.22763817565902</v>
      </c>
      <c r="AO186" s="59">
        <f t="shared" si="144"/>
        <v>311.68541696405975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13.514259898537707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13.514259898537707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2.8421709430404007E-14</v>
      </c>
      <c r="BE186" s="13">
        <f>BD186*VLOOKUP('Données projet'!$B$11,Paramètres!$A$1:$I$89,3,0)*VLOOKUP('Données projet'!$B$11,Paramètres!$A$1:$I$89,5,0)</f>
        <v>1.8178525351686402E-14</v>
      </c>
      <c r="BF186" s="13">
        <f t="shared" si="167"/>
        <v>3.3304129621647644E-13</v>
      </c>
      <c r="BG186" s="20">
        <f t="shared" si="168"/>
        <v>6.1170785589788349E-13</v>
      </c>
      <c r="BH186" s="59">
        <f t="shared" si="116"/>
        <v>289.60612764011358</v>
      </c>
      <c r="BI186" s="59">
        <f ca="1">AVERAGE(OFFSET($BH$3,0,0,'Données projet'!$E$11+1,1))-AVERAGE(OFFSET($H$3,0,0,'Données projet'!$E$11+1,1))</f>
        <v>169.46470423366029</v>
      </c>
      <c r="BJ186" s="59">
        <f t="shared" si="146"/>
        <v>230.78141128389288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2.927665553554152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2.927665553554152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-1.7053025658242404E-13</v>
      </c>
      <c r="BZ186" s="13">
        <f>BY186*VLOOKUP('Données projet'!$B$12,Paramètres!$A$1:$I$89,3,0)*VLOOKUP('Données projet'!$B$12,Paramètres!$A$1:$I$89,5,0)</f>
        <v>-1.4897523215040567E-13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342.79161436526499</v>
      </c>
      <c r="CE186" s="59">
        <f t="shared" si="148"/>
        <v>315.50730924873733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15.735144917025277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15.735144917025277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-5.6843418860808015E-14</v>
      </c>
      <c r="CU186" s="17">
        <f>CT186*VLOOKUP('Données projet'!$B$13,Paramètres!$A$1:$I$89,3,0)*VLOOKUP('Données projet'!$B$13,Paramètres!$A$1:$I$89,5,0)</f>
        <v>-3.813056537183002E-14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201.84651193684252</v>
      </c>
      <c r="CZ186" s="59">
        <f t="shared" si="150"/>
        <v>138.00705940844708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12.836705041471648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12.836705041471648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1.1368683772161603E-13</v>
      </c>
      <c r="DP186" s="17">
        <f>DO186*VLOOKUP('Données projet'!$B$14,Paramètres!$A$1:$I$89,3,0)*VLOOKUP('Données projet'!$B$14,Paramètres!$A$1:$I$89,5,0)</f>
        <v>8.3355189417488869E-14</v>
      </c>
      <c r="DQ186" s="13">
        <f t="shared" si="176"/>
        <v>1.2790518435140618E-12</v>
      </c>
      <c r="DR186" s="20">
        <f t="shared" si="177"/>
        <v>2.3728589156891171E-12</v>
      </c>
      <c r="DS186" s="59">
        <f t="shared" si="125"/>
        <v>289.60612764011535</v>
      </c>
      <c r="DT186" s="59">
        <f ca="1">AVERAGE(OFFSET($DS$3,0,0,'Données projet'!$E$14+1,1))-AVERAGE(OFFSET($H$3,0,0,'Données projet'!$E$14+1,1))</f>
        <v>242.21240859696931</v>
      </c>
      <c r="DU186" s="59">
        <f t="shared" si="152"/>
        <v>340.92165104349192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5.5173828930446334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5.5173828930446334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-5.6843418860808015E-14</v>
      </c>
      <c r="EK186" s="17">
        <f>EJ186*VLOOKUP('Données projet'!$B$15,Paramètres!$A$1:$I$89,3,0)*VLOOKUP('Données projet'!$B$15,Paramètres!$A$1:$I$89,5,0)</f>
        <v>-5.4978954722173515E-14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331.7059599630698</v>
      </c>
      <c r="EP186" s="59">
        <f t="shared" si="154"/>
        <v>173.19148969173838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26.206180466541099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26.206180466541099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-5.6843418860808015E-14</v>
      </c>
      <c r="FF186" s="17">
        <f>FE186*VLOOKUP('Données projet'!$B$16,Paramètres!$A$1:$I$89,3,0)*VLOOKUP('Données projet'!$B$16,Paramètres!$A$1:$I$89,5,0)</f>
        <v>-6.1186256061773749E-14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360.86062459677004</v>
      </c>
      <c r="FK186" s="59">
        <f t="shared" si="156"/>
        <v>186.0840067781198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31.452234404297965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31.452234404297965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-5.1159076974727213E-13</v>
      </c>
      <c r="GA186" s="17">
        <f>FZ186*VLOOKUP('Données projet'!$B$17,Paramètres!$A$1:$I$89,3,0)*VLOOKUP('Données projet'!$B$17,Paramètres!$A$1:$I$89,5,0)</f>
        <v>-5.1875304052373401E-13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448.73339628506784</v>
      </c>
      <c r="GF186" s="59">
        <f t="shared" si="158"/>
        <v>273.35778700650803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40.031500562325242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40.031500562325242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-5.1159076974727213E-13</v>
      </c>
      <c r="O187" s="13">
        <f>N187*VLOOKUP('Données projet'!$B$9,Paramètres!$A$1:$I$89,3,0)*VLOOKUP('Données projet'!$B$9,Paramètres!$A$1:$I$89,5,0)</f>
        <v>-4.6288732846733184E-13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408.51124670343137</v>
      </c>
      <c r="T187" s="59">
        <f t="shared" si="142"/>
        <v>250.47702091764884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35.019960318152954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35.019960318152954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-2.8421709430404007E-13</v>
      </c>
      <c r="AJ187" s="13">
        <f>AI187*VLOOKUP('Données projet'!$B$10,Paramètres!$A$1:$I$89,3,0)*VLOOKUP('Données projet'!$B$10,Paramètres!$A$1:$I$89,5,0)</f>
        <v>-2.2612312022829427E-13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327.22763817565902</v>
      </c>
      <c r="AO187" s="59">
        <f t="shared" si="144"/>
        <v>311.68541696405975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13.249253504812003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13.249253504812003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2.8421709430404007E-14</v>
      </c>
      <c r="BE187" s="13">
        <f>BD187*VLOOKUP('Données projet'!$B$11,Paramètres!$A$1:$I$89,3,0)*VLOOKUP('Données projet'!$B$11,Paramètres!$A$1:$I$89,5,0)</f>
        <v>1.8178525351686402E-14</v>
      </c>
      <c r="BF187" s="13">
        <f t="shared" si="167"/>
        <v>3.3304129621647644E-13</v>
      </c>
      <c r="BG187" s="20">
        <f t="shared" si="168"/>
        <v>6.1170785589788349E-13</v>
      </c>
      <c r="BH187" s="59">
        <f t="shared" si="116"/>
        <v>289.67078632610736</v>
      </c>
      <c r="BI187" s="59">
        <f ca="1">AVERAGE(OFFSET($BH$3,0,0,'Données projet'!$E$11+1,1))-AVERAGE(OFFSET($H$3,0,0,'Données projet'!$E$11+1,1))</f>
        <v>169.46470423366029</v>
      </c>
      <c r="BJ187" s="59">
        <f t="shared" si="146"/>
        <v>230.78141128389288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2.8702558177486197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2.8702558177486197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-1.7053025658242404E-13</v>
      </c>
      <c r="BZ187" s="13">
        <f>BY187*VLOOKUP('Données projet'!$B$12,Paramètres!$A$1:$I$89,3,0)*VLOOKUP('Données projet'!$B$12,Paramètres!$A$1:$I$89,5,0)</f>
        <v>-1.4897523215040567E-13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342.79161436526499</v>
      </c>
      <c r="CE187" s="59">
        <f t="shared" si="148"/>
        <v>315.50730924873733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15.426588322693137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15.426588322693137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-5.6843418860808015E-14</v>
      </c>
      <c r="CU187" s="17">
        <f>CT187*VLOOKUP('Données projet'!$B$13,Paramètres!$A$1:$I$89,3,0)*VLOOKUP('Données projet'!$B$13,Paramètres!$A$1:$I$89,5,0)</f>
        <v>-3.813056537183002E-14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201.84651193684252</v>
      </c>
      <c r="CZ187" s="59">
        <f t="shared" si="150"/>
        <v>138.00705940844708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12.584985085225354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12.584985085225354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1.1368683772161603E-13</v>
      </c>
      <c r="DP187" s="17">
        <f>DO187*VLOOKUP('Données projet'!$B$14,Paramètres!$A$1:$I$89,3,0)*VLOOKUP('Données projet'!$B$14,Paramètres!$A$1:$I$89,5,0)</f>
        <v>8.3355189417488869E-14</v>
      </c>
      <c r="DQ187" s="13">
        <f t="shared" si="176"/>
        <v>1.2790518435140618E-12</v>
      </c>
      <c r="DR187" s="20">
        <f t="shared" si="177"/>
        <v>2.3728589156891171E-12</v>
      </c>
      <c r="DS187" s="59">
        <f t="shared" si="125"/>
        <v>289.67078632610912</v>
      </c>
      <c r="DT187" s="59">
        <f ca="1">AVERAGE(OFFSET($DS$3,0,0,'Données projet'!$E$14+1,1))-AVERAGE(OFFSET($H$3,0,0,'Données projet'!$E$14+1,1))</f>
        <v>242.21240859696931</v>
      </c>
      <c r="DU187" s="59">
        <f t="shared" si="152"/>
        <v>340.92165104349192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5.4091903797832996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5.4091903797832996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-5.6843418860808015E-14</v>
      </c>
      <c r="EK187" s="17">
        <f>EJ187*VLOOKUP('Données projet'!$B$15,Paramètres!$A$1:$I$89,3,0)*VLOOKUP('Données projet'!$B$15,Paramètres!$A$1:$I$89,5,0)</f>
        <v>-5.4978954722173515E-14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331.7059599630698</v>
      </c>
      <c r="EP187" s="59">
        <f t="shared" si="154"/>
        <v>173.19148969173838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25.692293251784005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25.692293251784005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-5.6843418860808015E-14</v>
      </c>
      <c r="FF187" s="17">
        <f>FE187*VLOOKUP('Données projet'!$B$16,Paramètres!$A$1:$I$89,3,0)*VLOOKUP('Données projet'!$B$16,Paramètres!$A$1:$I$89,5,0)</f>
        <v>-6.1186256061773749E-14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360.86062459677004</v>
      </c>
      <c r="FK187" s="59">
        <f t="shared" si="156"/>
        <v>186.0840067781198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30.835475271598408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30.835475271598408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-5.1159076974727213E-13</v>
      </c>
      <c r="GA187" s="17">
        <f>FZ187*VLOOKUP('Données projet'!$B$17,Paramètres!$A$1:$I$89,3,0)*VLOOKUP('Données projet'!$B$17,Paramètres!$A$1:$I$89,5,0)</f>
        <v>-5.1875304052373401E-13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448.73339628506784</v>
      </c>
      <c r="GF187" s="59">
        <f t="shared" si="158"/>
        <v>273.35778700650803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39.246507253102429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39.246507253102429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-5.1159076974727213E-13</v>
      </c>
      <c r="O188" s="13">
        <f>N188*VLOOKUP('Données projet'!$B$9,Paramètres!$A$1:$I$89,3,0)*VLOOKUP('Données projet'!$B$9,Paramètres!$A$1:$I$89,5,0)</f>
        <v>-4.6288732846733184E-13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408.51124670343137</v>
      </c>
      <c r="T188" s="59">
        <f t="shared" si="142"/>
        <v>250.47702091764884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34.333240256380634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34.333240256380634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-2.8421709430404007E-13</v>
      </c>
      <c r="AJ188" s="13">
        <f>AI188*VLOOKUP('Données projet'!$B$10,Paramètres!$A$1:$I$89,3,0)*VLOOKUP('Données projet'!$B$10,Paramètres!$A$1:$I$89,5,0)</f>
        <v>-2.2612312022829427E-13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327.22763817565902</v>
      </c>
      <c r="AO188" s="59">
        <f t="shared" si="144"/>
        <v>311.68541696405975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12.989443724829322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12.989443724829322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2.8421709430404007E-14</v>
      </c>
      <c r="BE188" s="13">
        <f>BD188*VLOOKUP('Données projet'!$B$11,Paramètres!$A$1:$I$89,3,0)*VLOOKUP('Données projet'!$B$11,Paramètres!$A$1:$I$89,5,0)</f>
        <v>1.8178525351686402E-14</v>
      </c>
      <c r="BF188" s="13">
        <f t="shared" si="167"/>
        <v>3.3304129621647644E-13</v>
      </c>
      <c r="BG188" s="20">
        <f t="shared" si="168"/>
        <v>6.1170785589788349E-13</v>
      </c>
      <c r="BH188" s="59">
        <f t="shared" si="116"/>
        <v>289.73432332845437</v>
      </c>
      <c r="BI188" s="59">
        <f ca="1">AVERAGE(OFFSET($BH$3,0,0,'Données projet'!$E$11+1,1))-AVERAGE(OFFSET($H$3,0,0,'Données projet'!$E$11+1,1))</f>
        <v>169.46470423366029</v>
      </c>
      <c r="BJ188" s="59">
        <f t="shared" si="146"/>
        <v>230.78141128389288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2.8139718518457526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2.8139718518457526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-1.7053025658242404E-13</v>
      </c>
      <c r="BZ188" s="13">
        <f>BY188*VLOOKUP('Données projet'!$B$12,Paramètres!$A$1:$I$89,3,0)*VLOOKUP('Données projet'!$B$12,Paramètres!$A$1:$I$89,5,0)</f>
        <v>-1.4897523215040567E-13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342.79161436526499</v>
      </c>
      <c r="CE188" s="59">
        <f t="shared" si="148"/>
        <v>315.50730924873733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15.124082334974911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15.124082334974911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-5.6843418860808015E-14</v>
      </c>
      <c r="CU188" s="17">
        <f>CT188*VLOOKUP('Données projet'!$B$13,Paramètres!$A$1:$I$89,3,0)*VLOOKUP('Données projet'!$B$13,Paramètres!$A$1:$I$89,5,0)</f>
        <v>-3.813056537183002E-14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201.84651193684252</v>
      </c>
      <c r="CZ188" s="59">
        <f t="shared" si="150"/>
        <v>138.00705940844708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12.338201203787037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12.338201203787037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1.1368683772161603E-13</v>
      </c>
      <c r="DP188" s="17">
        <f>DO188*VLOOKUP('Données projet'!$B$14,Paramètres!$A$1:$I$89,3,0)*VLOOKUP('Données projet'!$B$14,Paramètres!$A$1:$I$89,5,0)</f>
        <v>8.3355189417488869E-14</v>
      </c>
      <c r="DQ188" s="13">
        <f t="shared" si="176"/>
        <v>1.2790518435140618E-12</v>
      </c>
      <c r="DR188" s="20">
        <f t="shared" si="177"/>
        <v>2.3728589156891171E-12</v>
      </c>
      <c r="DS188" s="59">
        <f t="shared" si="125"/>
        <v>289.73432332845613</v>
      </c>
      <c r="DT188" s="59">
        <f ca="1">AVERAGE(OFFSET($DS$3,0,0,'Données projet'!$E$14+1,1))-AVERAGE(OFFSET($H$3,0,0,'Données projet'!$E$14+1,1))</f>
        <v>242.21240859696931</v>
      </c>
      <c r="DU188" s="59">
        <f t="shared" si="152"/>
        <v>340.92165104349192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5.3031194557161037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5.3031194557161037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-5.6843418860808015E-14</v>
      </c>
      <c r="EK188" s="17">
        <f>EJ188*VLOOKUP('Données projet'!$B$15,Paramètres!$A$1:$I$89,3,0)*VLOOKUP('Données projet'!$B$15,Paramètres!$A$1:$I$89,5,0)</f>
        <v>-5.4978954722173515E-14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331.7059599630698</v>
      </c>
      <c r="EP188" s="59">
        <f t="shared" si="154"/>
        <v>173.19148969173838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25.188483051868047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25.188483051868047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-5.6843418860808015E-14</v>
      </c>
      <c r="FF188" s="17">
        <f>FE188*VLOOKUP('Données projet'!$B$16,Paramètres!$A$1:$I$89,3,0)*VLOOKUP('Données projet'!$B$16,Paramètres!$A$1:$I$89,5,0)</f>
        <v>-6.1186256061773749E-14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360.86062459677004</v>
      </c>
      <c r="FK188" s="59">
        <f t="shared" si="156"/>
        <v>186.0840067781198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30.230810409305164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30.230810409305164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-5.1159076974727213E-13</v>
      </c>
      <c r="GA188" s="17">
        <f>FZ188*VLOOKUP('Données projet'!$B$17,Paramètres!$A$1:$I$89,3,0)*VLOOKUP('Données projet'!$B$17,Paramètres!$A$1:$I$89,5,0)</f>
        <v>-5.1875304052373401E-13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448.73339628506784</v>
      </c>
      <c r="GF188" s="59">
        <f t="shared" si="158"/>
        <v>273.35778700650803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38.476907183874836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38.476907183874836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-5.1159076974727213E-13</v>
      </c>
      <c r="O189" s="13">
        <f>N189*VLOOKUP('Données projet'!$B$9,Paramètres!$A$1:$I$89,3,0)*VLOOKUP('Données projet'!$B$9,Paramètres!$A$1:$I$89,5,0)</f>
        <v>-4.6288732846733184E-13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408.51124670343137</v>
      </c>
      <c r="T189" s="59">
        <f t="shared" si="142"/>
        <v>250.47702091764884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33.659986356161795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33.659986356161795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-2.8421709430404007E-13</v>
      </c>
      <c r="AJ189" s="13">
        <f>AI189*VLOOKUP('Données projet'!$B$10,Paramètres!$A$1:$I$89,3,0)*VLOOKUP('Données projet'!$B$10,Paramètres!$A$1:$I$89,5,0)</f>
        <v>-2.2612312022829427E-13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327.22763817565902</v>
      </c>
      <c r="AO189" s="59">
        <f t="shared" si="144"/>
        <v>311.68541696405975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12.734728656163782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12.734728656163782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2.8421709430404007E-14</v>
      </c>
      <c r="BE189" s="13">
        <f>BD189*VLOOKUP('Données projet'!$B$11,Paramètres!$A$1:$I$89,3,0)*VLOOKUP('Données projet'!$B$11,Paramètres!$A$1:$I$89,5,0)</f>
        <v>1.8178525351686402E-14</v>
      </c>
      <c r="BF189" s="13">
        <f t="shared" si="167"/>
        <v>3.3304129621647644E-13</v>
      </c>
      <c r="BG189" s="20">
        <f t="shared" si="168"/>
        <v>6.1170785589788349E-13</v>
      </c>
      <c r="BH189" s="59">
        <f t="shared" si="116"/>
        <v>289.79675810585803</v>
      </c>
      <c r="BI189" s="59">
        <f ca="1">AVERAGE(OFFSET($BH$3,0,0,'Données projet'!$E$11+1,1))-AVERAGE(OFFSET($H$3,0,0,'Données projet'!$E$11+1,1))</f>
        <v>169.46470423366029</v>
      </c>
      <c r="BJ189" s="59">
        <f t="shared" si="146"/>
        <v>230.78141128389288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2.7587915801844112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2.7587915801844112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-1.7053025658242404E-13</v>
      </c>
      <c r="BZ189" s="13">
        <f>BY189*VLOOKUP('Données projet'!$B$12,Paramètres!$A$1:$I$89,3,0)*VLOOKUP('Données projet'!$B$12,Paramètres!$A$1:$I$89,5,0)</f>
        <v>-1.4897523215040567E-13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342.79161436526499</v>
      </c>
      <c r="CE189" s="59">
        <f t="shared" si="148"/>
        <v>315.50730924873733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14.827508305165406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14.827508305165406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-5.6843418860808015E-14</v>
      </c>
      <c r="CU189" s="17">
        <f>CT189*VLOOKUP('Données projet'!$B$13,Paramètres!$A$1:$I$89,3,0)*VLOOKUP('Données projet'!$B$13,Paramètres!$A$1:$I$89,5,0)</f>
        <v>-3.813056537183002E-14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201.84651193684252</v>
      </c>
      <c r="CZ189" s="59">
        <f t="shared" si="150"/>
        <v>138.00705940844708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12.09625660374042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12.09625660374042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1.1368683772161603E-13</v>
      </c>
      <c r="DP189" s="17">
        <f>DO189*VLOOKUP('Données projet'!$B$14,Paramètres!$A$1:$I$89,3,0)*VLOOKUP('Données projet'!$B$14,Paramètres!$A$1:$I$89,5,0)</f>
        <v>8.3355189417488869E-14</v>
      </c>
      <c r="DQ189" s="13">
        <f t="shared" si="176"/>
        <v>1.2790518435140618E-12</v>
      </c>
      <c r="DR189" s="20">
        <f t="shared" si="177"/>
        <v>2.3728589156891171E-12</v>
      </c>
      <c r="DS189" s="59">
        <f t="shared" si="125"/>
        <v>289.79675810585979</v>
      </c>
      <c r="DT189" s="59">
        <f ca="1">AVERAGE(OFFSET($DS$3,0,0,'Données projet'!$E$14+1,1))-AVERAGE(OFFSET($H$3,0,0,'Données projet'!$E$14+1,1))</f>
        <v>242.21240859696931</v>
      </c>
      <c r="DU189" s="59">
        <f t="shared" si="152"/>
        <v>340.92165104349192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5.1991285177729907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5.1991285177729907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-5.6843418860808015E-14</v>
      </c>
      <c r="EK189" s="17">
        <f>EJ189*VLOOKUP('Données projet'!$B$15,Paramètres!$A$1:$I$89,3,0)*VLOOKUP('Données projet'!$B$15,Paramètres!$A$1:$I$89,5,0)</f>
        <v>-5.4978954722173515E-14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331.7059599630698</v>
      </c>
      <c r="EP189" s="59">
        <f t="shared" si="154"/>
        <v>173.19148969173838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24.69455226267856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24.69455226267856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-5.6843418860808015E-14</v>
      </c>
      <c r="FF189" s="17">
        <f>FE189*VLOOKUP('Données projet'!$B$16,Paramètres!$A$1:$I$89,3,0)*VLOOKUP('Données projet'!$B$16,Paramètres!$A$1:$I$89,5,0)</f>
        <v>-6.1186256061773749E-14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360.86062459677004</v>
      </c>
      <c r="FK189" s="59">
        <f t="shared" si="156"/>
        <v>186.0840067781198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29.638002656152342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29.638002656152342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-5.1159076974727213E-13</v>
      </c>
      <c r="GA189" s="17">
        <f>FZ189*VLOOKUP('Données projet'!$B$17,Paramètres!$A$1:$I$89,3,0)*VLOOKUP('Données projet'!$B$17,Paramètres!$A$1:$I$89,5,0)</f>
        <v>-5.1875304052373401E-13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448.73339628506784</v>
      </c>
      <c r="GF189" s="59">
        <f t="shared" si="158"/>
        <v>273.35778700650803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37.722398502595098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37.722398502595098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-5.1159076974727213E-13</v>
      </c>
      <c r="O190" s="13">
        <f>N190*VLOOKUP('Données projet'!$B$9,Paramètres!$A$1:$I$89,3,0)*VLOOKUP('Données projet'!$B$9,Paramètres!$A$1:$I$89,5,0)</f>
        <v>-4.6288732846733184E-13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408.51124670343137</v>
      </c>
      <c r="T190" s="59">
        <f t="shared" si="142"/>
        <v>250.47702091764884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32.999934554281914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32.999934554281914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-2.8421709430404007E-13</v>
      </c>
      <c r="AJ190" s="13">
        <f>AI190*VLOOKUP('Données projet'!$B$10,Paramètres!$A$1:$I$89,3,0)*VLOOKUP('Données projet'!$B$10,Paramètres!$A$1:$I$89,5,0)</f>
        <v>-2.2612312022829427E-13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327.22763817565902</v>
      </c>
      <c r="AO190" s="59">
        <f t="shared" si="144"/>
        <v>311.68541696405975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12.485008394633921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12.485008394633921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2.8421709430404007E-14</v>
      </c>
      <c r="BE190" s="13">
        <f>BD190*VLOOKUP('Données projet'!$B$11,Paramètres!$A$1:$I$89,3,0)*VLOOKUP('Données projet'!$B$11,Paramètres!$A$1:$I$89,5,0)</f>
        <v>1.8178525351686402E-14</v>
      </c>
      <c r="BF190" s="13">
        <f t="shared" si="167"/>
        <v>3.3304129621647644E-13</v>
      </c>
      <c r="BG190" s="20">
        <f t="shared" si="168"/>
        <v>6.1170785589788349E-13</v>
      </c>
      <c r="BH190" s="59">
        <f t="shared" si="116"/>
        <v>289.85810977945704</v>
      </c>
      <c r="BI190" s="59">
        <f ca="1">AVERAGE(OFFSET($BH$3,0,0,'Données projet'!$E$11+1,1))-AVERAGE(OFFSET($H$3,0,0,'Données projet'!$E$11+1,1))</f>
        <v>169.46470423366029</v>
      </c>
      <c r="BJ190" s="59">
        <f t="shared" si="146"/>
        <v>230.78141128389288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2.7046933599937062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2.7046933599937062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-1.7053025658242404E-13</v>
      </c>
      <c r="BZ190" s="13">
        <f>BY190*VLOOKUP('Données projet'!$B$12,Paramètres!$A$1:$I$89,3,0)*VLOOKUP('Données projet'!$B$12,Paramètres!$A$1:$I$89,5,0)</f>
        <v>-1.4897523215040567E-13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342.79161436526499</v>
      </c>
      <c r="CE190" s="59">
        <f t="shared" si="148"/>
        <v>315.50730924873733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14.536749911188169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14.536749911188169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-5.6843418860808015E-14</v>
      </c>
      <c r="CU190" s="17">
        <f>CT190*VLOOKUP('Données projet'!$B$13,Paramètres!$A$1:$I$89,3,0)*VLOOKUP('Données projet'!$B$13,Paramètres!$A$1:$I$89,5,0)</f>
        <v>-3.813056537183002E-14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201.84651193684252</v>
      </c>
      <c r="CZ190" s="59">
        <f t="shared" si="150"/>
        <v>138.00705940844708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11.859056389729083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11.859056389729083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1.1368683772161603E-13</v>
      </c>
      <c r="DP190" s="17">
        <f>DO190*VLOOKUP('Données projet'!$B$14,Paramètres!$A$1:$I$89,3,0)*VLOOKUP('Données projet'!$B$14,Paramètres!$A$1:$I$89,5,0)</f>
        <v>8.3355189417488869E-14</v>
      </c>
      <c r="DQ190" s="13">
        <f t="shared" si="176"/>
        <v>1.2790518435140618E-12</v>
      </c>
      <c r="DR190" s="20">
        <f t="shared" si="177"/>
        <v>2.3728589156891171E-12</v>
      </c>
      <c r="DS190" s="59">
        <f t="shared" si="125"/>
        <v>289.8581097794588</v>
      </c>
      <c r="DT190" s="59">
        <f ca="1">AVERAGE(OFFSET($DS$3,0,0,'Données projet'!$E$14+1,1))-AVERAGE(OFFSET($H$3,0,0,'Données projet'!$E$14+1,1))</f>
        <v>242.21240859696931</v>
      </c>
      <c r="DU190" s="59">
        <f t="shared" si="152"/>
        <v>340.92165104349192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5.0971767786947328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5.0971767786947328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-5.6843418860808015E-14</v>
      </c>
      <c r="EK190" s="17">
        <f>EJ190*VLOOKUP('Données projet'!$B$15,Paramètres!$A$1:$I$89,3,0)*VLOOKUP('Données projet'!$B$15,Paramètres!$A$1:$I$89,5,0)</f>
        <v>-5.4978954722173515E-14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331.7059599630698</v>
      </c>
      <c r="EP190" s="59">
        <f t="shared" si="154"/>
        <v>173.19148969173838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24.210307154997047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24.210307154997047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-5.6843418860808015E-14</v>
      </c>
      <c r="FF190" s="17">
        <f>FE190*VLOOKUP('Données projet'!$B$16,Paramètres!$A$1:$I$89,3,0)*VLOOKUP('Données projet'!$B$16,Paramètres!$A$1:$I$89,5,0)</f>
        <v>-6.1186256061773749E-14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360.86062459677004</v>
      </c>
      <c r="FK190" s="59">
        <f t="shared" si="156"/>
        <v>186.0840067781198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29.05681950146182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29.05681950146182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-5.1159076974727213E-13</v>
      </c>
      <c r="GA190" s="17">
        <f>FZ190*VLOOKUP('Données projet'!$B$17,Paramètres!$A$1:$I$89,3,0)*VLOOKUP('Données projet'!$B$17,Paramètres!$A$1:$I$89,5,0)</f>
        <v>-5.1875304052373401E-13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448.73339628506784</v>
      </c>
      <c r="GF190" s="59">
        <f t="shared" si="158"/>
        <v>273.35778700650803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36.982685276350402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36.982685276350402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-5.1159076974727213E-13</v>
      </c>
      <c r="O191" s="13">
        <f>N191*VLOOKUP('Données projet'!$B$9,Paramètres!$A$1:$I$89,3,0)*VLOOKUP('Données projet'!$B$9,Paramètres!$A$1:$I$89,5,0)</f>
        <v>-4.6288732846733184E-13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408.51124670343137</v>
      </c>
      <c r="T191" s="59">
        <f t="shared" si="142"/>
        <v>250.47702091764884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32.352825965645053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32.352825965645053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-2.8421709430404007E-13</v>
      </c>
      <c r="AJ191" s="13">
        <f>AI191*VLOOKUP('Données projet'!$B$10,Paramètres!$A$1:$I$89,3,0)*VLOOKUP('Données projet'!$B$10,Paramètres!$A$1:$I$89,5,0)</f>
        <v>-2.2612312022829427E-13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327.22763817565902</v>
      </c>
      <c r="AO191" s="59">
        <f t="shared" si="144"/>
        <v>311.68541696405975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12.240184995118341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12.240184995118341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2.8421709430404007E-14</v>
      </c>
      <c r="BE191" s="13">
        <f>BD191*VLOOKUP('Données projet'!$B$11,Paramètres!$A$1:$I$89,3,0)*VLOOKUP('Données projet'!$B$11,Paramètres!$A$1:$I$89,5,0)</f>
        <v>1.8178525351686402E-14</v>
      </c>
      <c r="BF191" s="13">
        <f t="shared" si="167"/>
        <v>3.3304129621647644E-13</v>
      </c>
      <c r="BG191" s="20">
        <f t="shared" si="168"/>
        <v>6.1170785589788349E-13</v>
      </c>
      <c r="BH191" s="59">
        <f t="shared" si="116"/>
        <v>289.91839713868086</v>
      </c>
      <c r="BI191" s="59">
        <f ca="1">AVERAGE(OFFSET($BH$3,0,0,'Données projet'!$E$11+1,1))-AVERAGE(OFFSET($H$3,0,0,'Données projet'!$E$11+1,1))</f>
        <v>169.46470423366029</v>
      </c>
      <c r="BJ191" s="59">
        <f t="shared" si="146"/>
        <v>230.78141128389288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2.651655972904285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2.651655972904285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-1.7053025658242404E-13</v>
      </c>
      <c r="BZ191" s="13">
        <f>BY191*VLOOKUP('Données projet'!$B$12,Paramètres!$A$1:$I$89,3,0)*VLOOKUP('Données projet'!$B$12,Paramètres!$A$1:$I$89,5,0)</f>
        <v>-1.4897523215040567E-13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342.79161436526499</v>
      </c>
      <c r="CE191" s="59">
        <f t="shared" si="148"/>
        <v>315.50730924873733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14.251693111971717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14.251693111971717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-5.6843418860808015E-14</v>
      </c>
      <c r="CU191" s="17">
        <f>CT191*VLOOKUP('Données projet'!$B$13,Paramètres!$A$1:$I$89,3,0)*VLOOKUP('Données projet'!$B$13,Paramètres!$A$1:$I$89,5,0)</f>
        <v>-3.813056537183002E-14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201.84651193684252</v>
      </c>
      <c r="CZ191" s="59">
        <f t="shared" si="150"/>
        <v>138.00705940844708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11.626507527236663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11.626507527236663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1.1368683772161603E-13</v>
      </c>
      <c r="DP191" s="17">
        <f>DO191*VLOOKUP('Données projet'!$B$14,Paramètres!$A$1:$I$89,3,0)*VLOOKUP('Données projet'!$B$14,Paramètres!$A$1:$I$89,5,0)</f>
        <v>8.3355189417488869E-14</v>
      </c>
      <c r="DQ191" s="13">
        <f t="shared" si="176"/>
        <v>1.2790518435140618E-12</v>
      </c>
      <c r="DR191" s="20">
        <f t="shared" si="177"/>
        <v>2.3728589156891171E-12</v>
      </c>
      <c r="DS191" s="59">
        <f t="shared" si="125"/>
        <v>289.91839713868262</v>
      </c>
      <c r="DT191" s="59">
        <f ca="1">AVERAGE(OFFSET($DS$3,0,0,'Données projet'!$E$14+1,1))-AVERAGE(OFFSET($H$3,0,0,'Données projet'!$E$14+1,1))</f>
        <v>242.21240859696931</v>
      </c>
      <c r="DU191" s="59">
        <f t="shared" si="152"/>
        <v>340.92165104349192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4.9972242510353784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4.9972242510353784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-5.6843418860808015E-14</v>
      </c>
      <c r="EK191" s="17">
        <f>EJ191*VLOOKUP('Données projet'!$B$15,Paramètres!$A$1:$I$89,3,0)*VLOOKUP('Données projet'!$B$15,Paramètres!$A$1:$I$89,5,0)</f>
        <v>-5.4978954722173515E-14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331.7059599630698</v>
      </c>
      <c r="EP191" s="59">
        <f t="shared" si="154"/>
        <v>173.19148969173838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23.735557798516815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23.735557798516815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-5.6843418860808015E-14</v>
      </c>
      <c r="FF191" s="17">
        <f>FE191*VLOOKUP('Données projet'!$B$16,Paramètres!$A$1:$I$89,3,0)*VLOOKUP('Données projet'!$B$16,Paramètres!$A$1:$I$89,5,0)</f>
        <v>-6.1186256061773749E-14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360.86062459677004</v>
      </c>
      <c r="FK191" s="59">
        <f t="shared" si="156"/>
        <v>186.0840067781198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28.487032993948059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28.487032993948059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-5.1159076974727213E-13</v>
      </c>
      <c r="GA191" s="17">
        <f>FZ191*VLOOKUP('Données projet'!$B$17,Paramètres!$A$1:$I$89,3,0)*VLOOKUP('Données projet'!$B$17,Paramètres!$A$1:$I$89,5,0)</f>
        <v>-5.1875304052373401E-13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448.73339628506784</v>
      </c>
      <c r="GF191" s="59">
        <f t="shared" si="158"/>
        <v>273.35778700650803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36.257477375291849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36.257477375291849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-5.1159076974727213E-13</v>
      </c>
      <c r="O192" s="13">
        <f>N192*VLOOKUP('Données projet'!$B$9,Paramètres!$A$1:$I$89,3,0)*VLOOKUP('Données projet'!$B$9,Paramètres!$A$1:$I$89,5,0)</f>
        <v>-4.6288732846733184E-13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408.51124670343137</v>
      </c>
      <c r="T192" s="59">
        <f t="shared" si="142"/>
        <v>250.47702091764884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31.718406781734092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31.718406781734092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-2.8421709430404007E-13</v>
      </c>
      <c r="AJ192" s="13">
        <f>AI192*VLOOKUP('Données projet'!$B$10,Paramètres!$A$1:$I$89,3,0)*VLOOKUP('Données projet'!$B$10,Paramètres!$A$1:$I$89,5,0)</f>
        <v>-2.2612312022829427E-13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327.22763817565902</v>
      </c>
      <c r="AO192" s="59">
        <f t="shared" si="144"/>
        <v>311.68541696405975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12.000162433139733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12.000162433139733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2.8421709430404007E-14</v>
      </c>
      <c r="BE192" s="13">
        <f>BD192*VLOOKUP('Données projet'!$B$11,Paramètres!$A$1:$I$89,3,0)*VLOOKUP('Données projet'!$B$11,Paramètres!$A$1:$I$89,5,0)</f>
        <v>1.8178525351686402E-14</v>
      </c>
      <c r="BF192" s="13">
        <f t="shared" si="167"/>
        <v>3.3304129621647644E-13</v>
      </c>
      <c r="BG192" s="20">
        <f t="shared" si="168"/>
        <v>6.1170785589788349E-13</v>
      </c>
      <c r="BH192" s="59">
        <f t="shared" si="116"/>
        <v>289.97763864700448</v>
      </c>
      <c r="BI192" s="59">
        <f ca="1">AVERAGE(OFFSET($BH$3,0,0,'Données projet'!$E$11+1,1))-AVERAGE(OFFSET($H$3,0,0,'Données projet'!$E$11+1,1))</f>
        <v>169.46470423366029</v>
      </c>
      <c r="BJ192" s="59">
        <f t="shared" si="146"/>
        <v>230.78141128389288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2.5996586166260753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2.5996586166260753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-1.7053025658242404E-13</v>
      </c>
      <c r="BZ192" s="13">
        <f>BY192*VLOOKUP('Données projet'!$B$12,Paramètres!$A$1:$I$89,3,0)*VLOOKUP('Données projet'!$B$12,Paramètres!$A$1:$I$89,5,0)</f>
        <v>-1.4897523215040567E-13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342.79161436526499</v>
      </c>
      <c r="CE192" s="59">
        <f t="shared" si="148"/>
        <v>315.50730924873733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13.97222610272042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13.97222610272042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-5.6843418860808015E-14</v>
      </c>
      <c r="CU192" s="17">
        <f>CT192*VLOOKUP('Données projet'!$B$13,Paramètres!$A$1:$I$89,3,0)*VLOOKUP('Données projet'!$B$13,Paramètres!$A$1:$I$89,5,0)</f>
        <v>-3.813056537183002E-14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201.84651193684252</v>
      </c>
      <c r="CZ192" s="59">
        <f t="shared" si="150"/>
        <v>138.00705940844708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11.39851880609692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11.39851880609692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1.1368683772161603E-13</v>
      </c>
      <c r="DP192" s="17">
        <f>DO192*VLOOKUP('Données projet'!$B$14,Paramètres!$A$1:$I$89,3,0)*VLOOKUP('Données projet'!$B$14,Paramètres!$A$1:$I$89,5,0)</f>
        <v>8.3355189417488869E-14</v>
      </c>
      <c r="DQ192" s="13">
        <f t="shared" si="176"/>
        <v>1.2790518435140618E-12</v>
      </c>
      <c r="DR192" s="20">
        <f t="shared" si="177"/>
        <v>2.3728589156891171E-12</v>
      </c>
      <c r="DS192" s="59">
        <f t="shared" si="125"/>
        <v>289.97763864700624</v>
      </c>
      <c r="DT192" s="59">
        <f ca="1">AVERAGE(OFFSET($DS$3,0,0,'Données projet'!$E$14+1,1))-AVERAGE(OFFSET($H$3,0,0,'Données projet'!$E$14+1,1))</f>
        <v>242.21240859696931</v>
      </c>
      <c r="DU192" s="59">
        <f t="shared" si="152"/>
        <v>340.92165104349192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4.8992317314784017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4.8992317314784017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-5.6843418860808015E-14</v>
      </c>
      <c r="EK192" s="17">
        <f>EJ192*VLOOKUP('Données projet'!$B$15,Paramètres!$A$1:$I$89,3,0)*VLOOKUP('Données projet'!$B$15,Paramètres!$A$1:$I$89,5,0)</f>
        <v>-5.4978954722173515E-14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331.7059599630698</v>
      </c>
      <c r="EP192" s="59">
        <f t="shared" si="154"/>
        <v>173.19148969173838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23.270117987348648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23.270117987348648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-5.6843418860808015E-14</v>
      </c>
      <c r="FF192" s="17">
        <f>FE192*VLOOKUP('Données projet'!$B$16,Paramètres!$A$1:$I$89,3,0)*VLOOKUP('Données projet'!$B$16,Paramètres!$A$1:$I$89,5,0)</f>
        <v>-6.1186256061773749E-14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360.86062459677004</v>
      </c>
      <c r="FK192" s="59">
        <f t="shared" si="156"/>
        <v>186.0840067781198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27.928419652311188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27.928419652311188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-5.1159076974727213E-13</v>
      </c>
      <c r="GA192" s="17">
        <f>FZ192*VLOOKUP('Données projet'!$B$17,Paramètres!$A$1:$I$89,3,0)*VLOOKUP('Données projet'!$B$17,Paramètres!$A$1:$I$89,5,0)</f>
        <v>-5.1875304052373401E-13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448.73339628506784</v>
      </c>
      <c r="GF192" s="59">
        <f t="shared" si="158"/>
        <v>273.35778700650803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35.546490358839911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35.546490358839911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-5.1159076974727213E-13</v>
      </c>
      <c r="O193" s="13">
        <f>N193*VLOOKUP('Données projet'!$B$9,Paramètres!$A$1:$I$89,3,0)*VLOOKUP('Données projet'!$B$9,Paramètres!$A$1:$I$89,5,0)</f>
        <v>-4.6288732846733184E-13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408.51124670343137</v>
      </c>
      <c r="T193" s="59">
        <f t="shared" si="142"/>
        <v>250.47702091764884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31.096428171062133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31.096428171062133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-2.8421709430404007E-13</v>
      </c>
      <c r="AJ193" s="13">
        <f>AI193*VLOOKUP('Données projet'!$B$10,Paramètres!$A$1:$I$89,3,0)*VLOOKUP('Données projet'!$B$10,Paramètres!$A$1:$I$89,5,0)</f>
        <v>-2.2612312022829427E-13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327.22763817565902</v>
      </c>
      <c r="AO193" s="59">
        <f t="shared" si="144"/>
        <v>311.68541696405975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11.76484656720222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11.76484656720222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2.8421709430404007E-14</v>
      </c>
      <c r="BE193" s="13">
        <f>BD193*VLOOKUP('Données projet'!$B$11,Paramètres!$A$1:$I$89,3,0)*VLOOKUP('Données projet'!$B$11,Paramètres!$A$1:$I$89,5,0)</f>
        <v>1.8178525351686402E-14</v>
      </c>
      <c r="BF193" s="13">
        <f t="shared" si="167"/>
        <v>3.3304129621647644E-13</v>
      </c>
      <c r="BG193" s="20">
        <f t="shared" si="168"/>
        <v>6.1170785589788349E-13</v>
      </c>
      <c r="BH193" s="59">
        <f t="shared" si="116"/>
        <v>290.03585244760291</v>
      </c>
      <c r="BI193" s="59">
        <f ca="1">AVERAGE(OFFSET($BH$3,0,0,'Données projet'!$E$11+1,1))-AVERAGE(OFFSET($H$3,0,0,'Données projet'!$E$11+1,1))</f>
        <v>169.46470423366029</v>
      </c>
      <c r="BJ193" s="59">
        <f t="shared" si="146"/>
        <v>230.78141128389288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2.5486808967892256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2.5486808967892256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-1.7053025658242404E-13</v>
      </c>
      <c r="BZ193" s="13">
        <f>BY193*VLOOKUP('Données projet'!$B$12,Paramètres!$A$1:$I$89,3,0)*VLOOKUP('Données projet'!$B$12,Paramètres!$A$1:$I$89,5,0)</f>
        <v>-1.4897523215040567E-13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342.79161436526499</v>
      </c>
      <c r="CE193" s="59">
        <f t="shared" si="148"/>
        <v>315.50730924873733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13.698239271062496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13.698239271062496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-5.6843418860808015E-14</v>
      </c>
      <c r="CU193" s="17">
        <f>CT193*VLOOKUP('Données projet'!$B$13,Paramètres!$A$1:$I$89,3,0)*VLOOKUP('Données projet'!$B$13,Paramètres!$A$1:$I$89,5,0)</f>
        <v>-3.813056537183002E-14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201.84651193684252</v>
      </c>
      <c r="CZ193" s="59">
        <f t="shared" si="150"/>
        <v>138.00705940844708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11.175000804719337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11.175000804719337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1.1368683772161603E-13</v>
      </c>
      <c r="DP193" s="17">
        <f>DO193*VLOOKUP('Données projet'!$B$14,Paramètres!$A$1:$I$89,3,0)*VLOOKUP('Données projet'!$B$14,Paramètres!$A$1:$I$89,5,0)</f>
        <v>8.3355189417488869E-14</v>
      </c>
      <c r="DQ193" s="13">
        <f t="shared" si="176"/>
        <v>1.2790518435140618E-12</v>
      </c>
      <c r="DR193" s="20">
        <f t="shared" si="177"/>
        <v>2.3728589156891171E-12</v>
      </c>
      <c r="DS193" s="59">
        <f t="shared" si="125"/>
        <v>290.03585244760467</v>
      </c>
      <c r="DT193" s="59">
        <f ca="1">AVERAGE(OFFSET($DS$3,0,0,'Données projet'!$E$14+1,1))-AVERAGE(OFFSET($H$3,0,0,'Données projet'!$E$14+1,1))</f>
        <v>242.21240859696931</v>
      </c>
      <c r="DU193" s="59">
        <f t="shared" si="152"/>
        <v>340.92165104349192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4.8031607854604026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4.8031607854604026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-5.6843418860808015E-14</v>
      </c>
      <c r="EK193" s="17">
        <f>EJ193*VLOOKUP('Données projet'!$B$15,Paramètres!$A$1:$I$89,3,0)*VLOOKUP('Données projet'!$B$15,Paramètres!$A$1:$I$89,5,0)</f>
        <v>-5.4978954722173515E-14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331.7059599630698</v>
      </c>
      <c r="EP193" s="59">
        <f t="shared" si="154"/>
        <v>173.19148969173838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22.813805166987233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22.813805166987233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-5.6843418860808015E-14</v>
      </c>
      <c r="FF193" s="17">
        <f>FE193*VLOOKUP('Données projet'!$B$16,Paramètres!$A$1:$I$89,3,0)*VLOOKUP('Données projet'!$B$16,Paramètres!$A$1:$I$89,5,0)</f>
        <v>-6.1186256061773749E-14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360.86062459677004</v>
      </c>
      <c r="FK193" s="59">
        <f t="shared" si="156"/>
        <v>186.0840067781198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27.380760377583321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27.380760377583321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-5.1159076974727213E-13</v>
      </c>
      <c r="GA193" s="17">
        <f>FZ193*VLOOKUP('Données projet'!$B$17,Paramètres!$A$1:$I$89,3,0)*VLOOKUP('Données projet'!$B$17,Paramètres!$A$1:$I$89,5,0)</f>
        <v>-5.1875304052373401E-13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448.73339628506784</v>
      </c>
      <c r="GF193" s="59">
        <f t="shared" si="158"/>
        <v>273.35778700650803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34.849445364121337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34.849445364121337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-5.1159076974727213E-13</v>
      </c>
      <c r="O194" s="13">
        <f>N194*VLOOKUP('Données projet'!$B$9,Paramètres!$A$1:$I$89,3,0)*VLOOKUP('Données projet'!$B$9,Paramètres!$A$1:$I$89,5,0)</f>
        <v>-4.6288732846733184E-13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408.51124670343137</v>
      </c>
      <c r="T194" s="59">
        <f t="shared" si="142"/>
        <v>250.47702091764884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30.48664618157596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30.48664618157596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-2.8421709430404007E-13</v>
      </c>
      <c r="AJ194" s="13">
        <f>AI194*VLOOKUP('Données projet'!$B$10,Paramètres!$A$1:$I$89,3,0)*VLOOKUP('Données projet'!$B$10,Paramètres!$A$1:$I$89,5,0)</f>
        <v>-2.2612312022829427E-13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327.22763817565902</v>
      </c>
      <c r="AO194" s="59">
        <f t="shared" si="144"/>
        <v>311.68541696405975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11.534145101867233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11.534145101867233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2.8421709430404007E-14</v>
      </c>
      <c r="BE194" s="13">
        <f>BD194*VLOOKUP('Données projet'!$B$11,Paramètres!$A$1:$I$89,3,0)*VLOOKUP('Données projet'!$B$11,Paramètres!$A$1:$I$89,5,0)</f>
        <v>1.8178525351686402E-14</v>
      </c>
      <c r="BF194" s="13">
        <f t="shared" si="167"/>
        <v>3.3304129621647644E-13</v>
      </c>
      <c r="BG194" s="20">
        <f t="shared" si="168"/>
        <v>6.1170785589788349E-13</v>
      </c>
      <c r="BH194" s="59">
        <f t="shared" si="116"/>
        <v>290.09305636890747</v>
      </c>
      <c r="BI194" s="59">
        <f ca="1">AVERAGE(OFFSET($BH$3,0,0,'Données projet'!$E$11+1,1))-AVERAGE(OFFSET($H$3,0,0,'Données projet'!$E$11+1,1))</f>
        <v>169.46470423366029</v>
      </c>
      <c r="BJ194" s="59">
        <f t="shared" si="146"/>
        <v>230.78141128389288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2.4987028189450378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2.4987028189450378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-1.7053025658242404E-13</v>
      </c>
      <c r="BZ194" s="13">
        <f>BY194*VLOOKUP('Données projet'!$B$12,Paramètres!$A$1:$I$89,3,0)*VLOOKUP('Données projet'!$B$12,Paramètres!$A$1:$I$89,5,0)</f>
        <v>-1.4897523215040567E-13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342.79161436526499</v>
      </c>
      <c r="CE194" s="59">
        <f t="shared" si="148"/>
        <v>315.50730924873733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13.429625154057918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13.429625154057918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-5.6843418860808015E-14</v>
      </c>
      <c r="CU194" s="17">
        <f>CT194*VLOOKUP('Données projet'!$B$13,Paramètres!$A$1:$I$89,3,0)*VLOOKUP('Données projet'!$B$13,Paramètres!$A$1:$I$89,5,0)</f>
        <v>-3.813056537183002E-14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201.84651193684252</v>
      </c>
      <c r="CZ194" s="59">
        <f t="shared" si="150"/>
        <v>138.00705940844708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10.955865855016251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10.955865855016251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1.1368683772161603E-13</v>
      </c>
      <c r="DP194" s="17">
        <f>DO194*VLOOKUP('Données projet'!$B$14,Paramètres!$A$1:$I$89,3,0)*VLOOKUP('Données projet'!$B$14,Paramètres!$A$1:$I$89,5,0)</f>
        <v>8.3355189417488869E-14</v>
      </c>
      <c r="DQ194" s="13">
        <f t="shared" si="176"/>
        <v>1.2790518435140618E-12</v>
      </c>
      <c r="DR194" s="20">
        <f t="shared" si="177"/>
        <v>2.3728589156891171E-12</v>
      </c>
      <c r="DS194" s="59">
        <f t="shared" si="125"/>
        <v>290.09305636890923</v>
      </c>
      <c r="DT194" s="59">
        <f ca="1">AVERAGE(OFFSET($DS$3,0,0,'Données projet'!$E$14+1,1))-AVERAGE(OFFSET($H$3,0,0,'Données projet'!$E$14+1,1))</f>
        <v>242.21240859696931</v>
      </c>
      <c r="DU194" s="59">
        <f t="shared" si="152"/>
        <v>340.92165104349192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4.7089737320963252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4.7089737320963252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-5.6843418860808015E-14</v>
      </c>
      <c r="EK194" s="17">
        <f>EJ194*VLOOKUP('Données projet'!$B$15,Paramètres!$A$1:$I$89,3,0)*VLOOKUP('Données projet'!$B$15,Paramètres!$A$1:$I$89,5,0)</f>
        <v>-5.4978954722173515E-14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331.7059599630698</v>
      </c>
      <c r="EP194" s="59">
        <f t="shared" si="154"/>
        <v>173.19148969173838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22.366440362709767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22.366440362709767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-5.6843418860808015E-14</v>
      </c>
      <c r="FF194" s="17">
        <f>FE194*VLOOKUP('Données projet'!$B$16,Paramètres!$A$1:$I$89,3,0)*VLOOKUP('Données projet'!$B$16,Paramètres!$A$1:$I$89,5,0)</f>
        <v>-6.1186256061773749E-14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360.86062459677004</v>
      </c>
      <c r="FK194" s="59">
        <f t="shared" si="156"/>
        <v>186.0840067781198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26.843840367193692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26.843840367193692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-5.1159076974727213E-13</v>
      </c>
      <c r="GA194" s="17">
        <f>FZ194*VLOOKUP('Données projet'!$B$17,Paramètres!$A$1:$I$89,3,0)*VLOOKUP('Données projet'!$B$17,Paramètres!$A$1:$I$89,5,0)</f>
        <v>-5.1875304052373401E-13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448.73339628506784</v>
      </c>
      <c r="GF194" s="59">
        <f t="shared" si="158"/>
        <v>273.35778700650803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34.166068996593729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34.166068996593729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-5.1159076974727213E-13</v>
      </c>
      <c r="O195" s="13">
        <f>N195*VLOOKUP('Données projet'!$B$9,Paramètres!$A$1:$I$89,3,0)*VLOOKUP('Données projet'!$B$9,Paramètres!$A$1:$I$89,5,0)</f>
        <v>-4.6288732846733184E-13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408.51124670343137</v>
      </c>
      <c r="T195" s="59">
        <f t="shared" si="142"/>
        <v>250.47702091764884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29.888821644973319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29.888821644973319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-2.8421709430404007E-13</v>
      </c>
      <c r="AJ195" s="13">
        <f>AI195*VLOOKUP('Données projet'!$B$10,Paramètres!$A$1:$I$89,3,0)*VLOOKUP('Données projet'!$B$10,Paramètres!$A$1:$I$89,5,0)</f>
        <v>-2.2612312022829427E-13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327.22763817565902</v>
      </c>
      <c r="AO195" s="59">
        <f t="shared" si="144"/>
        <v>311.68541696405975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11.307967551553467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11.307967551553467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2.8421709430404007E-14</v>
      </c>
      <c r="BE195" s="13">
        <f>BD195*VLOOKUP('Données projet'!$B$11,Paramètres!$A$1:$I$89,3,0)*VLOOKUP('Données projet'!$B$11,Paramètres!$A$1:$I$89,5,0)</f>
        <v>1.8178525351686402E-14</v>
      </c>
      <c r="BF195" s="13">
        <f t="shared" si="167"/>
        <v>3.3304129621647644E-13</v>
      </c>
      <c r="BG195" s="20">
        <f t="shared" si="168"/>
        <v>6.1170785589788349E-13</v>
      </c>
      <c r="BH195" s="59">
        <f t="shared" si="116"/>
        <v>290.14926793006629</v>
      </c>
      <c r="BI195" s="59">
        <f ca="1">AVERAGE(OFFSET($BH$3,0,0,'Données projet'!$E$11+1,1))-AVERAGE(OFFSET($H$3,0,0,'Données projet'!$E$11+1,1))</f>
        <v>169.46470423366029</v>
      </c>
      <c r="BJ195" s="59">
        <f t="shared" si="146"/>
        <v>230.78141128389288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2.4497047807237569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2.4497047807237569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-1.7053025658242404E-13</v>
      </c>
      <c r="BZ195" s="13">
        <f>BY195*VLOOKUP('Données projet'!$B$12,Paramètres!$A$1:$I$89,3,0)*VLOOKUP('Données projet'!$B$12,Paramètres!$A$1:$I$89,5,0)</f>
        <v>-1.4897523215040567E-13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342.79161436526499</v>
      </c>
      <c r="CE195" s="59">
        <f t="shared" si="148"/>
        <v>315.50730924873733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13.166278396049366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13.166278396049366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-5.6843418860808015E-14</v>
      </c>
      <c r="CU195" s="17">
        <f>CT195*VLOOKUP('Données projet'!$B$13,Paramètres!$A$1:$I$89,3,0)*VLOOKUP('Données projet'!$B$13,Paramètres!$A$1:$I$89,5,0)</f>
        <v>-3.813056537183002E-14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201.84651193684252</v>
      </c>
      <c r="CZ195" s="59">
        <f t="shared" si="150"/>
        <v>138.00705940844708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10.74102800801772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10.74102800801772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1.1368683772161603E-13</v>
      </c>
      <c r="DP195" s="17">
        <f>DO195*VLOOKUP('Données projet'!$B$14,Paramètres!$A$1:$I$89,3,0)*VLOOKUP('Données projet'!$B$14,Paramètres!$A$1:$I$89,5,0)</f>
        <v>8.3355189417488869E-14</v>
      </c>
      <c r="DQ195" s="13">
        <f t="shared" si="176"/>
        <v>1.2790518435140618E-12</v>
      </c>
      <c r="DR195" s="20">
        <f t="shared" si="177"/>
        <v>2.3728589156891171E-12</v>
      </c>
      <c r="DS195" s="59">
        <f t="shared" si="125"/>
        <v>290.14926793006805</v>
      </c>
      <c r="DT195" s="59">
        <f ca="1">AVERAGE(OFFSET($DS$3,0,0,'Données projet'!$E$14+1,1))-AVERAGE(OFFSET($H$3,0,0,'Données projet'!$E$14+1,1))</f>
        <v>242.21240859696931</v>
      </c>
      <c r="DU195" s="59">
        <f t="shared" si="152"/>
        <v>340.92165104349192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4.6166336294002877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4.6166336294002877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-5.6843418860808015E-14</v>
      </c>
      <c r="EK195" s="17">
        <f>EJ195*VLOOKUP('Données projet'!$B$15,Paramètres!$A$1:$I$89,3,0)*VLOOKUP('Données projet'!$B$15,Paramètres!$A$1:$I$89,5,0)</f>
        <v>-5.4978954722173515E-14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331.7059599630698</v>
      </c>
      <c r="EP195" s="59">
        <f t="shared" si="154"/>
        <v>173.19148969173838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21.927848109378598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21.927848109378598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-5.6843418860808015E-14</v>
      </c>
      <c r="FF195" s="17">
        <f>FE195*VLOOKUP('Données projet'!$B$16,Paramètres!$A$1:$I$89,3,0)*VLOOKUP('Données projet'!$B$16,Paramètres!$A$1:$I$89,5,0)</f>
        <v>-6.1186256061773749E-14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360.86062459677004</v>
      </c>
      <c r="FK195" s="59">
        <f t="shared" si="156"/>
        <v>186.0840067781198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26.317449030718937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26.317449030718937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-5.1159076974727213E-13</v>
      </c>
      <c r="GA195" s="17">
        <f>FZ195*VLOOKUP('Données projet'!$B$17,Paramètres!$A$1:$I$89,3,0)*VLOOKUP('Données projet'!$B$17,Paramètres!$A$1:$I$89,5,0)</f>
        <v>-5.1875304052373401E-13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448.73339628506784</v>
      </c>
      <c r="GF195" s="59">
        <f t="shared" si="158"/>
        <v>273.35778700650803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33.496093222814913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33.496093222814913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-5.1159076974727213E-13</v>
      </c>
      <c r="O196" s="13">
        <f>N196*VLOOKUP('Données projet'!$B$9,Paramètres!$A$1:$I$89,3,0)*VLOOKUP('Données projet'!$B$9,Paramètres!$A$1:$I$89,5,0)</f>
        <v>-4.6288732846733184E-13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408.51124670343137</v>
      </c>
      <c r="T196" s="59">
        <f t="shared" si="142"/>
        <v>250.47702091764884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29.302720082896496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29.302720082896496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-2.8421709430404007E-13</v>
      </c>
      <c r="AJ196" s="13">
        <f>AI196*VLOOKUP('Données projet'!$B$10,Paramètres!$A$1:$I$89,3,0)*VLOOKUP('Données projet'!$B$10,Paramètres!$A$1:$I$89,5,0)</f>
        <v>-2.2612312022829427E-13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327.22763817565902</v>
      </c>
      <c r="AO196" s="59">
        <f t="shared" si="144"/>
        <v>311.68541696405975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11.08622520504667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11.08622520504667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2.8421709430404007E-14</v>
      </c>
      <c r="BE196" s="13">
        <f>BD196*VLOOKUP('Données projet'!$B$11,Paramètres!$A$1:$I$89,3,0)*VLOOKUP('Données projet'!$B$11,Paramètres!$A$1:$I$89,5,0)</f>
        <v>1.8178525351686402E-14</v>
      </c>
      <c r="BF196" s="13">
        <f t="shared" si="167"/>
        <v>3.3304129621647644E-13</v>
      </c>
      <c r="BG196" s="20">
        <f t="shared" si="168"/>
        <v>6.1170785589788349E-13</v>
      </c>
      <c r="BH196" s="59">
        <f t="shared" ref="BH196:BH203" si="194">BG196+(AY196+AZ196)*44/12</f>
        <v>290.20450434630914</v>
      </c>
      <c r="BI196" s="59">
        <f ca="1">AVERAGE(OFFSET($BH$3,0,0,'Données projet'!$E$11+1,1))-AVERAGE(OFFSET($H$3,0,0,'Données projet'!$E$11+1,1))</f>
        <v>169.46470423366029</v>
      </c>
      <c r="BJ196" s="59">
        <f t="shared" si="146"/>
        <v>230.78141128389288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2.4016675641461429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2.4016675641461429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-1.7053025658242404E-13</v>
      </c>
      <c r="BZ196" s="13">
        <f>BY196*VLOOKUP('Données projet'!$B$12,Paramètres!$A$1:$I$89,3,0)*VLOOKUP('Données projet'!$B$12,Paramètres!$A$1:$I$89,5,0)</f>
        <v>-1.4897523215040567E-13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342.79161436526499</v>
      </c>
      <c r="CE196" s="59">
        <f t="shared" si="148"/>
        <v>315.50730924873733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12.908095707339699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12.908095707339699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-5.6843418860808015E-14</v>
      </c>
      <c r="CU196" s="17">
        <f>CT196*VLOOKUP('Données projet'!$B$13,Paramètres!$A$1:$I$89,3,0)*VLOOKUP('Données projet'!$B$13,Paramètres!$A$1:$I$89,5,0)</f>
        <v>-3.813056537183002E-14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201.84651193684252</v>
      </c>
      <c r="CZ196" s="59">
        <f t="shared" si="150"/>
        <v>138.00705940844708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10.530403000160682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10.530403000160682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1.1368683772161603E-13</v>
      </c>
      <c r="DP196" s="17">
        <f>DO196*VLOOKUP('Données projet'!$B$14,Paramètres!$A$1:$I$89,3,0)*VLOOKUP('Données projet'!$B$14,Paramètres!$A$1:$I$89,5,0)</f>
        <v>8.3355189417488869E-14</v>
      </c>
      <c r="DQ196" s="13">
        <f t="shared" si="176"/>
        <v>1.2790518435140618E-12</v>
      </c>
      <c r="DR196" s="20">
        <f t="shared" si="177"/>
        <v>2.3728589156891171E-12</v>
      </c>
      <c r="DS196" s="59">
        <f t="shared" ref="DS196:DS203" si="197">DR196+(DJ196+DK196)*44/12</f>
        <v>290.2045043463109</v>
      </c>
      <c r="DT196" s="59">
        <f ca="1">AVERAGE(OFFSET($DS$3,0,0,'Données projet'!$E$14+1,1))-AVERAGE(OFFSET($H$3,0,0,'Données projet'!$E$14+1,1))</f>
        <v>242.21240859696931</v>
      </c>
      <c r="DU196" s="59">
        <f t="shared" si="152"/>
        <v>340.92165104349192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4.5261042597962184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4.5261042597962184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-5.6843418860808015E-14</v>
      </c>
      <c r="EK196" s="17">
        <f>EJ196*VLOOKUP('Données projet'!$B$15,Paramètres!$A$1:$I$89,3,0)*VLOOKUP('Données projet'!$B$15,Paramètres!$A$1:$I$89,5,0)</f>
        <v>-5.4978954722173515E-14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331.7059599630698</v>
      </c>
      <c r="EP196" s="59">
        <f t="shared" si="154"/>
        <v>173.19148969173838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21.497856382620391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21.497856382620391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-5.6843418860808015E-14</v>
      </c>
      <c r="FF196" s="17">
        <f>FE196*VLOOKUP('Données projet'!$B$16,Paramètres!$A$1:$I$89,3,0)*VLOOKUP('Données projet'!$B$16,Paramètres!$A$1:$I$89,5,0)</f>
        <v>-6.1186256061773749E-14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360.86062459677004</v>
      </c>
      <c r="FK196" s="59">
        <f t="shared" si="156"/>
        <v>186.0840067781198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25.801379907285437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25.801379907285437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-5.1159076974727213E-13</v>
      </c>
      <c r="GA196" s="17">
        <f>FZ196*VLOOKUP('Données projet'!$B$17,Paramètres!$A$1:$I$89,3,0)*VLOOKUP('Données projet'!$B$17,Paramètres!$A$1:$I$89,5,0)</f>
        <v>-5.1875304052373401E-13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448.73339628506784</v>
      </c>
      <c r="GF196" s="59">
        <f t="shared" si="158"/>
        <v>273.35778700650803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32.839255265315025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32.839255265315025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-5.1159076974727213E-13</v>
      </c>
      <c r="O197" s="13">
        <f>N197*VLOOKUP('Données projet'!$B$9,Paramètres!$A$1:$I$89,3,0)*VLOOKUP('Données projet'!$B$9,Paramètres!$A$1:$I$89,5,0)</f>
        <v>-4.6288732846733184E-13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408.51124670343137</v>
      </c>
      <c r="T197" s="59">
        <f t="shared" ref="T197:T203" si="204">$T$3</f>
        <v>250.47702091764884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28.728111614965343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28.728111614965343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-2.8421709430404007E-13</v>
      </c>
      <c r="AJ197" s="13">
        <f>AI197*VLOOKUP('Données projet'!$B$10,Paramètres!$A$1:$I$89,3,0)*VLOOKUP('Données projet'!$B$10,Paramètres!$A$1:$I$89,5,0)</f>
        <v>-2.2612312022829427E-13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327.22763817565902</v>
      </c>
      <c r="AO197" s="59">
        <f t="shared" ref="AO197:AO203" si="205">$AO$3</f>
        <v>311.68541696405975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10.868831090705395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10.868831090705395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2.8421709430404007E-14</v>
      </c>
      <c r="BE197" s="13">
        <f>BD197*VLOOKUP('Données projet'!$B$11,Paramètres!$A$1:$I$89,3,0)*VLOOKUP('Données projet'!$B$11,Paramètres!$A$1:$I$89,5,0)</f>
        <v>1.8178525351686402E-14</v>
      </c>
      <c r="BF197" s="13">
        <f t="shared" si="167"/>
        <v>3.3304129621647644E-13</v>
      </c>
      <c r="BG197" s="20">
        <f t="shared" si="168"/>
        <v>6.1170785589788349E-13</v>
      </c>
      <c r="BH197" s="59">
        <f t="shared" si="194"/>
        <v>290.25878253422036</v>
      </c>
      <c r="BI197" s="59">
        <f ca="1">AVERAGE(OFFSET($BH$3,0,0,'Données projet'!$E$11+1,1))-AVERAGE(OFFSET($H$3,0,0,'Données projet'!$E$11+1,1))</f>
        <v>169.46470423366029</v>
      </c>
      <c r="BJ197" s="59">
        <f t="shared" ref="BJ197:BJ203" si="206">$BJ$3</f>
        <v>230.78141128389288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2.3545723280858071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2.3545723280858071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-1.7053025658242404E-13</v>
      </c>
      <c r="BZ197" s="13">
        <f>BY197*VLOOKUP('Données projet'!$B$12,Paramètres!$A$1:$I$89,3,0)*VLOOKUP('Données projet'!$B$12,Paramètres!$A$1:$I$89,5,0)</f>
        <v>-1.4897523215040567E-13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342.79161436526499</v>
      </c>
      <c r="CE197" s="59">
        <f t="shared" ref="CE197:CE203" si="207">$CE$3</f>
        <v>315.50730924873733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12.65497582367974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12.65497582367974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-5.6843418860808015E-14</v>
      </c>
      <c r="CU197" s="17">
        <f>CT197*VLOOKUP('Données projet'!$B$13,Paramètres!$A$1:$I$89,3,0)*VLOOKUP('Données projet'!$B$13,Paramètres!$A$1:$I$89,5,0)</f>
        <v>-3.813056537183002E-14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201.84651193684252</v>
      </c>
      <c r="CZ197" s="59">
        <f t="shared" ref="CZ197:CZ203" si="208">$CZ$3</f>
        <v>138.00705940844708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10.323908220239151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10.323908220239151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1.1368683772161603E-13</v>
      </c>
      <c r="DP197" s="17">
        <f>DO197*VLOOKUP('Données projet'!$B$14,Paramètres!$A$1:$I$89,3,0)*VLOOKUP('Données projet'!$B$14,Paramètres!$A$1:$I$89,5,0)</f>
        <v>8.3355189417488869E-14</v>
      </c>
      <c r="DQ197" s="13">
        <f t="shared" si="176"/>
        <v>1.2790518435140618E-12</v>
      </c>
      <c r="DR197" s="20">
        <f t="shared" si="177"/>
        <v>2.3728589156891171E-12</v>
      </c>
      <c r="DS197" s="59">
        <f t="shared" si="197"/>
        <v>290.25878253422212</v>
      </c>
      <c r="DT197" s="59">
        <f ca="1">AVERAGE(OFFSET($DS$3,0,0,'Données projet'!$E$14+1,1))-AVERAGE(OFFSET($H$3,0,0,'Données projet'!$E$14+1,1))</f>
        <v>242.21240859696931</v>
      </c>
      <c r="DU197" s="59">
        <f t="shared" ref="DU197:DU203" si="209">$DU$3</f>
        <v>340.92165104349192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4.4373501159126212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4.4373501159126212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-5.6843418860808015E-14</v>
      </c>
      <c r="EK197" s="17">
        <f>EJ197*VLOOKUP('Données projet'!$B$15,Paramètres!$A$1:$I$89,3,0)*VLOOKUP('Données projet'!$B$15,Paramètres!$A$1:$I$89,5,0)</f>
        <v>-5.4978954722173515E-14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331.7059599630698</v>
      </c>
      <c r="EP197" s="59">
        <f t="shared" ref="EP197:EP203" si="210">$EP$3</f>
        <v>173.19148969173838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21.076296531354856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21.076296531354856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-5.6843418860808015E-14</v>
      </c>
      <c r="FF197" s="17">
        <f>FE197*VLOOKUP('Données projet'!$B$16,Paramètres!$A$1:$I$89,3,0)*VLOOKUP('Données projet'!$B$16,Paramètres!$A$1:$I$89,5,0)</f>
        <v>-6.1186256061773749E-14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360.86062459677004</v>
      </c>
      <c r="FK197" s="59">
        <f t="shared" ref="FK197:FK203" si="211">$FK$3</f>
        <v>186.0840067781198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25.295430584591386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25.295430584591386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-5.1159076974727213E-13</v>
      </c>
      <c r="GA197" s="17">
        <f>FZ197*VLOOKUP('Données projet'!$B$17,Paramètres!$A$1:$I$89,3,0)*VLOOKUP('Données projet'!$B$17,Paramètres!$A$1:$I$89,5,0)</f>
        <v>-5.1875304052373401E-13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448.73339628506784</v>
      </c>
      <c r="GF197" s="59">
        <f t="shared" ref="GF197:GF203" si="212">$GF$3</f>
        <v>273.35778700650803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32.195297499530113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32.195297499530113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-5.1159076974727213E-13</v>
      </c>
      <c r="O198" s="13">
        <f>N198*VLOOKUP('Données projet'!$B$9,Paramètres!$A$1:$I$89,3,0)*VLOOKUP('Données projet'!$B$9,Paramètres!$A$1:$I$89,5,0)</f>
        <v>-4.6288732846733184E-13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408.51124670343137</v>
      </c>
      <c r="T198" s="59">
        <f t="shared" si="204"/>
        <v>250.47702091764884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28.164770868613761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28.164770868613761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-2.8421709430404007E-13</v>
      </c>
      <c r="AJ198" s="13">
        <f>AI198*VLOOKUP('Données projet'!$B$10,Paramètres!$A$1:$I$89,3,0)*VLOOKUP('Données projet'!$B$10,Paramètres!$A$1:$I$89,5,0)</f>
        <v>-2.2612312022829427E-13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327.22763817565902</v>
      </c>
      <c r="AO198" s="59">
        <f t="shared" si="205"/>
        <v>311.68541696405975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10.655699942349036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10.655699942349036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2.8421709430404007E-14</v>
      </c>
      <c r="BE198" s="13">
        <f>BD198*VLOOKUP('Données projet'!$B$11,Paramètres!$A$1:$I$89,3,0)*VLOOKUP('Données projet'!$B$11,Paramètres!$A$1:$I$89,5,0)</f>
        <v>1.8178525351686402E-14</v>
      </c>
      <c r="BF198" s="13">
        <f t="shared" si="167"/>
        <v>3.3304129621647644E-13</v>
      </c>
      <c r="BG198" s="20">
        <f t="shared" si="168"/>
        <v>6.1170785589788349E-13</v>
      </c>
      <c r="BH198" s="59">
        <f t="shared" si="194"/>
        <v>290.31211911691912</v>
      </c>
      <c r="BI198" s="59">
        <f ca="1">AVERAGE(OFFSET($BH$3,0,0,'Données projet'!$E$11+1,1))-AVERAGE(OFFSET($H$3,0,0,'Données projet'!$E$11+1,1))</f>
        <v>169.46470423366029</v>
      </c>
      <c r="BJ198" s="59">
        <f t="shared" si="206"/>
        <v>230.78141128389288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2.3084006008793567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2.3084006008793567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-1.7053025658242404E-13</v>
      </c>
      <c r="BZ198" s="13">
        <f>BY198*VLOOKUP('Données projet'!$B$12,Paramètres!$A$1:$I$89,3,0)*VLOOKUP('Données projet'!$B$12,Paramètres!$A$1:$I$89,5,0)</f>
        <v>-1.4897523215040567E-13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342.79161436526499</v>
      </c>
      <c r="CE198" s="59">
        <f t="shared" si="207"/>
        <v>315.50730924873733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12.406819466550466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12.406819466550466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-5.6843418860808015E-14</v>
      </c>
      <c r="CU198" s="17">
        <f>CT198*VLOOKUP('Données projet'!$B$13,Paramètres!$A$1:$I$89,3,0)*VLOOKUP('Données projet'!$B$13,Paramètres!$A$1:$I$89,5,0)</f>
        <v>-3.813056537183002E-14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201.84651193684252</v>
      </c>
      <c r="CZ198" s="59">
        <f t="shared" si="208"/>
        <v>138.00705940844708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10.121462677002501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10.121462677002501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1.1368683772161603E-13</v>
      </c>
      <c r="DP198" s="17">
        <f>DO198*VLOOKUP('Données projet'!$B$14,Paramètres!$A$1:$I$89,3,0)*VLOOKUP('Données projet'!$B$14,Paramètres!$A$1:$I$89,5,0)</f>
        <v>8.3355189417488869E-14</v>
      </c>
      <c r="DQ198" s="13">
        <f t="shared" si="176"/>
        <v>1.2790518435140618E-12</v>
      </c>
      <c r="DR198" s="20">
        <f t="shared" si="177"/>
        <v>2.3728589156891171E-12</v>
      </c>
      <c r="DS198" s="59">
        <f t="shared" si="197"/>
        <v>290.31211911692088</v>
      </c>
      <c r="DT198" s="59">
        <f ca="1">AVERAGE(OFFSET($DS$3,0,0,'Données projet'!$E$14+1,1))-AVERAGE(OFFSET($H$3,0,0,'Données projet'!$E$14+1,1))</f>
        <v>242.21240859696931</v>
      </c>
      <c r="DU198" s="59">
        <f t="shared" si="209"/>
        <v>340.92165104349192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4.3503363866558988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4.3503363866558988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-5.6843418860808015E-14</v>
      </c>
      <c r="EK198" s="17">
        <f>EJ198*VLOOKUP('Données projet'!$B$15,Paramètres!$A$1:$I$89,3,0)*VLOOKUP('Données projet'!$B$15,Paramètres!$A$1:$I$89,5,0)</f>
        <v>-5.4978954722173515E-14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331.7059599630698</v>
      </c>
      <c r="EP198" s="59">
        <f t="shared" si="210"/>
        <v>173.19148969173838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20.663003211646519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20.663003211646519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-5.6843418860808015E-14</v>
      </c>
      <c r="FF198" s="17">
        <f>FE198*VLOOKUP('Données projet'!$B$16,Paramètres!$A$1:$I$89,3,0)*VLOOKUP('Données projet'!$B$16,Paramètres!$A$1:$I$89,5,0)</f>
        <v>-6.1186256061773749E-14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360.86062459677004</v>
      </c>
      <c r="FK198" s="59">
        <f t="shared" si="211"/>
        <v>186.0840067781198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24.799402619516748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24.799402619516748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-5.1159076974727213E-13</v>
      </c>
      <c r="GA198" s="17">
        <f>FZ198*VLOOKUP('Données projet'!$B$17,Paramètres!$A$1:$I$89,3,0)*VLOOKUP('Données projet'!$B$17,Paramètres!$A$1:$I$89,5,0)</f>
        <v>-5.1875304052373401E-13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448.73339628506784</v>
      </c>
      <c r="GF198" s="59">
        <f t="shared" si="212"/>
        <v>273.35778700650803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31.563967352756791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31.563967352756791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-5.1159076974727213E-13</v>
      </c>
      <c r="O199" s="13">
        <f>N199*VLOOKUP('Données projet'!$B$9,Paramètres!$A$1:$I$89,3,0)*VLOOKUP('Données projet'!$B$9,Paramètres!$A$1:$I$89,5,0)</f>
        <v>-4.6288732846733184E-13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408.51124670343137</v>
      </c>
      <c r="T199" s="59">
        <f t="shared" si="204"/>
        <v>250.47702091764884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27.612476890694207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27.612476890694207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-2.8421709430404007E-13</v>
      </c>
      <c r="AJ199" s="13">
        <f>AI199*VLOOKUP('Données projet'!$B$10,Paramètres!$A$1:$I$89,3,0)*VLOOKUP('Données projet'!$B$10,Paramètres!$A$1:$I$89,5,0)</f>
        <v>-2.2612312022829427E-13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327.22763817565902</v>
      </c>
      <c r="AO199" s="59">
        <f t="shared" si="205"/>
        <v>311.68541696405975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10.44674816581478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10.44674816581478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2.8421709430404007E-14</v>
      </c>
      <c r="BE199" s="13">
        <f>BD199*VLOOKUP('Données projet'!$B$11,Paramètres!$A$1:$I$89,3,0)*VLOOKUP('Données projet'!$B$11,Paramètres!$A$1:$I$89,5,0)</f>
        <v>1.8178525351686402E-14</v>
      </c>
      <c r="BF199" s="13">
        <f t="shared" si="167"/>
        <v>3.3304129621647644E-13</v>
      </c>
      <c r="BG199" s="20">
        <f t="shared" si="168"/>
        <v>6.1170785589788349E-13</v>
      </c>
      <c r="BH199" s="59">
        <f t="shared" si="194"/>
        <v>290.36453042915082</v>
      </c>
      <c r="BI199" s="59">
        <f ca="1">AVERAGE(OFFSET($BH$3,0,0,'Données projet'!$E$11+1,1))-AVERAGE(OFFSET($H$3,0,0,'Données projet'!$E$11+1,1))</f>
        <v>169.46470423366029</v>
      </c>
      <c r="BJ199" s="59">
        <f t="shared" si="206"/>
        <v>230.78141128389288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2.2631342730814521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2.2631342730814521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-1.7053025658242404E-13</v>
      </c>
      <c r="BZ199" s="13">
        <f>BY199*VLOOKUP('Données projet'!$B$12,Paramètres!$A$1:$I$89,3,0)*VLOOKUP('Données projet'!$B$12,Paramètres!$A$1:$I$89,5,0)</f>
        <v>-1.4897523215040567E-13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342.79161436526499</v>
      </c>
      <c r="CE199" s="59">
        <f t="shared" si="207"/>
        <v>315.50730924873733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12.163529304224067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12.163529304224067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-5.6843418860808015E-14</v>
      </c>
      <c r="CU199" s="17">
        <f>CT199*VLOOKUP('Données projet'!$B$13,Paramètres!$A$1:$I$89,3,0)*VLOOKUP('Données projet'!$B$13,Paramètres!$A$1:$I$89,5,0)</f>
        <v>-3.813056537183002E-14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201.84651193684252</v>
      </c>
      <c r="CZ199" s="59">
        <f t="shared" si="208"/>
        <v>138.00705940844708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9.922986967389134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9.922986967389134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1.1368683772161603E-13</v>
      </c>
      <c r="DP199" s="17">
        <f>DO199*VLOOKUP('Données projet'!$B$14,Paramètres!$A$1:$I$89,3,0)*VLOOKUP('Données projet'!$B$14,Paramètres!$A$1:$I$89,5,0)</f>
        <v>8.3355189417488869E-14</v>
      </c>
      <c r="DQ199" s="13">
        <f t="shared" si="176"/>
        <v>1.2790518435140618E-12</v>
      </c>
      <c r="DR199" s="20">
        <f t="shared" si="177"/>
        <v>2.3728589156891171E-12</v>
      </c>
      <c r="DS199" s="59">
        <f t="shared" si="197"/>
        <v>290.36453042915258</v>
      </c>
      <c r="DT199" s="59">
        <f ca="1">AVERAGE(OFFSET($DS$3,0,0,'Données projet'!$E$14+1,1))-AVERAGE(OFFSET($H$3,0,0,'Données projet'!$E$14+1,1))</f>
        <v>242.21240859696931</v>
      </c>
      <c r="DU199" s="59">
        <f t="shared" si="209"/>
        <v>340.92165104349192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4.265028943556767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4.265028943556767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-5.6843418860808015E-14</v>
      </c>
      <c r="EK199" s="17">
        <f>EJ199*VLOOKUP('Données projet'!$B$15,Paramètres!$A$1:$I$89,3,0)*VLOOKUP('Données projet'!$B$15,Paramètres!$A$1:$I$89,5,0)</f>
        <v>-5.4978954722173515E-14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331.7059599630698</v>
      </c>
      <c r="EP199" s="59">
        <f t="shared" si="210"/>
        <v>173.19148969173838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20.25781432185363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20.25781432185363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-5.6843418860808015E-14</v>
      </c>
      <c r="FF199" s="17">
        <f>FE199*VLOOKUP('Données projet'!$B$16,Paramètres!$A$1:$I$89,3,0)*VLOOKUP('Données projet'!$B$16,Paramètres!$A$1:$I$89,5,0)</f>
        <v>-6.1186256061773749E-14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360.86062459677004</v>
      </c>
      <c r="FK199" s="59">
        <f t="shared" si="211"/>
        <v>186.0840067781198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24.313101460290039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24.313101460290039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-5.1159076974727213E-13</v>
      </c>
      <c r="GA199" s="17">
        <f>FZ199*VLOOKUP('Données projet'!$B$17,Paramètres!$A$1:$I$89,3,0)*VLOOKUP('Données projet'!$B$17,Paramètres!$A$1:$I$89,5,0)</f>
        <v>-5.1875304052373401E-13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448.73339628506784</v>
      </c>
      <c r="GF199" s="59">
        <f t="shared" si="212"/>
        <v>273.35778700650803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30.945017205088327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30.945017205088327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-5.1159076974727213E-13</v>
      </c>
      <c r="O200" s="13">
        <f>N200*VLOOKUP('Données projet'!$B$9,Paramètres!$A$1:$I$89,3,0)*VLOOKUP('Données projet'!$B$9,Paramètres!$A$1:$I$89,5,0)</f>
        <v>-4.6288732846733184E-13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408.51124670343137</v>
      </c>
      <c r="T200" s="59">
        <f t="shared" si="204"/>
        <v>250.47702091764884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27.071013060815591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27.071013060815591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-2.8421709430404007E-13</v>
      </c>
      <c r="AJ200" s="13">
        <f>AI200*VLOOKUP('Données projet'!$B$10,Paramètres!$A$1:$I$89,3,0)*VLOOKUP('Données projet'!$B$10,Paramètres!$A$1:$I$89,5,0)</f>
        <v>-2.2612312022829427E-13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327.22763817565902</v>
      </c>
      <c r="AO200" s="59">
        <f t="shared" si="205"/>
        <v>311.68541696405975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10.241893806170362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10.241893806170362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2.8421709430404007E-14</v>
      </c>
      <c r="BE200" s="13">
        <f>BD200*VLOOKUP('Données projet'!$B$11,Paramètres!$A$1:$I$89,3,0)*VLOOKUP('Données projet'!$B$11,Paramètres!$A$1:$I$89,5,0)</f>
        <v>1.8178525351686402E-14</v>
      </c>
      <c r="BF200" s="13">
        <f t="shared" si="167"/>
        <v>3.3304129621647644E-13</v>
      </c>
      <c r="BG200" s="20">
        <f t="shared" si="168"/>
        <v>6.1170785589788349E-13</v>
      </c>
      <c r="BH200" s="59">
        <f t="shared" si="194"/>
        <v>290.41603252228941</v>
      </c>
      <c r="BI200" s="59">
        <f ca="1">AVERAGE(OFFSET($BH$3,0,0,'Données projet'!$E$11+1,1))-AVERAGE(OFFSET($H$3,0,0,'Données projet'!$E$11+1,1))</f>
        <v>169.46470423366029</v>
      </c>
      <c r="BJ200" s="59">
        <f t="shared" si="206"/>
        <v>230.78141128389288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2.2187555903619307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2.2187555903619307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-1.7053025658242404E-13</v>
      </c>
      <c r="BZ200" s="13">
        <f>BY200*VLOOKUP('Données projet'!$B$12,Paramètres!$A$1:$I$89,3,0)*VLOOKUP('Données projet'!$B$12,Paramètres!$A$1:$I$89,5,0)</f>
        <v>-1.4897523215040567E-13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342.79161436526499</v>
      </c>
      <c r="CE200" s="59">
        <f t="shared" si="207"/>
        <v>315.50730924873733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11.925009913588541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11.925009913588541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-5.6843418860808015E-14</v>
      </c>
      <c r="CU200" s="17">
        <f>CT200*VLOOKUP('Données projet'!$B$13,Paramètres!$A$1:$I$89,3,0)*VLOOKUP('Données projet'!$B$13,Paramètres!$A$1:$I$89,5,0)</f>
        <v>-3.813056537183002E-14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201.84651193684252</v>
      </c>
      <c r="CZ200" s="59">
        <f t="shared" si="208"/>
        <v>138.00705940844708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9.7284032453830562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9.7284032453830562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1.1368683772161603E-13</v>
      </c>
      <c r="DP200" s="17">
        <f>DO200*VLOOKUP('Données projet'!$B$14,Paramètres!$A$1:$I$89,3,0)*VLOOKUP('Données projet'!$B$14,Paramètres!$A$1:$I$89,5,0)</f>
        <v>8.3355189417488869E-14</v>
      </c>
      <c r="DQ200" s="13">
        <f t="shared" si="176"/>
        <v>1.2790518435140618E-12</v>
      </c>
      <c r="DR200" s="20">
        <f t="shared" si="177"/>
        <v>2.3728589156891171E-12</v>
      </c>
      <c r="DS200" s="59">
        <f t="shared" si="197"/>
        <v>290.41603252229118</v>
      </c>
      <c r="DT200" s="59">
        <f ca="1">AVERAGE(OFFSET($DS$3,0,0,'Données projet'!$E$14+1,1))-AVERAGE(OFFSET($H$3,0,0,'Données projet'!$E$14+1,1))</f>
        <v>242.21240859696931</v>
      </c>
      <c r="DU200" s="59">
        <f t="shared" si="209"/>
        <v>340.92165104349192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4.1813943273844068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4.1813943273844068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-5.6843418860808015E-14</v>
      </c>
      <c r="EK200" s="17">
        <f>EJ200*VLOOKUP('Données projet'!$B$15,Paramètres!$A$1:$I$89,3,0)*VLOOKUP('Données projet'!$B$15,Paramètres!$A$1:$I$89,5,0)</f>
        <v>-5.4978954722173515E-14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331.7059599630698</v>
      </c>
      <c r="EP200" s="59">
        <f t="shared" si="210"/>
        <v>173.19148969173838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19.86057093904876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19.86057093904876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-5.6843418860808015E-14</v>
      </c>
      <c r="FF200" s="17">
        <f>FE200*VLOOKUP('Données projet'!$B$16,Paramètres!$A$1:$I$89,3,0)*VLOOKUP('Données projet'!$B$16,Paramètres!$A$1:$I$89,5,0)</f>
        <v>-6.1186256061773749E-14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360.86062459677004</v>
      </c>
      <c r="FK200" s="59">
        <f t="shared" si="211"/>
        <v>186.0840067781198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23.836336370181346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23.836336370181346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-5.1159076974727213E-13</v>
      </c>
      <c r="GA200" s="17">
        <f>FZ200*VLOOKUP('Données projet'!$B$17,Paramètres!$A$1:$I$89,3,0)*VLOOKUP('Données projet'!$B$17,Paramètres!$A$1:$I$89,5,0)</f>
        <v>-5.1875304052373401E-13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448.73339628506784</v>
      </c>
      <c r="GF200" s="59">
        <f t="shared" si="212"/>
        <v>273.35778700650803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30.338204292293327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30.338204292293327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-5.1159076974727213E-13</v>
      </c>
      <c r="O201" s="13">
        <f>N201*VLOOKUP('Données projet'!$B$9,Paramètres!$A$1:$I$89,3,0)*VLOOKUP('Données projet'!$B$9,Paramètres!$A$1:$I$89,5,0)</f>
        <v>-4.6288732846733184E-13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408.51124670343137</v>
      </c>
      <c r="T201" s="59">
        <f t="shared" si="204"/>
        <v>250.47702091764884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26.540167006380571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26.540167006380571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-2.8421709430404007E-13</v>
      </c>
      <c r="AJ201" s="13">
        <f>AI201*VLOOKUP('Données projet'!$B$10,Paramètres!$A$1:$I$89,3,0)*VLOOKUP('Données projet'!$B$10,Paramètres!$A$1:$I$89,5,0)</f>
        <v>-2.2612312022829427E-13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327.22763817565902</v>
      </c>
      <c r="AO201" s="59">
        <f t="shared" si="205"/>
        <v>311.68541696405975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10.041056515569748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10.041056515569748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2.8421709430404007E-14</v>
      </c>
      <c r="BE201" s="13">
        <f>BD201*VLOOKUP('Données projet'!$B$11,Paramètres!$A$1:$I$89,3,0)*VLOOKUP('Données projet'!$B$11,Paramètres!$A$1:$I$89,5,0)</f>
        <v>1.8178525351686402E-14</v>
      </c>
      <c r="BF201" s="13">
        <f t="shared" si="167"/>
        <v>3.3304129621647644E-13</v>
      </c>
      <c r="BG201" s="20">
        <f t="shared" si="168"/>
        <v>6.1170785589788349E-13</v>
      </c>
      <c r="BH201" s="59">
        <f t="shared" si="194"/>
        <v>290.46664116925353</v>
      </c>
      <c r="BI201" s="59">
        <f ca="1">AVERAGE(OFFSET($BH$3,0,0,'Données projet'!$E$11+1,1))-AVERAGE(OFFSET($H$3,0,0,'Données projet'!$E$11+1,1))</f>
        <v>169.46470423366029</v>
      </c>
      <c r="BJ201" s="59">
        <f t="shared" si="206"/>
        <v>230.78141128389288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2.1752471465422154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2.1752471465422154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-1.7053025658242404E-13</v>
      </c>
      <c r="BZ201" s="13">
        <f>BY201*VLOOKUP('Données projet'!$B$12,Paramètres!$A$1:$I$89,3,0)*VLOOKUP('Données projet'!$B$12,Paramètres!$A$1:$I$89,5,0)</f>
        <v>-1.4897523215040567E-13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342.79161436526499</v>
      </c>
      <c r="CE201" s="59">
        <f t="shared" si="207"/>
        <v>315.50730924873733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11.691167742720914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11.691167742720914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-5.6843418860808015E-14</v>
      </c>
      <c r="CU201" s="17">
        <f>CT201*VLOOKUP('Données projet'!$B$13,Paramètres!$A$1:$I$89,3,0)*VLOOKUP('Données projet'!$B$13,Paramètres!$A$1:$I$89,5,0)</f>
        <v>-3.813056537183002E-14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201.84651193684252</v>
      </c>
      <c r="CZ201" s="59">
        <f t="shared" si="208"/>
        <v>138.00705940844708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9.5376351914811668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9.5376351914811668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1.1368683772161603E-13</v>
      </c>
      <c r="DP201" s="17">
        <f>DO201*VLOOKUP('Données projet'!$B$14,Paramètres!$A$1:$I$89,3,0)*VLOOKUP('Données projet'!$B$14,Paramètres!$A$1:$I$89,5,0)</f>
        <v>8.3355189417488869E-14</v>
      </c>
      <c r="DQ201" s="13">
        <f t="shared" si="176"/>
        <v>1.2790518435140618E-12</v>
      </c>
      <c r="DR201" s="20">
        <f t="shared" si="177"/>
        <v>2.3728589156891171E-12</v>
      </c>
      <c r="DS201" s="59">
        <f t="shared" si="197"/>
        <v>290.4666411692553</v>
      </c>
      <c r="DT201" s="59">
        <f ca="1">AVERAGE(OFFSET($DS$3,0,0,'Données projet'!$E$14+1,1))-AVERAGE(OFFSET($H$3,0,0,'Données projet'!$E$14+1,1))</f>
        <v>242.21240859696931</v>
      </c>
      <c r="DU201" s="59">
        <f t="shared" si="209"/>
        <v>340.92165104349192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4.0993997350231073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4.0993997350231073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-5.6843418860808015E-14</v>
      </c>
      <c r="EK201" s="17">
        <f>EJ201*VLOOKUP('Données projet'!$B$15,Paramètres!$A$1:$I$89,3,0)*VLOOKUP('Données projet'!$B$15,Paramètres!$A$1:$I$89,5,0)</f>
        <v>-5.4978954722173515E-14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331.7059599630698</v>
      </c>
      <c r="EP201" s="59">
        <f t="shared" si="210"/>
        <v>173.19148969173838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19.471117256686153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19.471117256686153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-5.6843418860808015E-14</v>
      </c>
      <c r="FF201" s="17">
        <f>FE201*VLOOKUP('Données projet'!$B$16,Paramètres!$A$1:$I$89,3,0)*VLOOKUP('Données projet'!$B$16,Paramètres!$A$1:$I$89,5,0)</f>
        <v>-6.1186256061773749E-14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360.86062459677004</v>
      </c>
      <c r="FK201" s="59">
        <f t="shared" si="211"/>
        <v>186.0840067781198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23.368920352691696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23.368920352691696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-5.1159076974727213E-13</v>
      </c>
      <c r="GA201" s="17">
        <f>FZ201*VLOOKUP('Données projet'!$B$17,Paramètres!$A$1:$I$89,3,0)*VLOOKUP('Données projet'!$B$17,Paramètres!$A$1:$I$89,5,0)</f>
        <v>-5.1875304052373401E-13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448.73339628506784</v>
      </c>
      <c r="GF201" s="59">
        <f t="shared" si="212"/>
        <v>273.35778700650803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29.743290610598908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29.743290610598908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-5.1159076974727213E-13</v>
      </c>
      <c r="O202" s="13">
        <f>N202*VLOOKUP('Données projet'!$B$9,Paramètres!$A$1:$I$89,3,0)*VLOOKUP('Données projet'!$B$9,Paramètres!$A$1:$I$89,5,0)</f>
        <v>-4.6288732846733184E-13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408.51124670343137</v>
      </c>
      <c r="T202" s="59">
        <f t="shared" si="204"/>
        <v>250.47702091764884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26.019730519288899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26.019730519288899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-2.8421709430404007E-13</v>
      </c>
      <c r="AJ202" s="13">
        <f>AI202*VLOOKUP('Données projet'!$B$10,Paramètres!$A$1:$I$89,3,0)*VLOOKUP('Données projet'!$B$10,Paramètres!$A$1:$I$89,5,0)</f>
        <v>-2.2612312022829427E-13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327.22763817565902</v>
      </c>
      <c r="AO202" s="59">
        <f t="shared" si="205"/>
        <v>311.68541696405975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9.8441575217391613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9.8441575217391613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2.8421709430404007E-14</v>
      </c>
      <c r="BE202" s="13">
        <f>BD202*VLOOKUP('Données projet'!$B$11,Paramètres!$A$1:$I$89,3,0)*VLOOKUP('Données projet'!$B$11,Paramètres!$A$1:$I$89,5,0)</f>
        <v>1.8178525351686402E-14</v>
      </c>
      <c r="BF202" s="13">
        <f t="shared" si="167"/>
        <v>3.3304129621647644E-13</v>
      </c>
      <c r="BG202" s="20">
        <f t="shared" si="168"/>
        <v>6.1170785589788349E-13</v>
      </c>
      <c r="BH202" s="59">
        <f t="shared" si="194"/>
        <v>290.51637186933675</v>
      </c>
      <c r="BI202" s="59">
        <f ca="1">AVERAGE(OFFSET($BH$3,0,0,'Données projet'!$E$11+1,1))-AVERAGE(OFFSET($H$3,0,0,'Données projet'!$E$11+1,1))</f>
        <v>169.46470423366029</v>
      </c>
      <c r="BJ202" s="59">
        <f t="shared" si="206"/>
        <v>230.78141128389288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2.1325918767682741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2.1325918767682741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-1.7053025658242404E-13</v>
      </c>
      <c r="BZ202" s="13">
        <f>BY202*VLOOKUP('Données projet'!$B$12,Paramètres!$A$1:$I$89,3,0)*VLOOKUP('Données projet'!$B$12,Paramètres!$A$1:$I$89,5,0)</f>
        <v>-1.4897523215040567E-13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342.79161436526499</v>
      </c>
      <c r="CE202" s="59">
        <f t="shared" si="207"/>
        <v>315.50730924873733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11.461911074194362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11.461911074194362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-5.6843418860808015E-14</v>
      </c>
      <c r="CU202" s="17">
        <f>CT202*VLOOKUP('Données projet'!$B$13,Paramètres!$A$1:$I$89,3,0)*VLOOKUP('Données projet'!$B$13,Paramètres!$A$1:$I$89,5,0)</f>
        <v>-3.813056537183002E-14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201.84651193684252</v>
      </c>
      <c r="CZ202" s="59">
        <f t="shared" si="208"/>
        <v>138.00705940844708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9.3506079827592696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9.3506079827592696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1.1368683772161603E-13</v>
      </c>
      <c r="DP202" s="17">
        <f>DO202*VLOOKUP('Données projet'!$B$14,Paramètres!$A$1:$I$89,3,0)*VLOOKUP('Données projet'!$B$14,Paramètres!$A$1:$I$89,5,0)</f>
        <v>8.3355189417488869E-14</v>
      </c>
      <c r="DQ202" s="13">
        <f t="shared" si="176"/>
        <v>1.2790518435140618E-12</v>
      </c>
      <c r="DR202" s="20">
        <f t="shared" si="177"/>
        <v>2.3728589156891171E-12</v>
      </c>
      <c r="DS202" s="59">
        <f t="shared" si="197"/>
        <v>290.51637186933851</v>
      </c>
      <c r="DT202" s="59">
        <f ca="1">AVERAGE(OFFSET($DS$3,0,0,'Données projet'!$E$14+1,1))-AVERAGE(OFFSET($H$3,0,0,'Données projet'!$E$14+1,1))</f>
        <v>242.21240859696931</v>
      </c>
      <c r="DU202" s="59">
        <f t="shared" si="209"/>
        <v>340.92165104349192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4.0190130066062499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4.0190130066062499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-5.6843418860808015E-14</v>
      </c>
      <c r="EK202" s="17">
        <f>EJ202*VLOOKUP('Données projet'!$B$15,Paramètres!$A$1:$I$89,3,0)*VLOOKUP('Données projet'!$B$15,Paramètres!$A$1:$I$89,5,0)</f>
        <v>-5.4978954722173515E-14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331.7059599630698</v>
      </c>
      <c r="EP202" s="59">
        <f t="shared" si="210"/>
        <v>173.19148969173838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19.089300523491385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19.089300523491385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-5.6843418860808015E-14</v>
      </c>
      <c r="FF202" s="17">
        <f>FE202*VLOOKUP('Données projet'!$B$16,Paramètres!$A$1:$I$89,3,0)*VLOOKUP('Données projet'!$B$16,Paramètres!$A$1:$I$89,5,0)</f>
        <v>-6.1186256061773749E-14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360.86062459677004</v>
      </c>
      <c r="FK202" s="59">
        <f t="shared" si="211"/>
        <v>186.0840067781198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22.910670078209396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22.910670078209396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-5.1159076974727213E-13</v>
      </c>
      <c r="GA202" s="17">
        <f>FZ202*VLOOKUP('Données projet'!$B$17,Paramètres!$A$1:$I$89,3,0)*VLOOKUP('Données projet'!$B$17,Paramètres!$A$1:$I$89,5,0)</f>
        <v>-5.1875304052373401E-13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448.73339628506784</v>
      </c>
      <c r="GF202" s="59">
        <f t="shared" si="212"/>
        <v>273.35778700650803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29.160042823341001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29.160042823341001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-5.1159076974727213E-13</v>
      </c>
      <c r="O203" s="13">
        <f>N203*VLOOKUP('Données projet'!$B$9,Paramètres!$A$1:$I$89,3,0)*VLOOKUP('Données projet'!$B$9,Paramètres!$A$1:$I$89,5,0)</f>
        <v>-4.6288732846733184E-13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408.51124670343137</v>
      </c>
      <c r="T203" s="59">
        <f t="shared" si="204"/>
        <v>250.47702091764884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25.509499474274183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25.509499474274183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-2.8421709430404007E-13</v>
      </c>
      <c r="AJ203" s="13">
        <f>AI203*VLOOKUP('Données projet'!$B$10,Paramètres!$A$1:$I$89,3,0)*VLOOKUP('Données projet'!$B$10,Paramètres!$A$1:$I$89,5,0)</f>
        <v>-2.2612312022829427E-13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327.22763817565902</v>
      </c>
      <c r="AO203" s="59">
        <f t="shared" si="205"/>
        <v>311.68541696405975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9.651119597081065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9.651119597081065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2.8421709430404007E-14</v>
      </c>
      <c r="BE203" s="13">
        <f>BD203*VLOOKUP('Données projet'!$B$11,Paramètres!$A$1:$I$89,3,0)*VLOOKUP('Données projet'!$B$11,Paramètres!$A$1:$I$89,5,0)</f>
        <v>1.8178525351686402E-14</v>
      </c>
      <c r="BF203" s="13">
        <f t="shared" si="167"/>
        <v>3.3304129621647644E-13</v>
      </c>
      <c r="BG203" s="20">
        <f t="shared" si="168"/>
        <v>6.1170785589788349E-13</v>
      </c>
      <c r="BH203" s="59">
        <f t="shared" si="194"/>
        <v>290.56523985295473</v>
      </c>
      <c r="BI203" s="59">
        <f ca="1">AVERAGE(OFFSET($BH$3,0,0,'Données projet'!$E$11+1,1))-AVERAGE(OFFSET($H$3,0,0,'Données projet'!$E$11+1,1))</f>
        <v>169.46470423366029</v>
      </c>
      <c r="BJ203" s="59">
        <f t="shared" si="206"/>
        <v>230.78141128389288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2.0907730508174542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2.0907730508174542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-1.7053025658242404E-13</v>
      </c>
      <c r="BZ203" s="13">
        <f>BY203*VLOOKUP('Données projet'!$B$12,Paramètres!$A$1:$I$89,3,0)*VLOOKUP('Données projet'!$B$12,Paramètres!$A$1:$I$89,5,0)</f>
        <v>-1.4897523215040567E-13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342.79161436526499</v>
      </c>
      <c r="CE203" s="59">
        <f t="shared" si="207"/>
        <v>315.50730924873733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11.237149989104854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11.237149989104854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-5.6843418860808015E-14</v>
      </c>
      <c r="CU203" s="17">
        <f>CT203*VLOOKUP('Données projet'!$B$13,Paramètres!$A$1:$I$89,3,0)*VLOOKUP('Données projet'!$B$13,Paramètres!$A$1:$I$89,5,0)</f>
        <v>-3.813056537183002E-14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201.84651193684252</v>
      </c>
      <c r="CZ203" s="59">
        <f t="shared" si="208"/>
        <v>138.00705940844708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9.1672482635250745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9.1672482635250745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1.1368683772161603E-13</v>
      </c>
      <c r="DP203" s="17">
        <f>DO203*VLOOKUP('Données projet'!$B$14,Paramètres!$A$1:$I$89,3,0)*VLOOKUP('Données projet'!$B$14,Paramètres!$A$1:$I$89,5,0)</f>
        <v>8.3355189417488869E-14</v>
      </c>
      <c r="DQ203" s="13">
        <f t="shared" si="176"/>
        <v>1.2790518435140618E-12</v>
      </c>
      <c r="DR203" s="20">
        <f t="shared" si="177"/>
        <v>2.3728589156891171E-12</v>
      </c>
      <c r="DS203" s="59">
        <f t="shared" si="197"/>
        <v>290.56523985295649</v>
      </c>
      <c r="DT203" s="59">
        <f ca="1">AVERAGE(OFFSET($DS$3,0,0,'Données projet'!$E$14+1,1))-AVERAGE(OFFSET($H$3,0,0,'Données projet'!$E$14+1,1))</f>
        <v>242.21240859696931</v>
      </c>
      <c r="DU203" s="59">
        <f t="shared" si="209"/>
        <v>340.92165104349192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3.940202612902584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3.940202612902584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-5.6843418860808015E-14</v>
      </c>
      <c r="EK203" s="17">
        <f>EJ203*VLOOKUP('Données projet'!$B$15,Paramètres!$A$1:$I$89,3,0)*VLOOKUP('Données projet'!$B$15,Paramètres!$A$1:$I$89,5,0)</f>
        <v>-5.4978954722173515E-14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331.7059599630698</v>
      </c>
      <c r="EP203" s="59">
        <f t="shared" si="210"/>
        <v>173.19148969173838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18.714970983549357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18.714970983549357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-5.6843418860808015E-14</v>
      </c>
      <c r="FF203" s="17">
        <f>FE203*VLOOKUP('Données projet'!$B$16,Paramètres!$A$1:$I$89,3,0)*VLOOKUP('Données projet'!$B$16,Paramètres!$A$1:$I$89,5,0)</f>
        <v>-6.1186256061773749E-14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360.86062459677004</v>
      </c>
      <c r="FK203" s="59">
        <f t="shared" si="211"/>
        <v>186.0840067781198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22.461405812104626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22.461405812104626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-5.1159076974727213E-13</v>
      </c>
      <c r="GA203" s="17">
        <f>FZ203*VLOOKUP('Données projet'!$B$17,Paramètres!$A$1:$I$89,3,0)*VLOOKUP('Données projet'!$B$17,Paramètres!$A$1:$I$89,5,0)</f>
        <v>-5.1875304052373401E-13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448.73339628506784</v>
      </c>
      <c r="GF203" s="59">
        <f t="shared" si="212"/>
        <v>273.35778700650803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28.588232169445199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28.588232169445199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1.2054868146447177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1.2721747796233518</v>
      </c>
      <c r="BA205" s="82">
        <f>EXP(LN('Données projet'!B88)/'Données projet'!A88)</f>
        <v>1.3013682980565777</v>
      </c>
      <c r="BV205" s="82">
        <f>EXP(LN('Données projet'!B114)/'Données projet'!A114)</f>
        <v>1.3682730833261529</v>
      </c>
      <c r="CQ205" s="82">
        <f>EXP(LN('Données projet'!B140)/'Données projet'!A140)</f>
        <v>1.1457367676485573</v>
      </c>
      <c r="DL205" s="82">
        <f>EXP(LN('Données projet'!B166)/'Données projet'!A166)</f>
        <v>1.2709816152101407</v>
      </c>
      <c r="EG205" s="82">
        <f>EXP(LN('Données projet'!B192)/'Données projet'!A192)</f>
        <v>1.1457367676485573</v>
      </c>
      <c r="FB205" s="82">
        <f>EXP(LN('Données projet'!B218)/'Données projet'!A218)</f>
        <v>1.1457367676485573</v>
      </c>
      <c r="FW205" s="82">
        <f>EXP(LN('Données projet'!B244)/'Données projet'!A244)</f>
        <v>1.2054868146447177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Chêne sessile</v>
      </c>
      <c r="B6" s="146">
        <f>'Données projet'!D9</f>
        <v>3.2662323784999998</v>
      </c>
      <c r="C6" s="147">
        <f ca="1">IF(OR('Données projet'!B9="",'Données projet'!C9="",'Données projet'!C9=0%),0,Calculateur!S3)</f>
        <v>408.51124670343137</v>
      </c>
      <c r="D6" s="147">
        <f>IF(OR('Données projet'!B9="",'Données projet'!C9="",'Données projet'!C9=0%),0,Calculateur!T3)</f>
        <v>250.47702091764884</v>
      </c>
      <c r="E6" s="147">
        <f ca="1">MIN(C6,D6)</f>
        <v>250.47702091764884</v>
      </c>
      <c r="F6" s="147">
        <f ca="1">E6*B6</f>
        <v>818.11615579144643</v>
      </c>
      <c r="G6" s="147">
        <f ca="1">F6*(100%-'Données projet'!$C$24)*(100%-'Données projet'!$C$25)*(100%-'Données projet'!$C$26)*(100%-'Données projet'!$C$27)</f>
        <v>699.48931320168674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699.48931320168674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Erable sycomore</v>
      </c>
      <c r="B7" s="154">
        <f>'Données projet'!D10</f>
        <v>0.2223126815</v>
      </c>
      <c r="C7" s="147">
        <f ca="1">IF(OR('Données projet'!B10="",'Données projet'!C10="",'Données projet'!C10=0%),0,Calculateur!AN3)</f>
        <v>327.22763817565902</v>
      </c>
      <c r="D7" s="147">
        <f>IF(OR('Données projet'!B10="",'Données projet'!C10="",'Données projet'!C10=0%),0,Calculateur!AO3)</f>
        <v>311.68541696405975</v>
      </c>
      <c r="E7" s="147">
        <f t="shared" ref="E7:E15" ca="1" si="0">MIN(C7,D7)</f>
        <v>311.68541696405975</v>
      </c>
      <c r="F7" s="147">
        <f t="shared" ref="F7:F15" ca="1" si="1">E7*B7</f>
        <v>69.291620829725716</v>
      </c>
      <c r="G7" s="147">
        <f ca="1">F7*(100%-'Données projet'!$C$24)*(100%-'Données projet'!$C$25)*(100%-'Données projet'!$C$26)*(100%-'Données projet'!$C$27)</f>
        <v>59.244335809415489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59.244335809415489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Tulipier de Virginie</v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Chêne rouge d'Amérique</v>
      </c>
      <c r="B9" s="154">
        <f>'Données projet'!D12</f>
        <v>0.1122149665</v>
      </c>
      <c r="C9" s="147">
        <f ca="1">IF(OR('Données projet'!B12="",'Données projet'!C12="",'Données projet'!C12=0%),0,Calculateur!CD3)</f>
        <v>342.79161436526499</v>
      </c>
      <c r="D9" s="147">
        <f>IF(OR('Données projet'!B12="",'Données projet'!C12="",'Données projet'!C12=0%),0,Calculateur!CE3)</f>
        <v>315.50730924873733</v>
      </c>
      <c r="E9" s="147">
        <f t="shared" ca="1" si="0"/>
        <v>315.50730924873733</v>
      </c>
      <c r="F9" s="147">
        <f t="shared" ca="1" si="1"/>
        <v>35.4046421378522</v>
      </c>
      <c r="G9" s="147">
        <f ca="1">F9*(100%-'Données projet'!$C$24)*(100%-'Données projet'!$C$25)*(100%-'Données projet'!$C$26)*(100%-'Données projet'!$C$27)</f>
        <v>30.270969027863629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30.270969027863629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Tilleul</v>
      </c>
      <c r="B10" s="154">
        <f>'Données projet'!D13</f>
        <v>0.11150921600000001</v>
      </c>
      <c r="C10" s="147">
        <f ca="1">IF(OR('Données projet'!B13="",'Données projet'!C13="",'Données projet'!C13=0%),0,Calculateur!CY3)</f>
        <v>201.84651193684252</v>
      </c>
      <c r="D10" s="147">
        <f>IF(OR('Données projet'!B13="",'Données projet'!C13="",'Données projet'!C13=0%),0,Calculateur!CZ3)</f>
        <v>138.00705940844708</v>
      </c>
      <c r="E10" s="147">
        <f t="shared" ca="1" si="0"/>
        <v>138.00705940844708</v>
      </c>
      <c r="F10" s="147">
        <f t="shared" ca="1" si="1"/>
        <v>15.389058997101358</v>
      </c>
      <c r="G10" s="147">
        <f ca="1">F10*(100%-'Données projet'!$C$24)*(100%-'Données projet'!$C$25)*(100%-'Données projet'!$C$26)*(100%-'Données projet'!$C$27)</f>
        <v>13.157645442521661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13.157645442521661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>Châtaignier</v>
      </c>
      <c r="B11" s="154">
        <f>'Données projet'!D14</f>
        <v>0.3112377905</v>
      </c>
      <c r="C11" s="147">
        <f ca="1">IF(OR('Données projet'!B14="",'Données projet'!C14="",'Données projet'!C14=0%),0,Calculateur!DT3)</f>
        <v>242.21240859696931</v>
      </c>
      <c r="D11" s="147">
        <f>IF(OR('Données projet'!B14="",'Données projet'!C14="",'Données projet'!C14=0%),0,Calculateur!DU3)</f>
        <v>340.92165104349192</v>
      </c>
      <c r="E11" s="147">
        <f t="shared" ca="1" si="0"/>
        <v>242.21240859696931</v>
      </c>
      <c r="F11" s="147">
        <f t="shared" ca="1" si="1"/>
        <v>75.38565488340393</v>
      </c>
      <c r="G11" s="147">
        <f ca="1">F11*(100%-'Données projet'!$C$24)*(100%-'Données projet'!$C$25)*(100%-'Données projet'!$C$26)*(100%-'Données projet'!$C$27)</f>
        <v>64.454734925310348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64.454734925310348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>Alisier torminal</v>
      </c>
      <c r="B12" s="154">
        <f>'Données projet'!D15</f>
        <v>7.7633009999999988E-2</v>
      </c>
      <c r="C12" s="147">
        <f ca="1">IF(OR('Données projet'!B15="",'Données projet'!C15="",'Données projet'!C15=0%),0,Calculateur!EO3)</f>
        <v>331.7059599630698</v>
      </c>
      <c r="D12" s="147">
        <f>IF(OR('Données projet'!B15="",'Données projet'!C15="",'Données projet'!C15=0%),0,Calculateur!EP3)</f>
        <v>173.19148969173838</v>
      </c>
      <c r="E12" s="147">
        <f t="shared" ca="1" si="0"/>
        <v>173.19148969173838</v>
      </c>
      <c r="F12" s="147">
        <f t="shared" ca="1" si="1"/>
        <v>13.445376651153621</v>
      </c>
      <c r="G12" s="147">
        <f ca="1">F12*(100%-'Données projet'!$C$24)*(100%-'Données projet'!$C$25)*(100%-'Données projet'!$C$26)*(100%-'Données projet'!$C$27)</f>
        <v>11.495797036736345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11.495797036736345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>Cormier</v>
      </c>
      <c r="B13" s="154">
        <f>'Données projet'!D16</f>
        <v>7.7633009999999988E-2</v>
      </c>
      <c r="C13" s="147">
        <f ca="1">IF(OR('Données projet'!B16="",'Données projet'!C16="",'Données projet'!C16=0%),0,Calculateur!FJ3)</f>
        <v>360.86062459677004</v>
      </c>
      <c r="D13" s="147">
        <f>IF(OR('Données projet'!B16="",'Données projet'!C16="",'Données projet'!C16=0%),0,Calculateur!FK3)</f>
        <v>186.0840067781198</v>
      </c>
      <c r="E13" s="147">
        <f t="shared" ca="1" si="0"/>
        <v>186.0840067781198</v>
      </c>
      <c r="F13" s="147">
        <f t="shared" ca="1" si="1"/>
        <v>14.446261559045841</v>
      </c>
      <c r="G13" s="147">
        <f ca="1">F13*(100%-'Données projet'!$C$24)*(100%-'Données projet'!$C$25)*(100%-'Données projet'!$C$26)*(100%-'Données projet'!$C$27)</f>
        <v>12.351553632984194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12.351553632984194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>Chêne pubescent</v>
      </c>
      <c r="B14" s="154">
        <f>'Données projet'!D17</f>
        <v>0.1482084695</v>
      </c>
      <c r="C14" s="147">
        <f ca="1">IF(OR('Données projet'!B17="",'Données projet'!C17="",'Données projet'!C17=0%),0,Calculateur!GE3)</f>
        <v>448.73339628506784</v>
      </c>
      <c r="D14" s="147">
        <f>IF(OR('Données projet'!B17="",'Données projet'!C17="",'Données projet'!C17=0%),0,Calculateur!GF3)</f>
        <v>273.35778700650803</v>
      </c>
      <c r="E14" s="147">
        <f t="shared" ca="1" si="0"/>
        <v>273.35778700650803</v>
      </c>
      <c r="F14" s="147">
        <f t="shared" ca="1" si="1"/>
        <v>40.513939238141539</v>
      </c>
      <c r="G14" s="147">
        <f ca="1">F14*(100%-'Données projet'!$C$24)*(100%-'Données projet'!$C$25)*(100%-'Données projet'!$C$26)*(100%-'Données projet'!$C$27)</f>
        <v>34.639418048611013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ca="1" si="2"/>
        <v>34.639418048611013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1081.9927100878706</v>
      </c>
      <c r="G16" s="166">
        <f t="shared" ca="1" si="3"/>
        <v>925.10376712512948</v>
      </c>
      <c r="H16" s="167">
        <f t="shared" si="3"/>
        <v>0</v>
      </c>
      <c r="I16" s="167">
        <f t="shared" si="3"/>
        <v>0</v>
      </c>
      <c r="J16" s="168">
        <f t="shared" si="3"/>
        <v>0</v>
      </c>
      <c r="K16" s="168">
        <f t="shared" si="3"/>
        <v>0</v>
      </c>
      <c r="L16" s="169">
        <f t="shared" ca="1" si="3"/>
        <v>925.10376712512948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Erable sycomore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Tulipier de Virginie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Chêne rouge d'Amérique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Tilleul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>Châtaignier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>Alisier torminal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>Cormier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>Chêne pubescent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Normal="100" workbookViewId="0">
      <selection activeCell="C116" sqref="C116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-1458.9200455147286</v>
      </c>
      <c r="U10" s="178">
        <f>'Données projet'!D9</f>
        <v>3.2662323784999998</v>
      </c>
      <c r="V10" s="177">
        <f>U10*T10</f>
        <v>-4765.1718903028996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Erable sycomore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-1643.1210515694802</v>
      </c>
      <c r="U11" s="178">
        <f>'Données projet'!D10</f>
        <v>0.2223126815</v>
      </c>
      <c r="V11" s="177">
        <f t="shared" ref="V11" si="0">U11*T11</f>
        <v>-365.28664700351089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Tulipier de Virginie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-4225.6953139400348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Chêne rouge d'Amérique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-681.15018731575526</v>
      </c>
      <c r="U13" s="178">
        <f>'Données projet'!D12</f>
        <v>0.1122149665</v>
      </c>
      <c r="V13" s="177">
        <f t="shared" si="1"/>
        <v>-76.435245451106198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Tilleul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-2420.5575080101312</v>
      </c>
      <c r="U14" s="178">
        <f>'Données projet'!D13</f>
        <v>0.11150921600000001</v>
      </c>
      <c r="V14" s="177">
        <f t="shared" si="1"/>
        <v>-269.91447000112345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>
        <v>0</v>
      </c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Châtaignier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5467.595503285781</v>
      </c>
      <c r="U15" s="178">
        <f>'Données projet'!D14</f>
        <v>0.3112377905</v>
      </c>
      <c r="V15" s="177">
        <f t="shared" si="1"/>
        <v>1701.722343790402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>
        <v>30</v>
      </c>
      <c r="O16" s="23"/>
      <c r="P16" s="23"/>
      <c r="Q16" s="233"/>
      <c r="R16" s="23"/>
      <c r="S16" s="36" t="str">
        <f>B200</f>
        <v>Alisier torminal</v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-4421.6419628721105</v>
      </c>
      <c r="U16" s="178">
        <f>'Données projet'!D15</f>
        <v>7.7633009999999988E-2</v>
      </c>
      <c r="V16" s="177">
        <f t="shared" si="1"/>
        <v>-343.26537472007016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>
        <f>2692.15*1.12</f>
        <v>3015.2080000000005</v>
      </c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>Cormier</v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-4787.6542033037022</v>
      </c>
      <c r="U17" s="178">
        <f>'Données projet'!D16</f>
        <v>7.7633009999999988E-2</v>
      </c>
      <c r="V17" s="177">
        <f t="shared" si="1"/>
        <v>-371.68000664161826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>
        <v>10</v>
      </c>
      <c r="O18" s="23"/>
      <c r="P18" s="23"/>
      <c r="Q18" s="233"/>
      <c r="R18" s="23"/>
      <c r="S18" s="36" t="str">
        <f>B262</f>
        <v>Chêne pubescent</v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-1932.7915794751293</v>
      </c>
      <c r="U18" s="178">
        <f>'Données projet'!D17</f>
        <v>0.1482084695</v>
      </c>
      <c r="V18" s="177">
        <f t="shared" si="1"/>
        <v>-286.4560818564965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88"/>
      <c r="H20" s="190">
        <v>0</v>
      </c>
      <c r="I20" s="191">
        <f>(375+495.92)*1.12</f>
        <v>975.43040000000019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f>400*1.12</f>
        <v>448.00000000000006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f>400*1.12</f>
        <v>448.00000000000006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20</v>
      </c>
      <c r="B23" s="181">
        <f>'Données projet'!D36</f>
        <v>0</v>
      </c>
      <c r="C23" s="193">
        <f>225*'Données projet'!E36+13.8*('Données projet'!F36+'Données projet'!G36)+10*'Données projet'!G36</f>
        <v>0</v>
      </c>
      <c r="D23" s="182">
        <f>B23*C23</f>
        <v>0</v>
      </c>
      <c r="E23" s="193"/>
      <c r="F23" s="229"/>
      <c r="H23" s="190">
        <v>3</v>
      </c>
      <c r="I23" s="191">
        <f>400*1.12</f>
        <v>448.00000000000006</v>
      </c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-18163.224288031011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25</v>
      </c>
      <c r="B24" s="181">
        <f>'Données projet'!D37</f>
        <v>0</v>
      </c>
      <c r="C24" s="193">
        <f>225*'Données projet'!E37+13.8*('Données projet'!F37+'Données projet'!G37)+10*'Données projet'!G37</f>
        <v>0</v>
      </c>
      <c r="D24" s="182">
        <f t="shared" ref="D24:D42" si="2">B24*C24</f>
        <v>0</v>
      </c>
      <c r="E24" s="193"/>
      <c r="F24" s="232"/>
      <c r="H24" s="190">
        <v>4</v>
      </c>
      <c r="I24" s="191">
        <f>400*1.12</f>
        <v>448.00000000000006</v>
      </c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30</v>
      </c>
      <c r="B25" s="181">
        <f>'Données projet'!D38</f>
        <v>0</v>
      </c>
      <c r="C25" s="193">
        <f>225*'Données projet'!E38+13.8*('Données projet'!F38+'Données projet'!G38)+10*'Données projet'!G38</f>
        <v>0</v>
      </c>
      <c r="D25" s="182">
        <f t="shared" si="2"/>
        <v>0</v>
      </c>
      <c r="E25" s="193"/>
      <c r="F25" s="232"/>
      <c r="H25" s="190">
        <v>5</v>
      </c>
      <c r="I25" s="191">
        <f>400*1.12</f>
        <v>448.00000000000006</v>
      </c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-18163.224288031011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35</v>
      </c>
      <c r="B26" s="181">
        <f>'Données projet'!D39</f>
        <v>21</v>
      </c>
      <c r="C26" s="193">
        <f>225*'Données projet'!E39+13.8*('Données projet'!F39+'Données projet'!G39)+10*'Données projet'!G39</f>
        <v>0</v>
      </c>
      <c r="D26" s="182">
        <f t="shared" si="2"/>
        <v>0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est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40</v>
      </c>
      <c r="B27" s="181">
        <f>'Données projet'!D40</f>
        <v>21</v>
      </c>
      <c r="C27" s="193">
        <f>225*'Données projet'!E40+13.8*('Données projet'!F40+'Données projet'!G40)+10*'Données projet'!G40</f>
        <v>45</v>
      </c>
      <c r="D27" s="182">
        <f t="shared" si="2"/>
        <v>945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45</v>
      </c>
      <c r="B28" s="181">
        <f>'Données projet'!D41</f>
        <v>21</v>
      </c>
      <c r="C28" s="193">
        <f>225*'Données projet'!E41+13.8*('Données projet'!F41+'Données projet'!G41)+10*'Données projet'!G41</f>
        <v>45</v>
      </c>
      <c r="D28" s="182">
        <f t="shared" si="2"/>
        <v>945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50</v>
      </c>
      <c r="B29" s="181">
        <f>'Données projet'!D42</f>
        <v>21</v>
      </c>
      <c r="C29" s="193">
        <f>225*'Données projet'!E42+13.8*('Données projet'!F42+'Données projet'!G42)+10*'Données projet'!G42</f>
        <v>67.5</v>
      </c>
      <c r="D29" s="182">
        <f t="shared" si="2"/>
        <v>1417.5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55</v>
      </c>
      <c r="B30" s="181">
        <f>'Données projet'!D43</f>
        <v>21</v>
      </c>
      <c r="C30" s="193">
        <f>225*'Données projet'!E43+13.8*('Données projet'!F43+'Données projet'!G43)+10*'Données projet'!G43</f>
        <v>67.5</v>
      </c>
      <c r="D30" s="182">
        <f t="shared" si="2"/>
        <v>1417.5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60</v>
      </c>
      <c r="B31" s="181">
        <f>'Données projet'!D44</f>
        <v>21</v>
      </c>
      <c r="C31" s="193">
        <f>225*'Données projet'!E44+13.8*('Données projet'!F44+'Données projet'!G44)+10*'Données projet'!G44</f>
        <v>90</v>
      </c>
      <c r="D31" s="182">
        <f t="shared" si="2"/>
        <v>1890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65</v>
      </c>
      <c r="B32" s="181">
        <f>'Données projet'!D45</f>
        <v>21</v>
      </c>
      <c r="C32" s="193">
        <f>225*'Données projet'!E45+13.8*('Données projet'!F45+'Données projet'!G45)+10*'Données projet'!G45</f>
        <v>90</v>
      </c>
      <c r="D32" s="182">
        <f t="shared" si="2"/>
        <v>1890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70</v>
      </c>
      <c r="B33" s="181">
        <f>'Données projet'!D46</f>
        <v>21</v>
      </c>
      <c r="C33" s="193">
        <f>225*'Données projet'!E46+13.8*('Données projet'!F46+'Données projet'!G46)+10*'Données projet'!G46</f>
        <v>112.5</v>
      </c>
      <c r="D33" s="182">
        <f t="shared" si="2"/>
        <v>2362.5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75</v>
      </c>
      <c r="B34" s="181">
        <f>'Données projet'!D47</f>
        <v>21</v>
      </c>
      <c r="C34" s="193">
        <f>225*'Données projet'!E47+13.8*('Données projet'!F47+'Données projet'!G47)+10*'Données projet'!G47</f>
        <v>112.5</v>
      </c>
      <c r="D34" s="182">
        <f t="shared" si="2"/>
        <v>2362.5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80</v>
      </c>
      <c r="B35" s="181">
        <f>'Données projet'!D48</f>
        <v>21</v>
      </c>
      <c r="C35" s="193">
        <f>225*'Données projet'!E48+13.8*('Données projet'!F48+'Données projet'!G48)+10*'Données projet'!G48</f>
        <v>135</v>
      </c>
      <c r="D35" s="182">
        <f t="shared" si="2"/>
        <v>2835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85</v>
      </c>
      <c r="B36" s="181">
        <f>'Données projet'!D49</f>
        <v>21</v>
      </c>
      <c r="C36" s="193">
        <f>225*'Données projet'!E49+13.8*('Données projet'!F49+'Données projet'!G49)+10*'Données projet'!G49</f>
        <v>135</v>
      </c>
      <c r="D36" s="182">
        <f t="shared" si="2"/>
        <v>2835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90</v>
      </c>
      <c r="B37" s="181">
        <f>'Données projet'!D50</f>
        <v>21</v>
      </c>
      <c r="C37" s="193">
        <f>225*'Données projet'!E50+13.8*('Données projet'!F50+'Données projet'!G50)+10*'Données projet'!G50</f>
        <v>157.5</v>
      </c>
      <c r="D37" s="182">
        <f t="shared" si="2"/>
        <v>3307.5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100</v>
      </c>
      <c r="B38" s="181">
        <f>'Données projet'!D51</f>
        <v>21</v>
      </c>
      <c r="C38" s="193">
        <f>225*'Données projet'!E51+13.8*('Données projet'!F51+'Données projet'!G51)+10*'Données projet'!G51</f>
        <v>157.5</v>
      </c>
      <c r="D38" s="182">
        <f t="shared" si="2"/>
        <v>3307.5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110</v>
      </c>
      <c r="B39" s="181">
        <f>'Données projet'!D52</f>
        <v>19</v>
      </c>
      <c r="C39" s="193">
        <f>225*'Données projet'!E52+13.8*('Données projet'!F52+'Données projet'!G52)+10*'Données projet'!G52</f>
        <v>180</v>
      </c>
      <c r="D39" s="182">
        <f t="shared" si="2"/>
        <v>3420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120</v>
      </c>
      <c r="B40" s="181">
        <f>'Données projet'!D53</f>
        <v>285</v>
      </c>
      <c r="C40" s="193">
        <f>225*'Données projet'!E53+13.8*('Données projet'!F53+'Données projet'!G53)+10*'Données projet'!G53</f>
        <v>180</v>
      </c>
      <c r="D40" s="182">
        <f t="shared" si="2"/>
        <v>51300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>
        <f>30*'Données projet'!E54+19.4*('Données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>
        <f>30*'Données projet'!E55+19.4*('Données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Erable sycomore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>
        <f>2196.23*1.12</f>
        <v>2459.7776000000003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15</v>
      </c>
      <c r="B54" s="181">
        <f>'Données projet'!D62</f>
        <v>0</v>
      </c>
      <c r="C54" s="191">
        <f>60*'Données projet'!E62+13.8*('Données projet'!F62+'Données projet'!G62)+10*'Données projet'!H62</f>
        <v>10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20</v>
      </c>
      <c r="B55" s="181">
        <f>'Données projet'!D63</f>
        <v>0</v>
      </c>
      <c r="C55" s="191">
        <f>60*'Données projet'!E63+13.8*('Données projet'!F63+'Données projet'!G63)+10*'Données projet'!H63</f>
        <v>10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25</v>
      </c>
      <c r="B56" s="181">
        <f>'Données projet'!D64</f>
        <v>0</v>
      </c>
      <c r="C56" s="191">
        <f>60*'Données projet'!E64+13.8*('Données projet'!F64+'Données projet'!G64)+10*'Données projet'!H64</f>
        <v>10</v>
      </c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30</v>
      </c>
      <c r="B57" s="181">
        <f>'Données projet'!D65</f>
        <v>0</v>
      </c>
      <c r="C57" s="191">
        <f>60*'Données projet'!E65+13.8*('Données projet'!F65+'Données projet'!G65)+10*'Données projet'!H65</f>
        <v>10</v>
      </c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35</v>
      </c>
      <c r="B58" s="181">
        <f>'Données projet'!D66</f>
        <v>28</v>
      </c>
      <c r="C58" s="191">
        <f>60*'Données projet'!E66+13.8*('Données projet'!F66+'Données projet'!G66)+10*'Données projet'!H66</f>
        <v>20</v>
      </c>
      <c r="D58" s="179">
        <f t="shared" si="4"/>
        <v>560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40</v>
      </c>
      <c r="B59" s="181">
        <f>'Données projet'!D67</f>
        <v>28</v>
      </c>
      <c r="C59" s="191">
        <f>60*'Données projet'!E67+13.8*('Données projet'!F67+'Données projet'!G67)+10*'Données projet'!H67</f>
        <v>20</v>
      </c>
      <c r="D59" s="179">
        <f t="shared" si="4"/>
        <v>560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45</v>
      </c>
      <c r="B60" s="181">
        <f>'Données projet'!D68</f>
        <v>22</v>
      </c>
      <c r="C60" s="191">
        <f>60*'Données projet'!E68+13.8*('Données projet'!F68+'Données projet'!G68)+10*'Données projet'!H68</f>
        <v>25</v>
      </c>
      <c r="D60" s="179">
        <f t="shared" si="4"/>
        <v>550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50</v>
      </c>
      <c r="B61" s="181">
        <f>'Données projet'!D69</f>
        <v>17</v>
      </c>
      <c r="C61" s="191">
        <f>60*'Données projet'!E69+13.8*('Données projet'!F69+'Données projet'!G69)+10*'Données projet'!H69</f>
        <v>25</v>
      </c>
      <c r="D61" s="179">
        <f t="shared" si="4"/>
        <v>425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55</v>
      </c>
      <c r="B62" s="181">
        <f>'Données projet'!D70</f>
        <v>13</v>
      </c>
      <c r="C62" s="191">
        <f>60*'Données projet'!E70+13.8*('Données projet'!F70+'Données projet'!G70)+10*'Données projet'!H70</f>
        <v>30</v>
      </c>
      <c r="D62" s="179">
        <f t="shared" si="4"/>
        <v>390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60</v>
      </c>
      <c r="B63" s="181">
        <f>'Données projet'!D71</f>
        <v>12</v>
      </c>
      <c r="C63" s="191">
        <f>60*'Données projet'!E71+13.8*('Données projet'!F71+'Données projet'!G71)+10*'Données projet'!H71</f>
        <v>30</v>
      </c>
      <c r="D63" s="179">
        <f t="shared" si="4"/>
        <v>360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65</v>
      </c>
      <c r="B64" s="181">
        <f>'Données projet'!D72</f>
        <v>11</v>
      </c>
      <c r="C64" s="191">
        <f>60*'Données projet'!E72+13.8*('Données projet'!F72+'Données projet'!G72)+10*'Données projet'!H72</f>
        <v>35</v>
      </c>
      <c r="D64" s="179">
        <f t="shared" si="4"/>
        <v>385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70</v>
      </c>
      <c r="B65" s="181">
        <f>'Données projet'!D73</f>
        <v>10</v>
      </c>
      <c r="C65" s="191">
        <f>60*'Données projet'!E73+13.8*('Données projet'!F73+'Données projet'!G73)+10*'Données projet'!H73</f>
        <v>35</v>
      </c>
      <c r="D65" s="179">
        <f t="shared" si="4"/>
        <v>350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75</v>
      </c>
      <c r="B66" s="181">
        <f>'Données projet'!D74</f>
        <v>9</v>
      </c>
      <c r="C66" s="191">
        <f>60*'Données projet'!E74+13.8*('Données projet'!F74+'Données projet'!G74)+10*'Données projet'!H74</f>
        <v>40</v>
      </c>
      <c r="D66" s="179">
        <f t="shared" si="4"/>
        <v>360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80</v>
      </c>
      <c r="B67" s="181">
        <f>'Données projet'!D75</f>
        <v>275</v>
      </c>
      <c r="C67" s="191">
        <f>60*'Données projet'!E75+13.8*('Données projet'!F75+'Données projet'!G75)+10*'Données projet'!H75</f>
        <v>45</v>
      </c>
      <c r="D67" s="179">
        <f t="shared" si="4"/>
        <v>12375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>
        <f>60*'Données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60*'Données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60*'Données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60*'Données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60*'Données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60*'Données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Tulipier de Virginie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>
        <f>4760.86*1.12</f>
        <v>5332.1632</v>
      </c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str">
        <f>IF(O83+1&lt;=MIN('Données projet'!$E$9:$E$18),O83+1,"STOP")</f>
        <v>STOP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15</v>
      </c>
      <c r="B85" s="181">
        <f>'Données projet'!D88</f>
        <v>8</v>
      </c>
      <c r="C85" s="191">
        <f>42*'Données projet'!E88+19.4*('Données projet'!F88+'Données projet'!G88)+10*'Données projet'!H88</f>
        <v>10</v>
      </c>
      <c r="D85" s="179">
        <f>B85*C85</f>
        <v>80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20</v>
      </c>
      <c r="B86" s="181">
        <f>'Données projet'!D89</f>
        <v>10</v>
      </c>
      <c r="C86" s="191">
        <f>50*'Données projet'!E89+19.4*('Données projet'!F89+'Données projet'!G89)+10*'Données projet'!H89</f>
        <v>10</v>
      </c>
      <c r="D86" s="179">
        <f t="shared" ref="D86:D104" si="6">B86*C86</f>
        <v>100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25</v>
      </c>
      <c r="B87" s="181">
        <f>'Données projet'!D90</f>
        <v>12</v>
      </c>
      <c r="C87" s="191">
        <f>50*'Données projet'!E90+13.8*('Données projet'!F90+'Données projet'!G90)+10*'Données projet'!H90</f>
        <v>10</v>
      </c>
      <c r="D87" s="179">
        <f t="shared" si="6"/>
        <v>120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30</v>
      </c>
      <c r="B88" s="181">
        <f>'Données projet'!D91</f>
        <v>14</v>
      </c>
      <c r="C88" s="191">
        <f>50*'Données projet'!E91+13.8*('Données projet'!F91+'Données projet'!G91)+10*'Données projet'!H91</f>
        <v>10</v>
      </c>
      <c r="D88" s="179">
        <f t="shared" si="6"/>
        <v>140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35</v>
      </c>
      <c r="B89" s="181">
        <f>'Données projet'!D92</f>
        <v>15</v>
      </c>
      <c r="C89" s="191">
        <f>50*'Données projet'!E92+13.8*('Données projet'!F92+'Données projet'!G92)+10*'Données projet'!H92</f>
        <v>18.899999999999999</v>
      </c>
      <c r="D89" s="179">
        <f t="shared" si="6"/>
        <v>283.5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40</v>
      </c>
      <c r="B90" s="181">
        <f>'Données projet'!D93</f>
        <v>16</v>
      </c>
      <c r="C90" s="191">
        <f>50*'Données projet'!E93+13.8*('Données projet'!F93+'Données projet'!G93)+10*'Données projet'!H93</f>
        <v>22</v>
      </c>
      <c r="D90" s="179">
        <f t="shared" si="6"/>
        <v>352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45</v>
      </c>
      <c r="B91" s="181">
        <f>'Données projet'!D94</f>
        <v>17</v>
      </c>
      <c r="C91" s="191">
        <f>50*'Données projet'!E94+13.8*('Données projet'!F94+'Données projet'!G94)+10*'Données projet'!H94</f>
        <v>26</v>
      </c>
      <c r="D91" s="179">
        <f t="shared" si="6"/>
        <v>442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50</v>
      </c>
      <c r="B92" s="181">
        <f>'Données projet'!D95</f>
        <v>203</v>
      </c>
      <c r="C92" s="191">
        <f>50*'Données projet'!E95+13.8*('Données projet'!F95+'Données projet'!G95)+10*'Données projet'!H95</f>
        <v>34</v>
      </c>
      <c r="D92" s="179">
        <f t="shared" si="6"/>
        <v>6902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>
        <f>42*'Données projet'!E96+19.4*('Données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>
        <f>42*'Données projet'!E97+19.4*('Données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Chêne rouge d'Amérique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>
        <f>(2876.35)*1.12</f>
        <v>3221.5120000000002</v>
      </c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10</v>
      </c>
      <c r="B116" s="181">
        <f>'Données projet'!D114</f>
        <v>0</v>
      </c>
      <c r="C116" s="191">
        <f>225*'Données projet'!E114+19.5*('Données projet'!F114+'Données projet'!G114)+10*'Données projet'!H114</f>
        <v>10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15</v>
      </c>
      <c r="B117" s="181">
        <f>'Données projet'!D115</f>
        <v>0</v>
      </c>
      <c r="C117" s="191">
        <f>225*'Données projet'!E115+19.5*('Données projet'!F115+'Données projet'!G115)+10*'Données projet'!H115</f>
        <v>10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20</v>
      </c>
      <c r="B118" s="181">
        <f>'Données projet'!D116</f>
        <v>0</v>
      </c>
      <c r="C118" s="191">
        <f>225*'Données projet'!E116+19.5*('Données projet'!F116+'Données projet'!G116)+10*'Données projet'!H116</f>
        <v>10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25</v>
      </c>
      <c r="B119" s="181">
        <f>'Données projet'!D117</f>
        <v>0</v>
      </c>
      <c r="C119" s="191">
        <f>225*'Données projet'!E117+19.5*('Données projet'!F117+'Données projet'!G117)+10*'Données projet'!H117</f>
        <v>10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30</v>
      </c>
      <c r="B120" s="181">
        <f>'Données projet'!D118</f>
        <v>0</v>
      </c>
      <c r="C120" s="191">
        <f>225*'Données projet'!E118+19.5*('Données projet'!F118+'Données projet'!G118)+10*'Données projet'!H118</f>
        <v>53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35</v>
      </c>
      <c r="B121" s="181">
        <f>'Données projet'!D119</f>
        <v>24</v>
      </c>
      <c r="C121" s="191">
        <f>225*'Données projet'!E119+19.5*('Données projet'!F119+'Données projet'!G119)+10*'Données projet'!H119</f>
        <v>53</v>
      </c>
      <c r="D121" s="179">
        <f t="shared" si="8"/>
        <v>1272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40</v>
      </c>
      <c r="B122" s="181">
        <f>'Données projet'!D120</f>
        <v>23</v>
      </c>
      <c r="C122" s="191">
        <f>225*'Données projet'!E120+19.5*('Données projet'!F120+'Données projet'!G120)+10*'Données projet'!H120</f>
        <v>74.5</v>
      </c>
      <c r="D122" s="179">
        <f t="shared" si="8"/>
        <v>1713.5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45</v>
      </c>
      <c r="B123" s="181">
        <f>'Données projet'!D121</f>
        <v>22</v>
      </c>
      <c r="C123" s="191">
        <f>225*'Données projet'!E121+19.5*('Données projet'!F121+'Données projet'!G121)+10*'Données projet'!H121</f>
        <v>74.5</v>
      </c>
      <c r="D123" s="179">
        <f t="shared" si="8"/>
        <v>1639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50</v>
      </c>
      <c r="B124" s="181">
        <f>'Données projet'!D122</f>
        <v>21</v>
      </c>
      <c r="C124" s="191">
        <f>225*'Données projet'!E122+19.5*('Données projet'!F122+'Données projet'!G122)+10*'Données projet'!H122</f>
        <v>96</v>
      </c>
      <c r="D124" s="179">
        <f t="shared" si="8"/>
        <v>2016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55</v>
      </c>
      <c r="B125" s="181">
        <f>'Données projet'!D123</f>
        <v>20</v>
      </c>
      <c r="C125" s="191">
        <f>225*'Données projet'!E123+19.5*('Données projet'!F123+'Données projet'!G123)+10*'Données projet'!H123</f>
        <v>96</v>
      </c>
      <c r="D125" s="179">
        <f t="shared" si="8"/>
        <v>1920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60</v>
      </c>
      <c r="B126" s="181">
        <f>'Données projet'!D124</f>
        <v>18</v>
      </c>
      <c r="C126" s="191">
        <f>225*'Données projet'!E124+19.5*('Données projet'!F124+'Données projet'!G124)+10*'Données projet'!H124</f>
        <v>117.5</v>
      </c>
      <c r="D126" s="179">
        <f t="shared" si="8"/>
        <v>2115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65</v>
      </c>
      <c r="B127" s="181">
        <f>'Données projet'!D125</f>
        <v>17</v>
      </c>
      <c r="C127" s="191">
        <f>225*'Données projet'!E125+19.5*('Données projet'!F125+'Données projet'!G125)+10*'Données projet'!H125</f>
        <v>117.5</v>
      </c>
      <c r="D127" s="179">
        <f t="shared" si="8"/>
        <v>1997.5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70</v>
      </c>
      <c r="B128" s="181">
        <f>'Données projet'!D126</f>
        <v>16</v>
      </c>
      <c r="C128" s="191">
        <f>225*'Données projet'!E126+19.5*('Données projet'!F126+'Données projet'!G126)+10*'Données projet'!H126</f>
        <v>139</v>
      </c>
      <c r="D128" s="179">
        <f t="shared" si="8"/>
        <v>2224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75</v>
      </c>
      <c r="B129" s="181">
        <f>'Données projet'!D127</f>
        <v>14</v>
      </c>
      <c r="C129" s="191">
        <f>225*'Données projet'!E127+19.5*('Données projet'!F127+'Données projet'!G127)+10*'Données projet'!H127</f>
        <v>139</v>
      </c>
      <c r="D129" s="179">
        <f t="shared" si="8"/>
        <v>1946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80</v>
      </c>
      <c r="B130" s="181">
        <f>'Données projet'!D128</f>
        <v>13</v>
      </c>
      <c r="C130" s="191">
        <f>225*'Données projet'!E128+19.5*('Données projet'!F128+'Données projet'!G128)+10*'Données projet'!H128</f>
        <v>160.5</v>
      </c>
      <c r="D130" s="179">
        <f t="shared" si="8"/>
        <v>2086.5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85</v>
      </c>
      <c r="B131" s="181">
        <f>'Données projet'!D129</f>
        <v>12</v>
      </c>
      <c r="C131" s="191">
        <f>225*'Données projet'!E129+19.5*('Données projet'!F129+'Données projet'!G129)+10*'Données projet'!H129</f>
        <v>160.5</v>
      </c>
      <c r="D131" s="179">
        <f t="shared" si="8"/>
        <v>1926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90</v>
      </c>
      <c r="B132" s="181">
        <f>'Données projet'!D130</f>
        <v>233</v>
      </c>
      <c r="C132" s="191">
        <f>225*'Données projet'!E130+19.5*('Données projet'!F130+'Données projet'!G130)+10*'Données projet'!H130</f>
        <v>182</v>
      </c>
      <c r="D132" s="179">
        <f t="shared" si="8"/>
        <v>42406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Tilleul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>
        <f>(2550.46)*1.12</f>
        <v>2856.5152000000003</v>
      </c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25</v>
      </c>
      <c r="B147" s="175">
        <f>'Données projet'!D140</f>
        <v>0</v>
      </c>
      <c r="C147" s="191">
        <f>50*'Données projet'!E140+13.8*('Données projet'!F140+'Données projet'!G140)+10*'Données projet'!H140</f>
        <v>10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30</v>
      </c>
      <c r="B148" s="175">
        <f>'Données projet'!D141</f>
        <v>0</v>
      </c>
      <c r="C148" s="191">
        <f>50*'Données projet'!E141+13.8*('Données projet'!F141+'Données projet'!G141)+10*'Données projet'!H141</f>
        <v>10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35</v>
      </c>
      <c r="B149" s="175">
        <f>'Données projet'!D142</f>
        <v>13</v>
      </c>
      <c r="C149" s="191">
        <f>50*'Données projet'!E142+13.8*('Données projet'!F142+'Données projet'!G142)+10*'Données projet'!H142</f>
        <v>10</v>
      </c>
      <c r="D149" s="182">
        <f t="shared" si="10"/>
        <v>130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40</v>
      </c>
      <c r="B150" s="175">
        <f>'Données projet'!D143</f>
        <v>14</v>
      </c>
      <c r="C150" s="191">
        <f>50*'Données projet'!E143+13.8*('Données projet'!F143+'Données projet'!G143)+10*'Données projet'!H143</f>
        <v>18</v>
      </c>
      <c r="D150" s="182">
        <f t="shared" si="10"/>
        <v>252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45</v>
      </c>
      <c r="B151" s="175">
        <f>'Données projet'!D144</f>
        <v>14</v>
      </c>
      <c r="C151" s="191">
        <f>50*'Données projet'!E144+13.8*('Données projet'!F144+'Données projet'!G144)+10*'Données projet'!H144</f>
        <v>18</v>
      </c>
      <c r="D151" s="182">
        <f t="shared" si="10"/>
        <v>252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50</v>
      </c>
      <c r="B152" s="175">
        <f>'Données projet'!D145</f>
        <v>14</v>
      </c>
      <c r="C152" s="191">
        <f>50*'Données projet'!E145+13.8*('Données projet'!F145+'Données projet'!G145)+10*'Données projet'!H145</f>
        <v>18</v>
      </c>
      <c r="D152" s="182">
        <f t="shared" si="10"/>
        <v>252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55</v>
      </c>
      <c r="B153" s="175">
        <f>'Données projet'!D146</f>
        <v>14</v>
      </c>
      <c r="C153" s="191">
        <f>50*'Données projet'!E146+13.8*('Données projet'!F146+'Données projet'!G146)+10*'Données projet'!H146</f>
        <v>22</v>
      </c>
      <c r="D153" s="182">
        <f t="shared" si="10"/>
        <v>308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60</v>
      </c>
      <c r="B154" s="175">
        <f>'Données projet'!D147</f>
        <v>14</v>
      </c>
      <c r="C154" s="191">
        <f>50*'Données projet'!E147+13.8*('Données projet'!F147+'Données projet'!G147)+10*'Données projet'!H147</f>
        <v>22</v>
      </c>
      <c r="D154" s="182">
        <f t="shared" si="10"/>
        <v>308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65</v>
      </c>
      <c r="B155" s="175">
        <f>'Données projet'!D148</f>
        <v>14</v>
      </c>
      <c r="C155" s="191">
        <f>50*'Données projet'!E148+13.8*('Données projet'!F148+'Données projet'!G148)+10*'Données projet'!H148</f>
        <v>26</v>
      </c>
      <c r="D155" s="182">
        <f t="shared" si="10"/>
        <v>364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70</v>
      </c>
      <c r="B156" s="175">
        <f>'Données projet'!D149</f>
        <v>14</v>
      </c>
      <c r="C156" s="191">
        <f>50*'Données projet'!E149+13.8*('Données projet'!F149+'Données projet'!G149)+10*'Données projet'!H149</f>
        <v>30</v>
      </c>
      <c r="D156" s="182">
        <f t="shared" si="10"/>
        <v>420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75</v>
      </c>
      <c r="B157" s="175">
        <f>'Données projet'!D150</f>
        <v>14</v>
      </c>
      <c r="C157" s="191">
        <f>50*'Données projet'!E150+13.8*('Données projet'!F150+'Données projet'!G150)+10*'Données projet'!H150</f>
        <v>34</v>
      </c>
      <c r="D157" s="182">
        <f t="shared" si="10"/>
        <v>476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80</v>
      </c>
      <c r="B158" s="175">
        <f>'Données projet'!D151</f>
        <v>14</v>
      </c>
      <c r="C158" s="191">
        <f>50*'Données projet'!E151+13.8*('Données projet'!F151+'Données projet'!G151)+10*'Données projet'!H151</f>
        <v>38</v>
      </c>
      <c r="D158" s="182">
        <f t="shared" si="10"/>
        <v>532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85</v>
      </c>
      <c r="B159" s="175">
        <f>'Données projet'!D152</f>
        <v>14</v>
      </c>
      <c r="C159" s="191">
        <f>50*'Données projet'!E152+13.8*('Données projet'!F152+'Données projet'!G152)+10*'Données projet'!H152</f>
        <v>42</v>
      </c>
      <c r="D159" s="182">
        <f t="shared" si="10"/>
        <v>588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90</v>
      </c>
      <c r="B160" s="175">
        <f>'Données projet'!D153</f>
        <v>207</v>
      </c>
      <c r="C160" s="191">
        <f>50*'Données projet'!E153+13.8*('Données projet'!F153+'Données projet'!G153)+10*'Données projet'!H153</f>
        <v>42</v>
      </c>
      <c r="D160" s="182">
        <f t="shared" si="10"/>
        <v>8694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>Châtaignier</v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>
        <f>(2833.85)*1.12</f>
        <v>3173.9120000000003</v>
      </c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10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15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20</v>
      </c>
      <c r="B180" s="181">
        <f>'Données projet'!D168</f>
        <v>0</v>
      </c>
      <c r="C180" s="193">
        <f>300*'Données projet'!E168+13.8*('Données projet'!F168+'Données projet'!G170)+10*'Données projet'!H168</f>
        <v>68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25</v>
      </c>
      <c r="B181" s="181">
        <f>'Données projet'!D169</f>
        <v>0</v>
      </c>
      <c r="C181" s="193">
        <f>300*'Données projet'!E169+13.8*('Données projet'!F169+'Données projet'!G171)+10*'Données projet'!H169</f>
        <v>68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30</v>
      </c>
      <c r="B182" s="181">
        <f>'Données projet'!D170</f>
        <v>0</v>
      </c>
      <c r="C182" s="193">
        <f>300*'Données projet'!E170+13.8*('Données projet'!F170+'Données projet'!G172)+10*'Données projet'!H170</f>
        <v>97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35</v>
      </c>
      <c r="B183" s="181">
        <f>'Données projet'!D171</f>
        <v>35</v>
      </c>
      <c r="C183" s="193">
        <f>300*'Données projet'!E171+13.8*('Données projet'!F171+'Données projet'!G173)+10*'Données projet'!H171</f>
        <v>126</v>
      </c>
      <c r="D183" s="179">
        <f t="shared" si="11"/>
        <v>4410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40</v>
      </c>
      <c r="B184" s="181">
        <f>'Données projet'!D172</f>
        <v>35</v>
      </c>
      <c r="C184" s="193">
        <f>300*'Données projet'!E172+13.8*('Données projet'!F172+'Données projet'!G174)+10*'Données projet'!H172</f>
        <v>155</v>
      </c>
      <c r="D184" s="179">
        <f t="shared" si="11"/>
        <v>5425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45</v>
      </c>
      <c r="B185" s="181">
        <f>'Données projet'!D173</f>
        <v>24</v>
      </c>
      <c r="C185" s="193">
        <f>300*'Données projet'!E173+13.8*('Données projet'!F173+'Données projet'!G175)+10*'Données projet'!H173</f>
        <v>184</v>
      </c>
      <c r="D185" s="179">
        <f t="shared" si="11"/>
        <v>4416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50</v>
      </c>
      <c r="B186" s="181">
        <f>'Données projet'!D174</f>
        <v>261</v>
      </c>
      <c r="C186" s="193">
        <f>300*'Données projet'!E174+13.8*('Données projet'!F174+'Données projet'!G176)+10*'Données projet'!H174</f>
        <v>213</v>
      </c>
      <c r="D186" s="179">
        <f t="shared" si="11"/>
        <v>55593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>Alisier torminal</v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>
        <f>(4463.31)*1.12</f>
        <v>4998.9072000000006</v>
      </c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25</v>
      </c>
      <c r="B209" s="181">
        <f>'Données projet'!D192</f>
        <v>0</v>
      </c>
      <c r="C209" s="193">
        <f>300*'Données projet'!E192+13.8*('Données projet'!F192+'Données projet'!G192)+10*'Données projet'!H192</f>
        <v>10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30</v>
      </c>
      <c r="B210" s="181">
        <f>'Données projet'!D193</f>
        <v>0</v>
      </c>
      <c r="C210" s="193">
        <f>300*'Données projet'!E193+13.8*('Données projet'!F193+'Données projet'!G193)+10*'Données projet'!H193</f>
        <v>10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35</v>
      </c>
      <c r="B211" s="181">
        <f>'Données projet'!D194</f>
        <v>13</v>
      </c>
      <c r="C211" s="193">
        <f>300*'Données projet'!E194+13.8*('Données projet'!F194+'Données projet'!G194)+10*'Données projet'!H194</f>
        <v>10</v>
      </c>
      <c r="D211" s="179">
        <f t="shared" si="12"/>
        <v>130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40</v>
      </c>
      <c r="B212" s="181">
        <f>'Données projet'!D195</f>
        <v>14</v>
      </c>
      <c r="C212" s="193">
        <f>300*'Données projet'!E195+13.8*('Données projet'!F195+'Données projet'!G195)+10*'Données projet'!H195</f>
        <v>10</v>
      </c>
      <c r="D212" s="179">
        <f t="shared" si="12"/>
        <v>140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45</v>
      </c>
      <c r="B213" s="181">
        <f>'Données projet'!D196</f>
        <v>14</v>
      </c>
      <c r="C213" s="193">
        <f>300*'Données projet'!E196+13.8*('Données projet'!F196+'Données projet'!G196)+10*'Données projet'!H196</f>
        <v>10</v>
      </c>
      <c r="D213" s="179">
        <f t="shared" si="12"/>
        <v>140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50</v>
      </c>
      <c r="B214" s="181">
        <f>'Données projet'!D197</f>
        <v>14</v>
      </c>
      <c r="C214" s="193">
        <f>300*'Données projet'!E197+13.8*('Données projet'!F197+'Données projet'!G197)+10*'Données projet'!H197</f>
        <v>10</v>
      </c>
      <c r="D214" s="179">
        <f t="shared" si="12"/>
        <v>140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55</v>
      </c>
      <c r="B215" s="181">
        <f>'Données projet'!D198</f>
        <v>14</v>
      </c>
      <c r="C215" s="193">
        <f>300*'Données projet'!E198+13.8*('Données projet'!F198+'Données projet'!G198)+10*'Données projet'!H198</f>
        <v>10</v>
      </c>
      <c r="D215" s="179">
        <f t="shared" si="12"/>
        <v>140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60</v>
      </c>
      <c r="B216" s="181">
        <f>'Données projet'!D199</f>
        <v>14</v>
      </c>
      <c r="C216" s="193">
        <f>300*'Données projet'!E199+13.8*('Données projet'!F199+'Données projet'!G199)+10*'Données projet'!H199</f>
        <v>10</v>
      </c>
      <c r="D216" s="179">
        <f t="shared" si="12"/>
        <v>140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65</v>
      </c>
      <c r="B217" s="181">
        <f>'Données projet'!D200</f>
        <v>14</v>
      </c>
      <c r="C217" s="193">
        <f>300*'Données projet'!E200+13.8*('Données projet'!F200+'Données projet'!G200)+10*'Données projet'!H200</f>
        <v>10</v>
      </c>
      <c r="D217" s="179">
        <f t="shared" si="12"/>
        <v>140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70</v>
      </c>
      <c r="B218" s="181">
        <f>'Données projet'!D201</f>
        <v>14</v>
      </c>
      <c r="C218" s="193">
        <f>300*'Données projet'!E201+13.8*('Données projet'!F201+'Données projet'!G201)+10*'Données projet'!H201</f>
        <v>10</v>
      </c>
      <c r="D218" s="179">
        <f t="shared" si="12"/>
        <v>140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75</v>
      </c>
      <c r="B219" s="181">
        <f>'Données projet'!D202</f>
        <v>14</v>
      </c>
      <c r="C219" s="193">
        <f>300*'Données projet'!E202+13.8*('Données projet'!F202+'Données projet'!G202)+10*'Données projet'!H202</f>
        <v>10</v>
      </c>
      <c r="D219" s="179">
        <f t="shared" si="12"/>
        <v>140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80</v>
      </c>
      <c r="B220" s="181">
        <f>'Données projet'!D203</f>
        <v>14</v>
      </c>
      <c r="C220" s="193">
        <f>300*'Données projet'!E203+13.8*('Données projet'!F203+'Données projet'!G203)+10*'Données projet'!H203</f>
        <v>97</v>
      </c>
      <c r="D220" s="179">
        <f t="shared" si="12"/>
        <v>1358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85</v>
      </c>
      <c r="B221" s="181">
        <f>'Données projet'!D204</f>
        <v>14</v>
      </c>
      <c r="C221" s="193">
        <f>300*'Données projet'!E204+13.8*('Données projet'!F204+'Données projet'!G204)+10*'Données projet'!H204</f>
        <v>126</v>
      </c>
      <c r="D221" s="179">
        <f t="shared" si="12"/>
        <v>1764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90</v>
      </c>
      <c r="B222" s="181">
        <f>'Données projet'!D205</f>
        <v>14</v>
      </c>
      <c r="C222" s="193">
        <f>300*'Données projet'!E205+13.8*('Données projet'!F205+'Données projet'!G205)+10*'Données projet'!H205</f>
        <v>155</v>
      </c>
      <c r="D222" s="179">
        <f t="shared" si="12"/>
        <v>2170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100</v>
      </c>
      <c r="B223" s="181">
        <f>'Données projet'!D206</f>
        <v>14</v>
      </c>
      <c r="C223" s="193">
        <f>300*'Données projet'!E206+13.8*('Données projet'!F206+'Données projet'!G206)+10*'Données projet'!H206</f>
        <v>184</v>
      </c>
      <c r="D223" s="179">
        <f t="shared" si="12"/>
        <v>2576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110</v>
      </c>
      <c r="B224" s="181">
        <f>'Données projet'!D207</f>
        <v>13</v>
      </c>
      <c r="C224" s="193">
        <f>300*'Données projet'!E207+13.8*('Données projet'!F207+'Données projet'!G207)+10*'Données projet'!H207</f>
        <v>213</v>
      </c>
      <c r="D224" s="179">
        <f t="shared" si="12"/>
        <v>2769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120</v>
      </c>
      <c r="B225" s="181">
        <f>'Données projet'!D208</f>
        <v>221</v>
      </c>
      <c r="C225" s="193">
        <f>300*'Données projet'!E208+13.8*('Données projet'!F208+'Données projet'!G208)+10*'Données projet'!H208</f>
        <v>242</v>
      </c>
      <c r="D225" s="179">
        <f t="shared" si="12"/>
        <v>53482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>Cormier</v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>
        <f>(4605)*1.12</f>
        <v>5157.6000000000004</v>
      </c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25</v>
      </c>
      <c r="B240" s="181">
        <f>'Données projet'!D218</f>
        <v>0</v>
      </c>
      <c r="C240" s="193">
        <f>60*'Données projet'!E218+13.8*('Données projet'!F218+'Données projet'!G218)+10*'Données projet'!H218</f>
        <v>10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30</v>
      </c>
      <c r="B241" s="181">
        <f>'Données projet'!D219</f>
        <v>0</v>
      </c>
      <c r="C241" s="193">
        <f>60*'Données projet'!E219+13.8*('Données projet'!F219+'Données projet'!G219)+10*'Données projet'!H219</f>
        <v>10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35</v>
      </c>
      <c r="B242" s="181">
        <f>'Données projet'!D220</f>
        <v>13</v>
      </c>
      <c r="C242" s="193">
        <f>60*'Données projet'!E220+13.8*('Données projet'!F220+'Données projet'!G220)+10*'Données projet'!H220</f>
        <v>10</v>
      </c>
      <c r="D242" s="179">
        <f t="shared" si="13"/>
        <v>130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40</v>
      </c>
      <c r="B243" s="181">
        <f>'Données projet'!D221</f>
        <v>14</v>
      </c>
      <c r="C243" s="193">
        <f>60*'Données projet'!E221+13.8*('Données projet'!F221+'Données projet'!G221)+10*'Données projet'!H221</f>
        <v>20</v>
      </c>
      <c r="D243" s="179">
        <f t="shared" si="13"/>
        <v>280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45</v>
      </c>
      <c r="B244" s="181">
        <f>'Données projet'!D222</f>
        <v>14</v>
      </c>
      <c r="C244" s="193">
        <f>60*'Données projet'!E222+13.8*('Données projet'!F222+'Données projet'!G222)+10*'Données projet'!H222</f>
        <v>20</v>
      </c>
      <c r="D244" s="179">
        <f t="shared" si="13"/>
        <v>280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50</v>
      </c>
      <c r="B245" s="181">
        <f>'Données projet'!D223</f>
        <v>14</v>
      </c>
      <c r="C245" s="193">
        <f>60*'Données projet'!E223+13.8*('Données projet'!F223+'Données projet'!G223)+10*'Données projet'!H223</f>
        <v>20</v>
      </c>
      <c r="D245" s="179">
        <f t="shared" si="13"/>
        <v>280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55</v>
      </c>
      <c r="B246" s="181">
        <f>'Données projet'!D224</f>
        <v>14</v>
      </c>
      <c r="C246" s="193">
        <f>60*'Données projet'!E224+13.8*('Données projet'!F224+'Données projet'!G224)+10*'Données projet'!H224</f>
        <v>25</v>
      </c>
      <c r="D246" s="179">
        <f t="shared" si="13"/>
        <v>350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60</v>
      </c>
      <c r="B247" s="181">
        <f>'Données projet'!D225</f>
        <v>14</v>
      </c>
      <c r="C247" s="193">
        <f>60*'Données projet'!E225+13.8*('Données projet'!F225+'Données projet'!G225)+10*'Données projet'!H225</f>
        <v>25</v>
      </c>
      <c r="D247" s="179">
        <f t="shared" si="13"/>
        <v>350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65</v>
      </c>
      <c r="B248" s="181">
        <f>'Données projet'!D226</f>
        <v>14</v>
      </c>
      <c r="C248" s="193">
        <f>60*'Données projet'!E226+13.8*('Données projet'!F226+'Données projet'!G226)+10*'Données projet'!H226</f>
        <v>30</v>
      </c>
      <c r="D248" s="179">
        <f t="shared" si="13"/>
        <v>420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70</v>
      </c>
      <c r="B249" s="181">
        <f>'Données projet'!D227</f>
        <v>14</v>
      </c>
      <c r="C249" s="193">
        <f>60*'Données projet'!E227+13.8*('Données projet'!F227+'Données projet'!G227)+10*'Données projet'!H227</f>
        <v>30</v>
      </c>
      <c r="D249" s="179">
        <f t="shared" si="13"/>
        <v>420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75</v>
      </c>
      <c r="B250" s="181">
        <f>'Données projet'!D228</f>
        <v>14</v>
      </c>
      <c r="C250" s="193">
        <f>60*'Données projet'!E228+13.8*('Données projet'!F228+'Données projet'!G228)+10*'Données projet'!H228</f>
        <v>35</v>
      </c>
      <c r="D250" s="179">
        <f t="shared" si="13"/>
        <v>490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80</v>
      </c>
      <c r="B251" s="181">
        <f>'Données projet'!D229</f>
        <v>14</v>
      </c>
      <c r="C251" s="193">
        <f>60*'Données projet'!E229+13.8*('Données projet'!F229+'Données projet'!G229)+10*'Données projet'!H229</f>
        <v>35</v>
      </c>
      <c r="D251" s="179">
        <f t="shared" si="13"/>
        <v>490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85</v>
      </c>
      <c r="B252" s="181">
        <f>'Données projet'!D230</f>
        <v>14</v>
      </c>
      <c r="C252" s="193">
        <f>60*'Données projet'!E230+13.8*('Données projet'!F230+'Données projet'!G230)+10*'Données projet'!H230</f>
        <v>40</v>
      </c>
      <c r="D252" s="179">
        <f t="shared" si="13"/>
        <v>560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90</v>
      </c>
      <c r="B253" s="181">
        <f>'Données projet'!D231</f>
        <v>14</v>
      </c>
      <c r="C253" s="193">
        <f>60*'Données projet'!E231+13.8*('Données projet'!F231+'Données projet'!G231)+10*'Données projet'!H231</f>
        <v>40</v>
      </c>
      <c r="D253" s="179">
        <f t="shared" si="13"/>
        <v>560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100</v>
      </c>
      <c r="B254" s="181">
        <f>'Données projet'!D232</f>
        <v>14</v>
      </c>
      <c r="C254" s="193">
        <f>60*'Données projet'!E232+13.8*('Données projet'!F232+'Données projet'!G232)+10*'Données projet'!H232</f>
        <v>45</v>
      </c>
      <c r="D254" s="179">
        <f t="shared" si="13"/>
        <v>630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110</v>
      </c>
      <c r="B255" s="181">
        <f>'Données projet'!D233</f>
        <v>13</v>
      </c>
      <c r="C255" s="193">
        <f>60*'Données projet'!E233+13.8*('Données projet'!F233+'Données projet'!G233)+10*'Données projet'!H233</f>
        <v>45</v>
      </c>
      <c r="D255" s="179">
        <f t="shared" si="13"/>
        <v>585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120</v>
      </c>
      <c r="B256" s="181">
        <f>'Données projet'!D234</f>
        <v>221</v>
      </c>
      <c r="C256" s="193">
        <f>60*'Données projet'!E234+13.8*('Données projet'!F234+'Données projet'!G234)+10*'Données projet'!H234</f>
        <v>50</v>
      </c>
      <c r="D256" s="179">
        <f t="shared" si="13"/>
        <v>11050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>Chêne pubescent</v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>
        <f>(3258.92)*1.12</f>
        <v>3649.9904000000006</v>
      </c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20</v>
      </c>
      <c r="B271" s="181">
        <f>'Données projet'!D244</f>
        <v>0</v>
      </c>
      <c r="C271" s="193">
        <f>225*'Données projet'!E244+13.8*('Données projet'!F244+'Données projet'!G244)+10*'Données projet'!H244</f>
        <v>10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25</v>
      </c>
      <c r="B272" s="181">
        <f>'Données projet'!D245</f>
        <v>0</v>
      </c>
      <c r="C272" s="193">
        <f>225*'Données projet'!E245+13.8*('Données projet'!F245+'Données projet'!G245)+10*'Données projet'!H245</f>
        <v>10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30</v>
      </c>
      <c r="B273" s="181">
        <f>'Données projet'!D246</f>
        <v>0</v>
      </c>
      <c r="C273" s="193">
        <f>225*'Données projet'!E246+13.8*('Données projet'!F246+'Données projet'!G246)+10*'Données projet'!H246</f>
        <v>10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35</v>
      </c>
      <c r="B274" s="181">
        <f>'Données projet'!D247</f>
        <v>21</v>
      </c>
      <c r="C274" s="193">
        <f>225*'Données projet'!E247+13.8*('Données projet'!F247+'Données projet'!G247)+10*'Données projet'!H247</f>
        <v>10</v>
      </c>
      <c r="D274" s="179">
        <f t="shared" si="14"/>
        <v>210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40</v>
      </c>
      <c r="B275" s="181">
        <f>'Données projet'!D248</f>
        <v>21</v>
      </c>
      <c r="C275" s="193">
        <f>225*'Données projet'!E248+13.8*('Données projet'!F248+'Données projet'!G248)+10*'Données projet'!H248</f>
        <v>53</v>
      </c>
      <c r="D275" s="179">
        <f t="shared" si="14"/>
        <v>1113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45</v>
      </c>
      <c r="B276" s="181">
        <f>'Données projet'!D249</f>
        <v>21</v>
      </c>
      <c r="C276" s="193">
        <f>225*'Données projet'!E249+13.8*('Données projet'!F249+'Données projet'!G249)+10*'Données projet'!H249</f>
        <v>53</v>
      </c>
      <c r="D276" s="179">
        <f t="shared" si="14"/>
        <v>1113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50</v>
      </c>
      <c r="B277" s="181">
        <f>'Données projet'!D250</f>
        <v>21</v>
      </c>
      <c r="C277" s="193">
        <f>225*'Données projet'!E250+13.8*('Données projet'!F250+'Données projet'!G250)+10*'Données projet'!H250</f>
        <v>74.5</v>
      </c>
      <c r="D277" s="179">
        <f t="shared" si="14"/>
        <v>1564.5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55</v>
      </c>
      <c r="B278" s="181">
        <f>'Données projet'!D251</f>
        <v>21</v>
      </c>
      <c r="C278" s="193">
        <f>225*'Données projet'!E251+13.8*('Données projet'!F251+'Données projet'!G251)+10*'Données projet'!H251</f>
        <v>74.5</v>
      </c>
      <c r="D278" s="179">
        <f t="shared" si="14"/>
        <v>1564.5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60</v>
      </c>
      <c r="B279" s="181">
        <f>'Données projet'!D252</f>
        <v>21</v>
      </c>
      <c r="C279" s="193">
        <f>225*'Données projet'!E252+13.8*('Données projet'!F252+'Données projet'!G252)+10*'Données projet'!H252</f>
        <v>96</v>
      </c>
      <c r="D279" s="179">
        <f t="shared" si="14"/>
        <v>2016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65</v>
      </c>
      <c r="B280" s="181">
        <f>'Données projet'!D253</f>
        <v>21</v>
      </c>
      <c r="C280" s="193">
        <f>225*'Données projet'!E253+13.8*('Données projet'!F253+'Données projet'!G253)+10*'Données projet'!H253</f>
        <v>96</v>
      </c>
      <c r="D280" s="179">
        <f t="shared" si="14"/>
        <v>2016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70</v>
      </c>
      <c r="B281" s="181">
        <f>'Données projet'!D254</f>
        <v>21</v>
      </c>
      <c r="C281" s="193">
        <f>225*'Données projet'!E254+13.8*('Données projet'!F254+'Données projet'!G254)+10*'Données projet'!H254</f>
        <v>117.5</v>
      </c>
      <c r="D281" s="179">
        <f t="shared" si="14"/>
        <v>2467.5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75</v>
      </c>
      <c r="B282" s="181">
        <f>'Données projet'!D255</f>
        <v>21</v>
      </c>
      <c r="C282" s="193">
        <f>225*'Données projet'!E255+13.8*('Données projet'!F255+'Données projet'!G255)+10*'Données projet'!H255</f>
        <v>117.5</v>
      </c>
      <c r="D282" s="179">
        <f t="shared" si="14"/>
        <v>2467.5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80</v>
      </c>
      <c r="B283" s="181">
        <f>'Données projet'!D256</f>
        <v>21</v>
      </c>
      <c r="C283" s="193">
        <f>225*'Données projet'!E256+13.8*('Données projet'!F256+'Données projet'!G256)+10*'Données projet'!H256</f>
        <v>139</v>
      </c>
      <c r="D283" s="179">
        <f t="shared" si="14"/>
        <v>2919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85</v>
      </c>
      <c r="B284" s="181">
        <f>'Données projet'!D257</f>
        <v>21</v>
      </c>
      <c r="C284" s="193">
        <f>225*'Données projet'!E257+13.8*('Données projet'!F257+'Données projet'!G257)+10*'Données projet'!H257</f>
        <v>139</v>
      </c>
      <c r="D284" s="179">
        <f t="shared" si="14"/>
        <v>2919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90</v>
      </c>
      <c r="B285" s="181">
        <f>'Données projet'!D258</f>
        <v>21</v>
      </c>
      <c r="C285" s="193">
        <f>225*'Données projet'!E258+13.8*('Données projet'!F258+'Données projet'!G258)+10*'Données projet'!H258</f>
        <v>160.5</v>
      </c>
      <c r="D285" s="179">
        <f t="shared" si="14"/>
        <v>3370.5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100</v>
      </c>
      <c r="B286" s="181">
        <f>'Données projet'!D259</f>
        <v>21</v>
      </c>
      <c r="C286" s="193">
        <f>225*'Données projet'!E259+13.8*('Données projet'!F259+'Données projet'!G259)+10*'Données projet'!H259</f>
        <v>160.5</v>
      </c>
      <c r="D286" s="179">
        <f t="shared" si="14"/>
        <v>3370.5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110</v>
      </c>
      <c r="B287" s="181">
        <f>'Données projet'!D260</f>
        <v>19</v>
      </c>
      <c r="C287" s="193">
        <f>225*'Données projet'!E260+13.8*('Données projet'!F260+'Données projet'!G260)+10*'Données projet'!H260</f>
        <v>182</v>
      </c>
      <c r="D287" s="179">
        <f t="shared" si="14"/>
        <v>3458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120</v>
      </c>
      <c r="B288" s="181">
        <f>'Données projet'!D261</f>
        <v>285</v>
      </c>
      <c r="C288" s="193">
        <f>225*'Données projet'!E261+13.8*('Données projet'!F261+'Données projet'!G261)+10*'Données projet'!H261</f>
        <v>182</v>
      </c>
      <c r="D288" s="179">
        <f t="shared" si="14"/>
        <v>51870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2023-07-06T13:56:37Z</dcterms:modified>
</cp:coreProperties>
</file>