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Poitou-ValdeLoire-Bretagne\Projet Bazouges_Baugé_012022\"/>
    </mc:Choice>
  </mc:AlternateContent>
  <bookViews>
    <workbookView xWindow="0" yWindow="0" windowWidth="8136" windowHeight="46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6" l="1"/>
  <c r="E17" i="6"/>
  <c r="I20" i="6" l="1"/>
  <c r="I21" i="6"/>
  <c r="I22" i="6"/>
  <c r="I23" i="6"/>
  <c r="I24" i="6"/>
  <c r="E141" i="6"/>
  <c r="E110" i="6"/>
  <c r="E79" i="6"/>
  <c r="B97" i="1" l="1"/>
  <c r="B96" i="1"/>
  <c r="B95" i="1"/>
  <c r="B94" i="1"/>
  <c r="B93" i="1"/>
  <c r="B92" i="1"/>
  <c r="B91" i="1"/>
  <c r="B90" i="1"/>
  <c r="B89" i="1"/>
  <c r="B88" i="1"/>
  <c r="B48" i="1" l="1"/>
  <c r="B47" i="1"/>
  <c r="B46" i="1"/>
  <c r="B45" i="1"/>
  <c r="B44" i="1"/>
  <c r="B43" i="1"/>
  <c r="B42" i="1"/>
  <c r="B41" i="1"/>
  <c r="B40" i="1"/>
  <c r="B39" i="1"/>
  <c r="B38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DI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31" i="2" a="1"/>
  <c r="BC31" i="2" s="1"/>
  <c r="BC185" i="2" a="1"/>
  <c r="BC185" i="2" s="1"/>
  <c r="BC7" i="2" a="1"/>
  <c r="BC7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C151" i="2" l="1" a="1"/>
  <c r="BC151" i="2" s="1"/>
  <c r="BC143" i="2" a="1"/>
  <c r="BC143" i="2" s="1"/>
  <c r="BC164" i="2" a="1"/>
  <c r="BC164" i="2" s="1"/>
  <c r="BC55" i="2" a="1"/>
  <c r="BC55" i="2" s="1"/>
  <c r="BX107" i="2" a="1"/>
  <c r="BX107" i="2" s="1"/>
  <c r="BC58" i="2" a="1"/>
  <c r="BC58" i="2" s="1"/>
  <c r="BC84" i="2" a="1"/>
  <c r="BC84" i="2" s="1"/>
  <c r="BC32" i="2" a="1"/>
  <c r="BC32" i="2" s="1"/>
  <c r="BC192" i="2" a="1"/>
  <c r="BC192" i="2" s="1"/>
  <c r="BC117" i="2" a="1"/>
  <c r="BC117" i="2" s="1"/>
  <c r="CS137" i="2" a="1"/>
  <c r="CS137" i="2" s="1"/>
  <c r="CS129" i="2" a="1"/>
  <c r="CS129" i="2" s="1"/>
  <c r="CS114" i="2" a="1"/>
  <c r="CS114" i="2" s="1"/>
  <c r="CS52" i="2" a="1"/>
  <c r="CS52" i="2" s="1"/>
  <c r="CS56" i="2" a="1"/>
  <c r="CS56" i="2" s="1"/>
  <c r="CS38" i="2" a="1"/>
  <c r="CS38" i="2" s="1"/>
  <c r="CS72" i="2" a="1"/>
  <c r="CS72" i="2" s="1"/>
  <c r="CS66" i="2" a="1"/>
  <c r="CS66" i="2" s="1"/>
  <c r="CS116" i="2" a="1"/>
  <c r="CS116" i="2" s="1"/>
  <c r="CS185" i="2" a="1"/>
  <c r="CS185" i="2" s="1"/>
  <c r="CS161" i="2" a="1"/>
  <c r="CS161" i="2" s="1"/>
  <c r="CS134" i="2" a="1"/>
  <c r="CS134" i="2" s="1"/>
  <c r="CS77" i="2" a="1"/>
  <c r="CS77" i="2" s="1"/>
  <c r="CS105" i="2" a="1"/>
  <c r="CS105" i="2" s="1"/>
  <c r="CS24" i="2" a="1"/>
  <c r="CS24" i="2" s="1"/>
  <c r="CS120" i="2" a="1"/>
  <c r="CS120" i="2" s="1"/>
  <c r="BC181" i="2" a="1"/>
  <c r="BC181" i="2" s="1"/>
  <c r="BC126" i="2" a="1"/>
  <c r="BC126" i="2" s="1"/>
  <c r="BC34" i="2" a="1"/>
  <c r="BC34" i="2" s="1"/>
  <c r="BC65" i="2" a="1"/>
  <c r="BC65" i="2" s="1"/>
  <c r="BC114" i="2" a="1"/>
  <c r="BC114" i="2" s="1"/>
  <c r="BC82" i="2" a="1"/>
  <c r="BC82" i="2" s="1"/>
  <c r="BC68" i="2" a="1"/>
  <c r="BC68" i="2" s="1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<sst xmlns="http://schemas.openxmlformats.org/spreadsheetml/2006/main" count="1180" uniqueCount="330">
  <si>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</si>
  <si>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</si>
  <si>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</si>
  <si>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</si>
  <si>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</si>
  <si>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</si>
  <si>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</si>
  <si>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</si>
  <si>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</si>
  <si>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</si>
  <si>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</si>
  <si>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</si>
  <si>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</si>
  <si>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</si>
  <si>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</si>
  <si>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</si>
  <si>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</si>
  <si>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</si>
  <si>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</si>
  <si>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</si>
  <si>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</si>
  <si>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</si>
  <si>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</si>
  <si>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</si>
  <si>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</si>
  <si>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</si>
  <si>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</si>
  <si>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</si>
  <si>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</si>
  <si>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</si>
  <si>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</si>
  <si>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</si>
  <si>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</si>
  <si>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</si>
  <si>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</si>
  <si>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</si>
  <si>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</si>
  <si>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</si>
  <si>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</si>
  <si>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</si>
  <si>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</si>
  <si>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</si>
  <si>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</si>
  <si>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</si>
  <si>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</si>
  <si>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</si>
  <si>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</si>
  <si>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</si>
  <si>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</si>
  <si>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</si>
  <si>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</si>
  <si>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</si>
  <si>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</si>
  <si>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</si>
  <si>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</si>
  <si>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</si>
  <si>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</si>
  <si>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</si>
  <si>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</si>
  <si>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</si>
  <si>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</si>
  <si>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</si>
  <si>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</si>
  <si>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</si>
  <si>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</si>
  <si>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</si>
  <si>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</si>
  <si>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</si>
  <si>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</si>
  <si>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</si>
  <si>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</si>
  <si>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</si>
  <si>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</si>
  <si>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</si>
  <si>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</si>
  <si>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</si>
  <si>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</si>
  <si>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</si>
  <si>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</si>
  <si>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</si>
  <si>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</si>
  <si>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</si>
  <si>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</si>
  <si>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</si>
  <si>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</si>
  <si>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</si>
  <si>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</si>
  <si>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</si>
  <si>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</si>
  <si>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</si>
  <si>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</si>
  <si>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</si>
  <si>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</si>
  <si>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</si>
  <si>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</si>
  <si>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</si>
  <si>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</si>
  <si>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</si>
  <si>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</si>
  <si>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</si>
  <si>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</si>
  <si>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</si>
  <si>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</si>
  <si>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</si>
  <si>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</si>
  <si>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</si>
  <si>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</si>
  <si>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</si>
  <si>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</si>
  <si>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</si>
  <si>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</si>
  <si>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</si>
  <si>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</si>
  <si>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</si>
  <si>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</si>
  <si>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</si>
  <si>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</si>
  <si>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</si>
  <si>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</si>
  <si>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</si>
  <si>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</si>
  <si>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</si>
  <si>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</si>
  <si>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</si>
  <si>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</si>
  <si>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</si>
  <si>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</si>
  <si>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</si>
  <si>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</si>
  <si>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</si>
  <si>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</si>
  <si>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</si>
  <si>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</si>
  <si>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</si>
  <si>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</si>
  <si>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</si>
  <si>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</si>
  <si>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</si>
  <si>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</si>
  <si>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</si>
  <si>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</si>
  <si>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</si>
  <si>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</si>
  <si>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</si>
  <si>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</si>
  <si>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</si>
  <si>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</si>
  <si>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</si>
  <si>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</si>
  <si>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</si>
  <si>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</si>
  <si>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</si>
  <si>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</si>
  <si>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</si>
  <si>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</si>
  <si>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</si>
  <si>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</si>
  <si>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</si>
  <si>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</si>
  <si>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</si>
  <si>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</si>
  <si>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</si>
  <si>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</si>
  <si>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</si>
  <si>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</si>
  <si>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</si>
  <si>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</si>
  <si>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</si>
  <si>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</si>
  <si>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</si>
  <si>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</si>
  <si>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</si>
  <si>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</si>
  <si>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</si>
  <si>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</si>
  <si>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</si>
  <si>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</si>
  <si>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</si>
  <si>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</si>
  <si>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</si>
  <si>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</si>
  <si>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</si>
  <si>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</si>
  <si>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</si>
  <si>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</si>
  <si>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</si>
  <si>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</si>
  <si>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</si>
  <si>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</si>
  <si>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</si>
  <si>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</si>
  <si>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</si>
  <si>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</si>
  <si>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</si>
  <si>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</si>
  <si>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</si>
  <si>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</si>
  <si>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</si>
  <si>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</si>
  <si>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</si>
  <si>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</si>
  <si>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</si>
  <si>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</si>
  <si>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</si>
  <si>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</si>
  <si>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</si>
  <si>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</si>
  <si>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</si>
  <si>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</si>
  <si>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</si>
  <si>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</si>
  <si>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</si>
  <si>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</si>
  <si>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</si>
  <si>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</si>
  <si>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</si>
  <si>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</si>
  <si>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</si>
  <si>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</si>
  <si>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</si>
  <si>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</si>
  <si>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</si>
  <si>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</si>
  <si>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</si>
  <si>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</si>
  <si>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</si>
  <si>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</si>
  <si>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</si>
  <si>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</si>
  <si>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</si>
  <si>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</si>
  <si>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</si>
  <si>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</si>
  <si>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</si>
  <si>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</si>
  <si>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</si>
  <si>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</si>
  <si>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</si>
  <si>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</si>
  <si>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</si>
  <si>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</si>
  <si>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</si>
  <si>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</si>
  <si>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</si>
  <si>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</si>
  <si>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</si>
  <si>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</si>
  <si>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</si>
  <si>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</si>
  <si>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</si>
  <si>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</si>
  <si>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</si>
  <si>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</si>
  <si>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</si>
  <si>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</si>
  <si>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</si>
  <si>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</si>
  <si>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</si>
  <si>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</si>
  <si>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</si>
  <si>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</si>
  <si>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</si>
  <si>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</si>
  <si>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</si>
  <si>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</si>
  <si>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</si>
  <si>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</si>
  <si>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</si>
  <si>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</si>
  <si>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</si>
  <si>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</si>
  <si>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</si>
  <si>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</si>
  <si>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</si>
  <si>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</si>
  <si>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</si>
  <si>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</si>
  <si>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</si>
  <si>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</si>
  <si>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</si>
  <si>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</si>
  <si>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</si>
  <si>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</si>
  <si>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</si>
  <si>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</si>
  <si>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</si>
  <si>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</si>
  <si>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</si>
  <si>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</si>
  <si>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</si>
  <si>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</si>
  <si>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</si>
  <si>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</si>
  <si>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</si>
  <si>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</si>
  <si>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</si>
  <si>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</si>
  <si>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</si>
  <si>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</si>
  <si>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</si>
  <si>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</si>
  <si>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</si>
  <si>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</si>
  <si>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</si>
  <si>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</si>
  <si>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</si>
  <si>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</si>
  <si>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</si>
  <si>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</si>
  <si>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</si>
  <si>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</si>
  <si>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</si>
  <si>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</si>
  <si>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</si>
  <si>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</si>
  <si>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</si>
  <si>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</si>
  <si>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</si>
  <si>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</si>
  <si>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</si>
  <si>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</si>
  <si>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</si>
  <si>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</si>
  <si>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</si>
  <si>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PL sur 10.33 HA</t>
  </si>
  <si>
    <t>PM sur 2.6270 HA</t>
  </si>
  <si>
    <t>P sur 1.05 HA</t>
  </si>
  <si>
    <t>Peuplier Diva</t>
  </si>
  <si>
    <t>CS sur 2,26 ha</t>
  </si>
  <si>
    <t>CA sur 0.7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</si>
</sst>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6329088"/>
        <c:axId val="2056329632"/>
      </c:scatterChart>
      <c:valAx>
        <c:axId val="20563290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56329632"/>
        <c:crosses val="autoZero"/>
        <c:crossBetween val="midCat"/>
      </c:valAx>
      <c:valAx>
        <c:axId val="205632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56329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4597456"/>
        <c:axId val="2134596912"/>
      </c:scatterChart>
      <c:valAx>
        <c:axId val="2134597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596912"/>
        <c:crosses val="autoZero"/>
        <c:crossBetween val="midCat"/>
      </c:valAx>
      <c:valAx>
        <c:axId val="213459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597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138.47942045752964</c:v>
                </c:pt>
                <c:pt idx="22">
                  <c:v>147.86008251943289</c:v>
                </c:pt>
                <c:pt idx="23">
                  <c:v>157.226536630081</c:v>
                </c:pt>
                <c:pt idx="24">
                  <c:v>166.57974956981323</c:v>
                </c:pt>
                <c:pt idx="25">
                  <c:v>175.92057051227536</c:v>
                </c:pt>
                <c:pt idx="26">
                  <c:v>149.69373543126193</c:v>
                </c:pt>
                <c:pt idx="27">
                  <c:v>159.05752681622565</c:v>
                </c:pt>
                <c:pt idx="28">
                  <c:v>168.408251731631</c:v>
                </c:pt>
                <c:pt idx="29">
                  <c:v>177.74673882318038</c:v>
                </c:pt>
                <c:pt idx="30">
                  <c:v>187.07372242622966</c:v>
                </c:pt>
                <c:pt idx="31">
                  <c:v>146.43353271796298</c:v>
                </c:pt>
                <c:pt idx="32">
                  <c:v>156.61609434461192</c:v>
                </c:pt>
                <c:pt idx="33">
                  <c:v>166.78293977832848</c:v>
                </c:pt>
                <c:pt idx="34">
                  <c:v>176.93516310576442</c:v>
                </c:pt>
                <c:pt idx="35">
                  <c:v>187.07372242622966</c:v>
                </c:pt>
                <c:pt idx="36">
                  <c:v>197.19946337106239</c:v>
                </c:pt>
                <c:pt idx="37">
                  <c:v>207.31313753029772</c:v>
                </c:pt>
                <c:pt idx="38">
                  <c:v>167.6536888624527</c:v>
                </c:pt>
                <c:pt idx="39">
                  <c:v>178.67414750598275</c:v>
                </c:pt>
                <c:pt idx="40">
                  <c:v>189.67867707512858</c:v>
                </c:pt>
                <c:pt idx="41">
                  <c:v>200.66833272928136</c:v>
                </c:pt>
                <c:pt idx="42">
                  <c:v>211.64404448548677</c:v>
                </c:pt>
                <c:pt idx="43">
                  <c:v>222.60663792261985</c:v>
                </c:pt>
                <c:pt idx="44">
                  <c:v>233.5568505873855</c:v>
                </c:pt>
                <c:pt idx="45">
                  <c:v>184.9022803714488</c:v>
                </c:pt>
                <c:pt idx="46">
                  <c:v>196.91032732181304</c:v>
                </c:pt>
                <c:pt idx="47">
                  <c:v>208.90137702028542</c:v>
                </c:pt>
                <c:pt idx="48">
                  <c:v>220.87654319528517</c:v>
                </c:pt>
                <c:pt idx="49">
                  <c:v>232.83680883849482</c:v>
                </c:pt>
                <c:pt idx="50">
                  <c:v>244.78304762467158</c:v>
                </c:pt>
                <c:pt idx="51">
                  <c:v>256.71604092575205</c:v>
                </c:pt>
                <c:pt idx="52">
                  <c:v>199.6727821613074</c:v>
                </c:pt>
                <c:pt idx="53">
                  <c:v>213.26359685720604</c:v>
                </c:pt>
                <c:pt idx="54">
                  <c:v>226.83446508061607</c:v>
                </c:pt>
                <c:pt idx="55">
                  <c:v>240.38674870398219</c:v>
                </c:pt>
                <c:pt idx="56">
                  <c:v>253.92164339965282</c:v>
                </c:pt>
                <c:pt idx="57">
                  <c:v>267.44020689106782</c:v>
                </c:pt>
                <c:pt idx="58">
                  <c:v>280.94338118634391</c:v>
                </c:pt>
                <c:pt idx="59">
                  <c:v>294.43201030959904</c:v>
                </c:pt>
                <c:pt idx="60">
                  <c:v>307.90685461043876</c:v>
                </c:pt>
                <c:pt idx="61">
                  <c:v>8.583811758418665E-13</c:v>
                </c:pt>
                <c:pt idx="62">
                  <c:v>8.583811758418665E-13</c:v>
                </c:pt>
                <c:pt idx="63">
                  <c:v>8.583811758418665E-13</c:v>
                </c:pt>
                <c:pt idx="64">
                  <c:v>8.583811758418665E-13</c:v>
                </c:pt>
                <c:pt idx="65">
                  <c:v>8.583811758418665E-13</c:v>
                </c:pt>
                <c:pt idx="66">
                  <c:v>8.583811758418665E-13</c:v>
                </c:pt>
                <c:pt idx="67">
                  <c:v>8.583811758418665E-13</c:v>
                </c:pt>
                <c:pt idx="68">
                  <c:v>8.583811758418665E-13</c:v>
                </c:pt>
                <c:pt idx="69">
                  <c:v>8.583811758418665E-13</c:v>
                </c:pt>
                <c:pt idx="70">
                  <c:v>8.583811758418665E-13</c:v>
                </c:pt>
                <c:pt idx="71">
                  <c:v>8.583811758418665E-13</c:v>
                </c:pt>
                <c:pt idx="72">
                  <c:v>8.583811758418665E-13</c:v>
                </c:pt>
                <c:pt idx="73">
                  <c:v>8.583811758418665E-13</c:v>
                </c:pt>
                <c:pt idx="74">
                  <c:v>8.583811758418665E-13</c:v>
                </c:pt>
                <c:pt idx="75">
                  <c:v>8.583811758418665E-13</c:v>
                </c:pt>
                <c:pt idx="76">
                  <c:v>8.583811758418665E-13</c:v>
                </c:pt>
                <c:pt idx="77">
                  <c:v>8.583811758418665E-13</c:v>
                </c:pt>
                <c:pt idx="78">
                  <c:v>8.583811758418665E-13</c:v>
                </c:pt>
                <c:pt idx="79">
                  <c:v>8.583811758418665E-13</c:v>
                </c:pt>
                <c:pt idx="80">
                  <c:v>8.583811758418665E-13</c:v>
                </c:pt>
                <c:pt idx="81">
                  <c:v>8.583811758418665E-13</c:v>
                </c:pt>
                <c:pt idx="82">
                  <c:v>8.583811758418665E-13</c:v>
                </c:pt>
                <c:pt idx="83">
                  <c:v>8.583811758418665E-13</c:v>
                </c:pt>
                <c:pt idx="84">
                  <c:v>8.583811758418665E-13</c:v>
                </c:pt>
                <c:pt idx="85">
                  <c:v>8.583811758418665E-13</c:v>
                </c:pt>
                <c:pt idx="86">
                  <c:v>8.583811758418665E-13</c:v>
                </c:pt>
                <c:pt idx="87">
                  <c:v>8.583811758418665E-13</c:v>
                </c:pt>
                <c:pt idx="88">
                  <c:v>8.583811758418665E-13</c:v>
                </c:pt>
                <c:pt idx="89">
                  <c:v>8.583811758418665E-13</c:v>
                </c:pt>
                <c:pt idx="90">
                  <c:v>8.583811758418665E-13</c:v>
                </c:pt>
                <c:pt idx="91">
                  <c:v>8.583811758418665E-13</c:v>
                </c:pt>
                <c:pt idx="92">
                  <c:v>8.583811758418665E-13</c:v>
                </c:pt>
                <c:pt idx="93">
                  <c:v>8.583811758418665E-13</c:v>
                </c:pt>
                <c:pt idx="94">
                  <c:v>8.583811758418665E-13</c:v>
                </c:pt>
                <c:pt idx="95">
                  <c:v>8.583811758418665E-13</c:v>
                </c:pt>
                <c:pt idx="96">
                  <c:v>8.583811758418665E-13</c:v>
                </c:pt>
                <c:pt idx="97">
                  <c:v>8.583811758418665E-13</c:v>
                </c:pt>
                <c:pt idx="98">
                  <c:v>8.583811758418665E-13</c:v>
                </c:pt>
                <c:pt idx="99">
                  <c:v>8.583811758418665E-13</c:v>
                </c:pt>
                <c:pt idx="100">
                  <c:v>8.583811758418665E-13</c:v>
                </c:pt>
                <c:pt idx="101">
                  <c:v>8.583811758418665E-13</c:v>
                </c:pt>
                <c:pt idx="102">
                  <c:v>8.583811758418665E-13</c:v>
                </c:pt>
                <c:pt idx="103">
                  <c:v>8.583811758418665E-13</c:v>
                </c:pt>
                <c:pt idx="104">
                  <c:v>8.583811758418665E-13</c:v>
                </c:pt>
                <c:pt idx="105">
                  <c:v>8.583811758418665E-13</c:v>
                </c:pt>
                <c:pt idx="106">
                  <c:v>8.583811758418665E-13</c:v>
                </c:pt>
                <c:pt idx="107">
                  <c:v>8.583811758418665E-13</c:v>
                </c:pt>
                <c:pt idx="108">
                  <c:v>8.583811758418665E-13</c:v>
                </c:pt>
                <c:pt idx="109">
                  <c:v>8.583811758418665E-13</c:v>
                </c:pt>
                <c:pt idx="110">
                  <c:v>8.583811758418665E-13</c:v>
                </c:pt>
                <c:pt idx="111">
                  <c:v>8.583811758418665E-13</c:v>
                </c:pt>
                <c:pt idx="112">
                  <c:v>8.583811758418665E-13</c:v>
                </c:pt>
                <c:pt idx="113">
                  <c:v>8.583811758418665E-13</c:v>
                </c:pt>
                <c:pt idx="114">
                  <c:v>8.583811758418665E-13</c:v>
                </c:pt>
                <c:pt idx="115">
                  <c:v>8.583811758418665E-13</c:v>
                </c:pt>
                <c:pt idx="116">
                  <c:v>8.583811758418665E-13</c:v>
                </c:pt>
                <c:pt idx="117">
                  <c:v>8.583811758418665E-13</c:v>
                </c:pt>
                <c:pt idx="118">
                  <c:v>8.583811758418665E-13</c:v>
                </c:pt>
                <c:pt idx="119">
                  <c:v>8.583811758418665E-13</c:v>
                </c:pt>
                <c:pt idx="120">
                  <c:v>8.583811758418665E-13</c:v>
                </c:pt>
                <c:pt idx="121">
                  <c:v>8.583811758418665E-13</c:v>
                </c:pt>
                <c:pt idx="122">
                  <c:v>8.583811758418665E-13</c:v>
                </c:pt>
                <c:pt idx="123">
                  <c:v>8.583811758418665E-13</c:v>
                </c:pt>
                <c:pt idx="124">
                  <c:v>8.583811758418665E-13</c:v>
                </c:pt>
                <c:pt idx="125">
                  <c:v>8.583811758418665E-13</c:v>
                </c:pt>
                <c:pt idx="126">
                  <c:v>8.583811758418665E-13</c:v>
                </c:pt>
                <c:pt idx="127">
                  <c:v>8.583811758418665E-13</c:v>
                </c:pt>
                <c:pt idx="128">
                  <c:v>8.583811758418665E-13</c:v>
                </c:pt>
                <c:pt idx="129">
                  <c:v>8.583811758418665E-13</c:v>
                </c:pt>
                <c:pt idx="130">
                  <c:v>8.583811758418665E-13</c:v>
                </c:pt>
                <c:pt idx="131">
                  <c:v>8.583811758418665E-13</c:v>
                </c:pt>
                <c:pt idx="132">
                  <c:v>8.583811758418665E-13</c:v>
                </c:pt>
                <c:pt idx="133">
                  <c:v>8.583811758418665E-13</c:v>
                </c:pt>
                <c:pt idx="134">
                  <c:v>8.583811758418665E-13</c:v>
                </c:pt>
                <c:pt idx="135">
                  <c:v>8.583811758418665E-13</c:v>
                </c:pt>
                <c:pt idx="136">
                  <c:v>8.583811758418665E-13</c:v>
                </c:pt>
                <c:pt idx="137">
                  <c:v>8.583811758418665E-13</c:v>
                </c:pt>
                <c:pt idx="138">
                  <c:v>8.583811758418665E-13</c:v>
                </c:pt>
                <c:pt idx="139">
                  <c:v>8.583811758418665E-13</c:v>
                </c:pt>
                <c:pt idx="140">
                  <c:v>8.583811758418665E-13</c:v>
                </c:pt>
                <c:pt idx="141">
                  <c:v>8.583811758418665E-13</c:v>
                </c:pt>
                <c:pt idx="142">
                  <c:v>8.583811758418665E-13</c:v>
                </c:pt>
                <c:pt idx="143">
                  <c:v>8.583811758418665E-13</c:v>
                </c:pt>
                <c:pt idx="144">
                  <c:v>8.583811758418665E-13</c:v>
                </c:pt>
                <c:pt idx="145">
                  <c:v>8.583811758418665E-13</c:v>
                </c:pt>
                <c:pt idx="146">
                  <c:v>8.583811758418665E-13</c:v>
                </c:pt>
                <c:pt idx="147">
                  <c:v>8.583811758418665E-13</c:v>
                </c:pt>
                <c:pt idx="148">
                  <c:v>8.583811758418665E-13</c:v>
                </c:pt>
                <c:pt idx="149">
                  <c:v>8.583811758418665E-13</c:v>
                </c:pt>
                <c:pt idx="150">
                  <c:v>8.583811758418665E-13</c:v>
                </c:pt>
                <c:pt idx="151">
                  <c:v>8.583811758418665E-13</c:v>
                </c:pt>
                <c:pt idx="152">
                  <c:v>8.583811758418665E-13</c:v>
                </c:pt>
                <c:pt idx="153">
                  <c:v>8.583811758418665E-13</c:v>
                </c:pt>
                <c:pt idx="154">
                  <c:v>8.583811758418665E-13</c:v>
                </c:pt>
                <c:pt idx="155">
                  <c:v>8.583811758418665E-13</c:v>
                </c:pt>
                <c:pt idx="156">
                  <c:v>8.583811758418665E-13</c:v>
                </c:pt>
                <c:pt idx="157">
                  <c:v>8.583811758418665E-13</c:v>
                </c:pt>
                <c:pt idx="158">
                  <c:v>8.583811758418665E-13</c:v>
                </c:pt>
                <c:pt idx="159">
                  <c:v>8.583811758418665E-13</c:v>
                </c:pt>
                <c:pt idx="160">
                  <c:v>8.583811758418665E-13</c:v>
                </c:pt>
                <c:pt idx="161">
                  <c:v>8.583811758418665E-13</c:v>
                </c:pt>
                <c:pt idx="162">
                  <c:v>8.583811758418665E-13</c:v>
                </c:pt>
                <c:pt idx="163">
                  <c:v>8.583811758418665E-13</c:v>
                </c:pt>
                <c:pt idx="164">
                  <c:v>8.583811758418665E-13</c:v>
                </c:pt>
                <c:pt idx="165">
                  <c:v>8.583811758418665E-13</c:v>
                </c:pt>
                <c:pt idx="166">
                  <c:v>8.583811758418665E-13</c:v>
                </c:pt>
                <c:pt idx="167">
                  <c:v>8.583811758418665E-13</c:v>
                </c:pt>
                <c:pt idx="168">
                  <c:v>8.583811758418665E-13</c:v>
                </c:pt>
                <c:pt idx="169">
                  <c:v>8.583811758418665E-13</c:v>
                </c:pt>
                <c:pt idx="170">
                  <c:v>8.583811758418665E-13</c:v>
                </c:pt>
                <c:pt idx="171">
                  <c:v>8.583811758418665E-13</c:v>
                </c:pt>
                <c:pt idx="172">
                  <c:v>8.583811758418665E-13</c:v>
                </c:pt>
                <c:pt idx="173">
                  <c:v>8.583811758418665E-13</c:v>
                </c:pt>
                <c:pt idx="174">
                  <c:v>8.583811758418665E-13</c:v>
                </c:pt>
                <c:pt idx="175">
                  <c:v>8.583811758418665E-13</c:v>
                </c:pt>
                <c:pt idx="176">
                  <c:v>8.583811758418665E-13</c:v>
                </c:pt>
                <c:pt idx="177">
                  <c:v>8.583811758418665E-13</c:v>
                </c:pt>
                <c:pt idx="178">
                  <c:v>8.583811758418665E-13</c:v>
                </c:pt>
                <c:pt idx="179">
                  <c:v>8.583811758418665E-13</c:v>
                </c:pt>
                <c:pt idx="180">
                  <c:v>8.583811758418665E-13</c:v>
                </c:pt>
                <c:pt idx="181">
                  <c:v>8.583811758418665E-13</c:v>
                </c:pt>
                <c:pt idx="182">
                  <c:v>8.583811758418665E-13</c:v>
                </c:pt>
                <c:pt idx="183">
                  <c:v>8.583811758418665E-13</c:v>
                </c:pt>
                <c:pt idx="184">
                  <c:v>8.583811758418665E-13</c:v>
                </c:pt>
                <c:pt idx="185">
                  <c:v>8.583811758418665E-13</c:v>
                </c:pt>
                <c:pt idx="186">
                  <c:v>8.583811758418665E-13</c:v>
                </c:pt>
                <c:pt idx="187">
                  <c:v>8.583811758418665E-13</c:v>
                </c:pt>
                <c:pt idx="188">
                  <c:v>8.583811758418665E-13</c:v>
                </c:pt>
                <c:pt idx="189">
                  <c:v>8.583811758418665E-13</c:v>
                </c:pt>
                <c:pt idx="190">
                  <c:v>8.583811758418665E-13</c:v>
                </c:pt>
                <c:pt idx="191">
                  <c:v>8.583811758418665E-13</c:v>
                </c:pt>
                <c:pt idx="192">
                  <c:v>8.583811758418665E-13</c:v>
                </c:pt>
                <c:pt idx="193">
                  <c:v>8.583811758418665E-13</c:v>
                </c:pt>
                <c:pt idx="194">
                  <c:v>8.583811758418665E-13</c:v>
                </c:pt>
                <c:pt idx="195">
                  <c:v>8.583811758418665E-13</c:v>
                </c:pt>
                <c:pt idx="196">
                  <c:v>8.583811758418665E-13</c:v>
                </c:pt>
                <c:pt idx="197">
                  <c:v>8.583811758418665E-13</c:v>
                </c:pt>
                <c:pt idx="198">
                  <c:v>8.583811758418665E-13</c:v>
                </c:pt>
                <c:pt idx="199">
                  <c:v>8.583811758418665E-13</c:v>
                </c:pt>
                <c:pt idx="200">
                  <c:v>8.583811758418665E-13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6324736"/>
        <c:axId val="2056332896"/>
      </c:scatterChart>
      <c:valAx>
        <c:axId val="2056324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56332896"/>
        <c:crosses val="autoZero"/>
        <c:crossBetween val="midCat"/>
      </c:valAx>
      <c:valAx>
        <c:axId val="205633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5632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289.99681160231404</c:v>
                </c:pt>
                <c:pt idx="32">
                  <c:v>314.07191886152782</c:v>
                </c:pt>
                <c:pt idx="33">
                  <c:v>338.10611860508033</c:v>
                </c:pt>
                <c:pt idx="34">
                  <c:v>362.10272554390014</c:v>
                </c:pt>
                <c:pt idx="35">
                  <c:v>386.06457932909711</c:v>
                </c:pt>
                <c:pt idx="36">
                  <c:v>342.1932186321871</c:v>
                </c:pt>
                <c:pt idx="37">
                  <c:v>364.6534648608133</c:v>
                </c:pt>
                <c:pt idx="38">
                  <c:v>387.08350012671559</c:v>
                </c:pt>
                <c:pt idx="39">
                  <c:v>409.48531996489623</c:v>
                </c:pt>
                <c:pt idx="40">
                  <c:v>431.86068387305687</c:v>
                </c:pt>
                <c:pt idx="41">
                  <c:v>396.25118655434966</c:v>
                </c:pt>
                <c:pt idx="42">
                  <c:v>421.69323961894696</c:v>
                </c:pt>
                <c:pt idx="43">
                  <c:v>447.10225323882656</c:v>
                </c:pt>
                <c:pt idx="44">
                  <c:v>472.48036714392646</c:v>
                </c:pt>
                <c:pt idx="45">
                  <c:v>497.8294726490094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491.74823970258649</c:v>
                </c:pt>
                <c:pt idx="49">
                  <c:v>513.78528004261909</c:v>
                </c:pt>
                <c:pt idx="50">
                  <c:v>535.80237321728112</c:v>
                </c:pt>
                <c:pt idx="51">
                  <c:v>500.61617734977295</c:v>
                </c:pt>
                <c:pt idx="52">
                  <c:v>524.92279412001812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625.95816246292009</c:v>
                </c:pt>
                <c:pt idx="62">
                  <c:v>647.88645878177363</c:v>
                </c:pt>
                <c:pt idx="63">
                  <c:v>669.79945190168917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4056176"/>
        <c:axId val="2134056720"/>
      </c:scatterChart>
      <c:valAx>
        <c:axId val="2134056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056720"/>
        <c:crosses val="autoZero"/>
        <c:crossBetween val="midCat"/>
      </c:valAx>
      <c:valAx>
        <c:axId val="213405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056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2.3000503577223177</c:v>
                </c:pt>
                <c:pt idx="2">
                  <c:v>3.4123251658421467</c:v>
                </c:pt>
                <c:pt idx="3">
                  <c:v>5.0649316480249702</c:v>
                </c:pt>
                <c:pt idx="4">
                  <c:v>7.5214742535881634</c:v>
                </c:pt>
                <c:pt idx="5">
                  <c:v>11.174665504376321</c:v>
                </c:pt>
                <c:pt idx="6">
                  <c:v>16.609789543787098</c:v>
                </c:pt>
                <c:pt idx="7">
                  <c:v>24.699464530651337</c:v>
                </c:pt>
                <c:pt idx="8">
                  <c:v>36.745186031094413</c:v>
                </c:pt>
                <c:pt idx="9">
                  <c:v>54.688812568819607</c:v>
                </c:pt>
                <c:pt idx="10">
                  <c:v>81.428651432524632</c:v>
                </c:pt>
                <c:pt idx="11">
                  <c:v>121.29202004325329</c:v>
                </c:pt>
                <c:pt idx="12">
                  <c:v>152.20565029747607</c:v>
                </c:pt>
                <c:pt idx="13">
                  <c:v>185.88312171265582</c:v>
                </c:pt>
                <c:pt idx="14">
                  <c:v>219.41773550547876</c:v>
                </c:pt>
                <c:pt idx="15">
                  <c:v>254.95565122562832</c:v>
                </c:pt>
                <c:pt idx="16">
                  <c:v>290.38132944918061</c:v>
                </c:pt>
                <c:pt idx="17">
                  <c:v>326.34959187070336</c:v>
                </c:pt>
                <c:pt idx="18">
                  <c:v>362.23027181625463</c:v>
                </c:pt>
                <c:pt idx="19">
                  <c:v>397.39682180917708</c:v>
                </c:pt>
                <c:pt idx="20">
                  <c:v>432.49597700675258</c:v>
                </c:pt>
                <c:pt idx="21">
                  <c:v>334.84843252323952</c:v>
                </c:pt>
                <c:pt idx="22">
                  <c:v>361.33742726568721</c:v>
                </c:pt>
                <c:pt idx="23">
                  <c:v>389.63054763275699</c:v>
                </c:pt>
                <c:pt idx="24">
                  <c:v>417.87909386741256</c:v>
                </c:pt>
                <c:pt idx="25">
                  <c:v>444.81673729315395</c:v>
                </c:pt>
                <c:pt idx="26">
                  <c:v>471.71945469929432</c:v>
                </c:pt>
                <c:pt idx="27">
                  <c:v>497.13274492196911</c:v>
                </c:pt>
                <c:pt idx="28">
                  <c:v>522.51852902822736</c:v>
                </c:pt>
                <c:pt idx="29">
                  <c:v>545.85552594956084</c:v>
                </c:pt>
                <c:pt idx="30">
                  <c:v>569.17159457234334</c:v>
                </c:pt>
                <c:pt idx="31">
                  <c:v>445.83255313087483</c:v>
                </c:pt>
                <c:pt idx="32">
                  <c:v>463.22081215147313</c:v>
                </c:pt>
                <c:pt idx="33">
                  <c:v>482.56001208166907</c:v>
                </c:pt>
                <c:pt idx="34">
                  <c:v>501.88275263065475</c:v>
                </c:pt>
                <c:pt idx="35">
                  <c:v>520.11403071722157</c:v>
                </c:pt>
                <c:pt idx="36">
                  <c:v>538.3318384612769</c:v>
                </c:pt>
                <c:pt idx="37">
                  <c:v>554.45136361315429</c:v>
                </c:pt>
                <c:pt idx="38">
                  <c:v>570.56107304245495</c:v>
                </c:pt>
                <c:pt idx="39">
                  <c:v>585.39885754817499</c:v>
                </c:pt>
                <c:pt idx="40">
                  <c:v>600.22880745733244</c:v>
                </c:pt>
                <c:pt idx="41">
                  <c:v>494.59901492074476</c:v>
                </c:pt>
                <c:pt idx="42">
                  <c:v>505.93533989867075</c:v>
                </c:pt>
                <c:pt idx="43">
                  <c:v>518.78512851483038</c:v>
                </c:pt>
                <c:pt idx="44">
                  <c:v>531.62820593405525</c:v>
                </c:pt>
                <c:pt idx="45">
                  <c:v>543.10552456583571</c:v>
                </c:pt>
                <c:pt idx="46">
                  <c:v>554.5777520405195</c:v>
                </c:pt>
                <c:pt idx="47">
                  <c:v>566.04500850380884</c:v>
                </c:pt>
                <c:pt idx="48">
                  <c:v>577.50740883732658</c:v>
                </c:pt>
                <c:pt idx="49">
                  <c:v>587.73429969945209</c:v>
                </c:pt>
                <c:pt idx="50">
                  <c:v>597.957484559862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4055632"/>
        <c:axId val="2134058896"/>
      </c:scatterChart>
      <c:valAx>
        <c:axId val="2134055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058896"/>
        <c:crosses val="autoZero"/>
        <c:crossBetween val="midCat"/>
      </c:valAx>
      <c:valAx>
        <c:axId val="213405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055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2.1673493163885542</c:v>
                </c:pt>
                <c:pt idx="2">
                  <c:v>3.1593782649062194</c:v>
                </c:pt>
                <c:pt idx="3">
                  <c:v>4.607516475464525</c:v>
                </c:pt>
                <c:pt idx="4">
                  <c:v>6.7223533502524271</c:v>
                </c:pt>
                <c:pt idx="5">
                  <c:v>9.8120884624821354</c:v>
                </c:pt>
                <c:pt idx="6">
                  <c:v>14.327937202509355</c:v>
                </c:pt>
                <c:pt idx="7">
                  <c:v>20.930727190056306</c:v>
                </c:pt>
                <c:pt idx="8">
                  <c:v>30.588604599923318</c:v>
                </c:pt>
                <c:pt idx="9">
                  <c:v>44.720425055006189</c:v>
                </c:pt>
                <c:pt idx="10">
                  <c:v>65.40624955440795</c:v>
                </c:pt>
                <c:pt idx="11">
                  <c:v>89.944194226436437</c:v>
                </c:pt>
                <c:pt idx="12">
                  <c:v>114.31289151076612</c:v>
                </c:pt>
                <c:pt idx="13">
                  <c:v>138.55382765153806</c:v>
                </c:pt>
                <c:pt idx="14">
                  <c:v>162.69260091413682</c:v>
                </c:pt>
                <c:pt idx="15">
                  <c:v>186.74653600847191</c:v>
                </c:pt>
                <c:pt idx="16">
                  <c:v>210.72810935476127</c:v>
                </c:pt>
                <c:pt idx="17">
                  <c:v>234.64671738909212</c:v>
                </c:pt>
                <c:pt idx="18">
                  <c:v>258.50968092193943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4051824"/>
        <c:axId val="2134062160"/>
      </c:scatterChart>
      <c:valAx>
        <c:axId val="2134051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062160"/>
        <c:crosses val="autoZero"/>
        <c:crossBetween val="midCat"/>
      </c:valAx>
      <c:valAx>
        <c:axId val="213406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051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4050192"/>
        <c:axId val="2134052368"/>
      </c:scatterChart>
      <c:valAx>
        <c:axId val="21340501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052368"/>
        <c:crosses val="autoZero"/>
        <c:crossBetween val="midCat"/>
      </c:valAx>
      <c:valAx>
        <c:axId val="213405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050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4061616"/>
        <c:axId val="2134054544"/>
      </c:scatterChart>
      <c:valAx>
        <c:axId val="2134061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054544"/>
        <c:crosses val="autoZero"/>
        <c:crossBetween val="midCat"/>
      </c:valAx>
      <c:valAx>
        <c:axId val="213405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061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4059984"/>
        <c:axId val="2134046928"/>
      </c:scatterChart>
      <c:valAx>
        <c:axId val="21340599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046928"/>
        <c:crosses val="autoZero"/>
        <c:crossBetween val="midCat"/>
      </c:valAx>
      <c:valAx>
        <c:axId val="213404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059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4048560"/>
        <c:axId val="2134047472"/>
      </c:scatterChart>
      <c:valAx>
        <c:axId val="2134048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047472"/>
        <c:crosses val="autoZero"/>
        <c:crossBetween val="midCat"/>
      </c:valAx>
      <c:valAx>
        <c:axId val="21340474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4048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30" zoomScale="69" zoomScaleNormal="90" workbookViewId="0">
      <selection activeCell="H141" sqref="H14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16.96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0.13320000000000001</v>
      </c>
      <c r="D9" s="36">
        <f t="shared" ref="D9:D18" si="0">C9*$C$5</f>
        <v>2.2590720000000002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164</v>
      </c>
      <c r="C10" s="35">
        <v>4.1200000000000001E-2</v>
      </c>
      <c r="D10" s="36">
        <f t="shared" si="0"/>
        <v>0.69875200000000004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35</v>
      </c>
      <c r="C11" s="35">
        <v>0.60880000000000001</v>
      </c>
      <c r="D11" s="36">
        <f t="shared" si="0"/>
        <v>10.325248</v>
      </c>
      <c r="E11" s="37">
        <v>65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36</v>
      </c>
      <c r="C12" s="35">
        <v>0.15479999999999999</v>
      </c>
      <c r="D12" s="36">
        <f t="shared" si="0"/>
        <v>2.6254080000000002</v>
      </c>
      <c r="E12" s="37">
        <v>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129</v>
      </c>
      <c r="C13" s="35">
        <v>6.1800000000000001E-2</v>
      </c>
      <c r="D13" s="36">
        <f t="shared" si="0"/>
        <v>1.0481280000000002</v>
      </c>
      <c r="E13" s="37">
        <v>18</v>
      </c>
      <c r="F13" s="38" t="str">
        <f t="array" ref="F13">IF(E13="","",IF(INDEX(A:A,MAX(IF(ISNUMBER($A$140:$A$159),ROW($A$140:$A$159),"")))&lt;&gt;E13,"Corrigez : révolution incorrecte","OK"))</f>
        <v>OK</v>
      </c>
      <c r="G13" s="25" t="s">
        <v>327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0.99979999999999991</v>
      </c>
      <c r="D19" s="41">
        <f>SUM(D9:D18)</f>
        <v>16.956608000000003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75+28</f>
        <v>103</v>
      </c>
      <c r="C37" s="63">
        <v>2</v>
      </c>
      <c r="D37" s="63">
        <v>28</v>
      </c>
      <c r="E37" s="54"/>
      <c r="F37" s="54"/>
      <c r="G37" s="54">
        <v>0.5</v>
      </c>
      <c r="H37" s="54">
        <v>0.5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93+28</f>
        <v>121</v>
      </c>
      <c r="C38" s="63">
        <v>3</v>
      </c>
      <c r="D38" s="63">
        <v>28</v>
      </c>
      <c r="E38" s="54"/>
      <c r="F38" s="54"/>
      <c r="G38" s="54">
        <v>0.4</v>
      </c>
      <c r="H38" s="54">
        <v>0.6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119+28</f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147+28</f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176+28</f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203+28</f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55</v>
      </c>
      <c r="B43" s="63">
        <f>226+28</f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60</v>
      </c>
      <c r="B44" s="63">
        <f>245+28</f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65</v>
      </c>
      <c r="B45" s="63">
        <f>261+28</f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70</v>
      </c>
      <c r="B46" s="63">
        <f>274+28</f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75</v>
      </c>
      <c r="B47" s="63">
        <f>284+28</f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80</v>
      </c>
      <c r="B48" s="63">
        <f>292+28</f>
        <v>320</v>
      </c>
      <c r="C48" s="63"/>
      <c r="D48" s="63">
        <v>320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158</v>
      </c>
      <c r="C62" s="63">
        <v>1</v>
      </c>
      <c r="D62" s="63">
        <v>35</v>
      </c>
      <c r="E62" s="54">
        <v>0.2</v>
      </c>
      <c r="F62" s="54"/>
      <c r="G62" s="54">
        <v>0.8</v>
      </c>
      <c r="H62" s="54"/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169</v>
      </c>
      <c r="C63" s="63">
        <v>2</v>
      </c>
      <c r="D63" s="63">
        <v>35</v>
      </c>
      <c r="E63" s="54">
        <v>0.45</v>
      </c>
      <c r="F63" s="54"/>
      <c r="G63" s="54">
        <v>0.55000000000000004</v>
      </c>
      <c r="H63" s="54"/>
      <c r="I63" s="52">
        <f>IF(A63&lt;&gt;0,(B63-(B62-D62))/(A63-A62),"")</f>
        <v>9.1999999999999993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180</v>
      </c>
      <c r="C64" s="63">
        <v>3</v>
      </c>
      <c r="D64" s="63">
        <v>50</v>
      </c>
      <c r="E64" s="54">
        <v>0.5</v>
      </c>
      <c r="F64" s="54"/>
      <c r="G64" s="54">
        <v>0.5</v>
      </c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37</v>
      </c>
      <c r="B65" s="63">
        <v>200</v>
      </c>
      <c r="C65" s="63">
        <v>4</v>
      </c>
      <c r="D65" s="63">
        <v>50</v>
      </c>
      <c r="E65" s="54"/>
      <c r="F65" s="54"/>
      <c r="G65" s="54"/>
      <c r="H65" s="54"/>
      <c r="I65" s="52">
        <f>IF(A65&lt;&gt;0,(B65-(B64-D64))/(A65-A64),"")</f>
        <v>10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44</v>
      </c>
      <c r="B66" s="63">
        <v>226</v>
      </c>
      <c r="C66" s="63">
        <v>5</v>
      </c>
      <c r="D66" s="63">
        <v>60</v>
      </c>
      <c r="E66" s="54"/>
      <c r="F66" s="54"/>
      <c r="G66" s="54"/>
      <c r="H66" s="54"/>
      <c r="I66" s="52">
        <f t="shared" ref="I66:I81" si="2">IF(A66&lt;&gt;0,(B66-(B65-D65))/(A66-A65),"")</f>
        <v>10.857142857142858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51</v>
      </c>
      <c r="B67" s="63">
        <v>249</v>
      </c>
      <c r="C67" s="63">
        <v>6</v>
      </c>
      <c r="D67" s="63">
        <v>70</v>
      </c>
      <c r="E67" s="54"/>
      <c r="F67" s="54"/>
      <c r="G67" s="54"/>
      <c r="H67" s="54"/>
      <c r="I67" s="52">
        <f t="shared" si="2"/>
        <v>11.857142857142858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60</v>
      </c>
      <c r="B68" s="63">
        <v>300</v>
      </c>
      <c r="C68" s="63"/>
      <c r="D68" s="63">
        <v>300</v>
      </c>
      <c r="E68" s="54"/>
      <c r="F68" s="54"/>
      <c r="G68" s="54"/>
      <c r="H68" s="54"/>
      <c r="I68" s="52">
        <f t="shared" si="2"/>
        <v>13.444444444444445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17</v>
      </c>
      <c r="B88" s="63">
        <f>103+15</f>
        <v>118</v>
      </c>
      <c r="C88" s="63">
        <v>1</v>
      </c>
      <c r="D88" s="63">
        <v>15</v>
      </c>
      <c r="E88" s="54"/>
      <c r="F88" s="54"/>
      <c r="G88" s="54"/>
      <c r="H88" s="93"/>
      <c r="I88" s="56">
        <f>IFERROR(B88/A88,"")</f>
        <v>6.9411764705882355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f>122+15</f>
        <v>137</v>
      </c>
      <c r="C89" s="63">
        <v>2</v>
      </c>
      <c r="D89" s="63">
        <v>15</v>
      </c>
      <c r="E89" s="54">
        <v>0.2</v>
      </c>
      <c r="F89" s="54"/>
      <c r="G89" s="54">
        <v>0.8</v>
      </c>
      <c r="H89" s="93"/>
      <c r="I89" s="56">
        <f t="shared" ref="I89:I107" si="3">IF(A89&lt;&gt;0,(B89-(B88-D88))/(A89-A88),"")</f>
        <v>11.333333333333334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f>168+36</f>
        <v>204</v>
      </c>
      <c r="C90" s="63">
        <v>3</v>
      </c>
      <c r="D90" s="63">
        <v>36</v>
      </c>
      <c r="E90" s="93">
        <v>0.45</v>
      </c>
      <c r="F90" s="93"/>
      <c r="G90" s="93">
        <v>0.55000000000000004</v>
      </c>
      <c r="H90" s="93"/>
      <c r="I90" s="56">
        <f t="shared" si="3"/>
        <v>16.399999999999999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f>202+54</f>
        <v>256</v>
      </c>
      <c r="C91" s="63">
        <v>4</v>
      </c>
      <c r="D91" s="63">
        <v>54</v>
      </c>
      <c r="E91" s="93">
        <v>0.5</v>
      </c>
      <c r="F91" s="93"/>
      <c r="G91" s="93">
        <v>0.5</v>
      </c>
      <c r="H91" s="93"/>
      <c r="I91" s="56">
        <f t="shared" si="3"/>
        <v>17.600000000000001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f>244+52</f>
        <v>296</v>
      </c>
      <c r="C92" s="63">
        <v>5</v>
      </c>
      <c r="D92" s="63">
        <v>52</v>
      </c>
      <c r="E92" s="93"/>
      <c r="F92" s="93"/>
      <c r="G92" s="93"/>
      <c r="H92" s="93"/>
      <c r="I92" s="56">
        <f t="shared" si="3"/>
        <v>18.8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f>284+48</f>
        <v>332</v>
      </c>
      <c r="C93" s="63">
        <v>6</v>
      </c>
      <c r="D93" s="63">
        <v>48</v>
      </c>
      <c r="E93" s="93"/>
      <c r="F93" s="93"/>
      <c r="G93" s="93"/>
      <c r="H93" s="93"/>
      <c r="I93" s="56">
        <f t="shared" si="3"/>
        <v>17.600000000000001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f>327+57</f>
        <v>384</v>
      </c>
      <c r="C94" s="63">
        <v>7</v>
      </c>
      <c r="D94" s="63">
        <v>57</v>
      </c>
      <c r="E94" s="93"/>
      <c r="F94" s="93"/>
      <c r="G94" s="93"/>
      <c r="H94" s="93"/>
      <c r="I94" s="56">
        <f t="shared" si="3"/>
        <v>20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50</v>
      </c>
      <c r="B95" s="63">
        <f>367+47</f>
        <v>414</v>
      </c>
      <c r="C95" s="63">
        <v>8</v>
      </c>
      <c r="D95" s="63">
        <v>47</v>
      </c>
      <c r="E95" s="93"/>
      <c r="F95" s="93"/>
      <c r="G95" s="93"/>
      <c r="H95" s="93"/>
      <c r="I95" s="56">
        <f t="shared" si="3"/>
        <v>17.399999999999999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55</v>
      </c>
      <c r="B96" s="63">
        <f>415+48</f>
        <v>463</v>
      </c>
      <c r="C96" s="63">
        <v>9</v>
      </c>
      <c r="D96" s="63">
        <v>48</v>
      </c>
      <c r="E96" s="93"/>
      <c r="F96" s="93"/>
      <c r="G96" s="93"/>
      <c r="H96" s="93"/>
      <c r="I96" s="56">
        <f t="shared" si="3"/>
        <v>19.2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60</v>
      </c>
      <c r="B97" s="63">
        <f>468+32</f>
        <v>500</v>
      </c>
      <c r="C97" s="63">
        <v>10</v>
      </c>
      <c r="D97" s="63">
        <v>32</v>
      </c>
      <c r="E97" s="93"/>
      <c r="F97" s="93"/>
      <c r="G97" s="93"/>
      <c r="H97" s="93"/>
      <c r="I97" s="56">
        <f t="shared" si="3"/>
        <v>17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65</v>
      </c>
      <c r="B98" s="63">
        <v>555</v>
      </c>
      <c r="C98" s="63"/>
      <c r="D98" s="63">
        <v>555</v>
      </c>
      <c r="E98" s="93"/>
      <c r="F98" s="93"/>
      <c r="G98" s="93"/>
      <c r="H98" s="93"/>
      <c r="I98" s="56">
        <f t="shared" si="3"/>
        <v>17.399999999999999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Pin maritime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11</v>
      </c>
      <c r="B114" s="63">
        <v>90.3</v>
      </c>
      <c r="C114" s="53"/>
      <c r="D114" s="63"/>
      <c r="E114" s="54"/>
      <c r="F114" s="54"/>
      <c r="G114" s="54"/>
      <c r="H114" s="54"/>
      <c r="I114" s="56">
        <f>IFERROR(B114/A114,"")</f>
        <v>8.209090909090909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12</v>
      </c>
      <c r="B115" s="63">
        <v>114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23.700000000000003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14</v>
      </c>
      <c r="B116" s="63">
        <v>165.9</v>
      </c>
      <c r="C116" s="53"/>
      <c r="D116" s="63"/>
      <c r="E116" s="54"/>
      <c r="F116" s="54"/>
      <c r="G116" s="54"/>
      <c r="H116" s="54"/>
      <c r="I116" s="56">
        <f t="shared" si="4"/>
        <v>25.950000000000003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16</v>
      </c>
      <c r="B117" s="63">
        <v>221.1</v>
      </c>
      <c r="C117" s="53"/>
      <c r="D117" s="63"/>
      <c r="E117" s="54"/>
      <c r="F117" s="54"/>
      <c r="G117" s="54"/>
      <c r="H117" s="54"/>
      <c r="I117" s="56">
        <f t="shared" si="4"/>
        <v>27.599999999999994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18</v>
      </c>
      <c r="B118" s="63">
        <v>277.3</v>
      </c>
      <c r="C118" s="53"/>
      <c r="D118" s="63"/>
      <c r="E118" s="54"/>
      <c r="F118" s="54"/>
      <c r="G118" s="54"/>
      <c r="H118" s="54"/>
      <c r="I118" s="56">
        <f t="shared" si="4"/>
        <v>28.100000000000009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20</v>
      </c>
      <c r="B119" s="63">
        <v>332.5</v>
      </c>
      <c r="C119" s="53">
        <v>1</v>
      </c>
      <c r="D119" s="63">
        <v>97.4</v>
      </c>
      <c r="E119" s="54">
        <v>0.2</v>
      </c>
      <c r="F119" s="54"/>
      <c r="G119" s="54">
        <v>0.8</v>
      </c>
      <c r="H119" s="54"/>
      <c r="I119" s="56">
        <f t="shared" si="4"/>
        <v>27.599999999999994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22</v>
      </c>
      <c r="B120" s="63">
        <v>276.60000000000002</v>
      </c>
      <c r="C120" s="63"/>
      <c r="D120" s="63"/>
      <c r="E120" s="93"/>
      <c r="F120" s="93"/>
      <c r="G120" s="93"/>
      <c r="H120" s="93"/>
      <c r="I120" s="56">
        <f t="shared" si="4"/>
        <v>20.750000000000014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24</v>
      </c>
      <c r="B121" s="63">
        <v>321</v>
      </c>
      <c r="C121" s="63"/>
      <c r="D121" s="63"/>
      <c r="E121" s="93"/>
      <c r="F121" s="93"/>
      <c r="G121" s="93"/>
      <c r="H121" s="93"/>
      <c r="I121" s="56">
        <f t="shared" si="4"/>
        <v>22.199999999999989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26</v>
      </c>
      <c r="B122" s="63">
        <v>363.4</v>
      </c>
      <c r="C122" s="63"/>
      <c r="D122" s="63"/>
      <c r="E122" s="93"/>
      <c r="F122" s="93"/>
      <c r="G122" s="93"/>
      <c r="H122" s="93"/>
      <c r="I122" s="56">
        <f t="shared" si="4"/>
        <v>21.199999999999989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28</v>
      </c>
      <c r="B123" s="63">
        <v>403.5</v>
      </c>
      <c r="C123" s="63"/>
      <c r="D123" s="63"/>
      <c r="E123" s="93"/>
      <c r="F123" s="93"/>
      <c r="G123" s="93"/>
      <c r="H123" s="93"/>
      <c r="I123" s="56">
        <f t="shared" si="4"/>
        <v>20.050000000000011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30</v>
      </c>
      <c r="B124" s="63">
        <v>440.4</v>
      </c>
      <c r="C124" s="63">
        <v>2</v>
      </c>
      <c r="D124" s="63">
        <v>111.1</v>
      </c>
      <c r="E124" s="93">
        <v>0.45</v>
      </c>
      <c r="F124" s="93"/>
      <c r="G124" s="93">
        <v>0.55000000000000004</v>
      </c>
      <c r="H124" s="93"/>
      <c r="I124" s="56">
        <f t="shared" si="4"/>
        <v>18.449999999999989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32</v>
      </c>
      <c r="B125" s="63">
        <v>356.7</v>
      </c>
      <c r="C125" s="63"/>
      <c r="D125" s="63"/>
      <c r="E125" s="93"/>
      <c r="F125" s="93"/>
      <c r="G125" s="93"/>
      <c r="H125" s="93"/>
      <c r="I125" s="56">
        <f t="shared" si="4"/>
        <v>13.700000000000017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34</v>
      </c>
      <c r="B126" s="63">
        <v>387.2</v>
      </c>
      <c r="C126" s="63"/>
      <c r="D126" s="63"/>
      <c r="E126" s="68"/>
      <c r="F126" s="68"/>
      <c r="G126" s="68"/>
      <c r="H126" s="68"/>
      <c r="I126" s="56">
        <f t="shared" si="4"/>
        <v>15.25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36</v>
      </c>
      <c r="B127" s="63">
        <v>416</v>
      </c>
      <c r="C127" s="63"/>
      <c r="D127" s="63"/>
      <c r="E127" s="68"/>
      <c r="F127" s="68"/>
      <c r="G127" s="68"/>
      <c r="H127" s="68"/>
      <c r="I127" s="56">
        <f t="shared" si="4"/>
        <v>14.400000000000006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38</v>
      </c>
      <c r="B128" s="53">
        <v>441.5</v>
      </c>
      <c r="C128" s="53"/>
      <c r="D128" s="53"/>
      <c r="E128" s="57"/>
      <c r="F128" s="57"/>
      <c r="G128" s="57"/>
      <c r="H128" s="57"/>
      <c r="I128" s="56">
        <f t="shared" si="4"/>
        <v>12.75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40</v>
      </c>
      <c r="B129" s="53">
        <v>465</v>
      </c>
      <c r="C129" s="53">
        <v>3</v>
      </c>
      <c r="D129" s="53">
        <v>92.5</v>
      </c>
      <c r="E129" s="57"/>
      <c r="F129" s="57"/>
      <c r="G129" s="57"/>
      <c r="H129" s="57"/>
      <c r="I129" s="56">
        <f t="shared" si="4"/>
        <v>11.75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42</v>
      </c>
      <c r="B130" s="53">
        <v>390.4</v>
      </c>
      <c r="C130" s="53"/>
      <c r="D130" s="53"/>
      <c r="E130" s="57"/>
      <c r="F130" s="57"/>
      <c r="G130" s="57"/>
      <c r="H130" s="57"/>
      <c r="I130" s="56">
        <f t="shared" si="4"/>
        <v>8.9499999999999886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44</v>
      </c>
      <c r="B131" s="53">
        <v>410.7</v>
      </c>
      <c r="C131" s="53"/>
      <c r="D131" s="53"/>
      <c r="E131" s="57"/>
      <c r="F131" s="57"/>
      <c r="G131" s="57"/>
      <c r="H131" s="57"/>
      <c r="I131" s="56">
        <f t="shared" si="4"/>
        <v>10.150000000000006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48</v>
      </c>
      <c r="B132" s="53">
        <v>447</v>
      </c>
      <c r="C132" s="53"/>
      <c r="D132" s="53"/>
      <c r="E132" s="57"/>
      <c r="F132" s="57"/>
      <c r="G132" s="57"/>
      <c r="H132" s="57"/>
      <c r="I132" s="56">
        <f t="shared" si="4"/>
        <v>9.0750000000000028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50</v>
      </c>
      <c r="B133" s="53">
        <v>463.2</v>
      </c>
      <c r="C133" s="53"/>
      <c r="D133" s="53">
        <v>463.2</v>
      </c>
      <c r="E133" s="57"/>
      <c r="F133" s="57"/>
      <c r="G133" s="57"/>
      <c r="H133" s="57"/>
      <c r="I133" s="56">
        <f t="shared" si="4"/>
        <v>8.0999999999999943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Peuplier Robusta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10</v>
      </c>
      <c r="B140" s="63">
        <v>50</v>
      </c>
      <c r="C140" s="53"/>
      <c r="D140" s="63"/>
      <c r="E140" s="54"/>
      <c r="F140" s="54"/>
      <c r="G140" s="54"/>
      <c r="H140" s="54"/>
      <c r="I140" s="60">
        <f>IFERROR(B140/A140,"")</f>
        <v>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18</v>
      </c>
      <c r="B141" s="63">
        <v>205</v>
      </c>
      <c r="C141" s="53"/>
      <c r="D141" s="63">
        <v>205</v>
      </c>
      <c r="E141" s="54">
        <v>0.8</v>
      </c>
      <c r="F141" s="54"/>
      <c r="G141" s="54">
        <v>0.2</v>
      </c>
      <c r="H141" s="54"/>
      <c r="I141" s="60">
        <f t="shared" ref="I141:I159" si="5">IF(A141&lt;&gt;0,(B141-(B140-D140))/(A141-A140),"")</f>
        <v>19.375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laricio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maritime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Peuplier Robusta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367.51466260429623</v>
      </c>
      <c r="T3" s="62">
        <f>IF('Données projet'!E9&gt;30,$R$33-$H$33,LOOKUP('Données projet'!$E$9,$A$3:$A$203,R3:R203)-LOOKUP('Données projet'!$E$9,$A$3:$A$203,$H$3:$H$203))</f>
        <v>297.32483725004136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188.94867378904664</v>
      </c>
      <c r="AO3" s="62">
        <f>IF('Données projet'!E10&gt;30,$AM$33-$H$33,LOOKUP('Données projet'!$E$10,$A$3:$A$203,AM3:AM203)-LOOKUP('Données projet'!$E$10,$A$3:$A$203,$H$3:$H$203))</f>
        <v>242.84781402593833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367.11994336501527</v>
      </c>
      <c r="BJ3" s="62">
        <f>IF('Données projet'!E11&gt;30,$BH$33-$H$33,LOOKUP('Données projet'!$E$11,$A$3:$A$203,BH3:BH203)-LOOKUP('Données projet'!$E$11,$A$3:$A$203,$H$3:$H$203))</f>
        <v>390.81417197867484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396.15172163885632</v>
      </c>
      <c r="CE3" s="62">
        <f>IF('Données projet'!E12&gt;30,$CC$33-$H$33,LOOKUP('Données projet'!$E$12,$A$3:$A$203,CC3:CC203)-LOOKUP('Données projet'!$E$12,$A$3:$A$203,$H$3:$H$203))</f>
        <v>624.94568617205198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89.800041997398182</v>
      </c>
      <c r="CZ3" s="62">
        <f>IF('Données projet'!E13&gt;30,$CX$33-$H$33,LOOKUP('Données projet'!$E$13,$A$3:$A$203,CX3:CX203)-LOOKUP('Données projet'!$E$13,$A$3:$A$203,$H$3:$H$203))</f>
        <v>286.94570078060917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170.65342372509684</v>
      </c>
      <c r="S4" s="62">
        <f ca="1">AVERAGE(OFFSET($R$3,0,0,'Données projet'!$E$9+1,1))-AVERAGE(OFFSET($H$3,0,0,'Données projet'!$E$9+1,1))</f>
        <v>367.51466260429623</v>
      </c>
      <c r="T4" s="62">
        <f>$T$3</f>
        <v>297.32483725004136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projet'!$B$10,Paramètres!$A$1:$I$89,3,0)*VLOOKUP('Données projet'!$B$10,Paramètres!$A$1:$I$89,5,0)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169.37551953033068</v>
      </c>
      <c r="AN4" s="62">
        <f ca="1">AVERAGE(OFFSET($AM$3,0,0,'Données projet'!$E$10+1,1))-AVERAGE(OFFSET($H$3,0,0,'Données projet'!$E$10+1,1))</f>
        <v>188.94867378904664</v>
      </c>
      <c r="AO4" s="62">
        <f>$AO$3</f>
        <v>242.84781402593833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6.9411764705882355</v>
      </c>
      <c r="BD4" s="13">
        <f>IF('Données projet'!$A$88&gt;35,BD3+BC4-BL3,IF(A4&lt;'Données projet'!$A$88,$BA$205^A4,IF(A4='Données projet'!$A$88,'Données projet'!$B$88,BD3+BC4-BL3)))</f>
        <v>1.3239616704988877</v>
      </c>
      <c r="BE4" s="14">
        <f>BD4*VLOOKUP('Données projet'!$B$11,Paramètres!$A$1:$I$89,3,0)*VLOOKUP('Données projet'!$B$11,Paramètres!$A$1:$I$89,5,0)</f>
        <v>0.79172907895833489</v>
      </c>
      <c r="BF4" s="14">
        <f>EXP(-1.0587+0.8836*LN(BE4)+0.284)</f>
        <v>0.37491631974909195</v>
      </c>
      <c r="BG4" s="22">
        <f t="shared" ref="BG4:BG67" si="7">(BE4+BF4)*0.475*44/12</f>
        <v>2.031907402748768</v>
      </c>
      <c r="BH4" s="62">
        <f t="shared" ref="BH4:BH67" si="8">BG4+(AY4+AZ4)*44/12</f>
        <v>169.84434135567261</v>
      </c>
      <c r="BI4" s="62">
        <f ca="1">AVERAGE(OFFSET($BH$3,0,0,'Données projet'!$E$11+1,1))-AVERAGE(OFFSET($H$3,0,0,'Données projet'!$E$11+1,1))</f>
        <v>367.11994336501527</v>
      </c>
      <c r="BJ4" s="62">
        <f>$BJ$3</f>
        <v>390.81417197867484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8.209090909090909</v>
      </c>
      <c r="BY4" s="13">
        <f>IF('Données projet'!$A$114&gt;35,BY3+BX4-CG3,IF(A4&lt;'Données projet'!$A$114,$BV$205^A4,IF(A4='Données projet'!$A$114,'Données projet'!$B$114,BY3+BX4-CG3)))</f>
        <v>1.5058780240422445</v>
      </c>
      <c r="BZ4" s="14">
        <f>BY4*VLOOKUP('Données projet'!$B$12,Paramètres!$A$1:$I$89,3,0)*VLOOKUP('Données projet'!$B$12,Paramètres!$A$1:$I$89,5,0)</f>
        <v>0.90051505837726231</v>
      </c>
      <c r="CA4" s="14">
        <f>EXP(-1.0587+0.8836*LN(BZ4)+0.284)</f>
        <v>0.42008801782693922</v>
      </c>
      <c r="CB4" s="22">
        <f t="shared" ref="CB4:CB67" si="10">(BZ4+CA4)*0.475*44/12</f>
        <v>2.3000503577223177</v>
      </c>
      <c r="CC4" s="62">
        <f t="shared" ref="CC4:CC67" si="11">CB4+(BT4+BU4)*44/12</f>
        <v>170.11248431064615</v>
      </c>
      <c r="CD4" s="62">
        <f ca="1">AVERAGE(OFFSET($CC$3,0,0,'Données projet'!$E$12+1,1))-AVERAGE(OFFSET($H$3,0,0,'Données projet'!$E$12+1,1))</f>
        <v>396.15172163885632</v>
      </c>
      <c r="CE4" s="62">
        <f>$CE$3</f>
        <v>624.94568617205198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5</v>
      </c>
      <c r="CT4" s="13">
        <f>IF('Données projet'!$A$140&gt;35,CT3+CS4-DB3,IF(A4&lt;'Données projet'!$A$140,$CQ$205^A4,IF(A4='Données projet'!$A$140,'Données projet'!$B$140,CT3+CS4-DB3)))</f>
        <v>1.4787576366283137</v>
      </c>
      <c r="CU4" s="18">
        <f>CT4*VLOOKUP('Données projet'!$B$13,Paramètres!$A$1:$I$89,3,0)*VLOOKUP('Données projet'!$B$13,Paramètres!$A$1:$I$89,5,0)</f>
        <v>0.84661832212244226</v>
      </c>
      <c r="CV4" s="14">
        <f>EXP(-1.0587+0.8836*LN(CU4)+0.284)</f>
        <v>0.39779276862696689</v>
      </c>
      <c r="CW4" s="22">
        <f t="shared" ref="CW4:CW67" si="13">(CU4+CV4)*0.475*44/12</f>
        <v>2.1673493163885542</v>
      </c>
      <c r="CX4" s="62">
        <f t="shared" ref="CX4:CX67" si="14">CW4+(CO4+CP4)*44/12</f>
        <v>169.97978326931241</v>
      </c>
      <c r="CY4" s="62">
        <f ca="1">AVERAGE(OFFSET($CX$3,0,0,'Données projet'!$E$13+1,1))-AVERAGE(OFFSET($H$3,0,0,'Données projet'!$E$13+1,1))</f>
        <v>89.800041997398182</v>
      </c>
      <c r="CZ4" s="62">
        <f>$CZ$3</f>
        <v>286.94570078060917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174.0908950642665</v>
      </c>
      <c r="S5" s="62">
        <f ca="1">AVERAGE(OFFSET($R$3,0,0,'Données projet'!$E$9+1,1))-AVERAGE(OFFSET($H$3,0,0,'Données projet'!$E$9+1,1))</f>
        <v>367.51466260429623</v>
      </c>
      <c r="T5" s="62">
        <f t="shared" ref="T5:T68" si="34">$T$3</f>
        <v>297.32483725004136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projet'!$B$10,Paramètres!$A$1:$I$89,3,0)*VLOOKUP('Données projet'!$B$10,Paramètres!$A$1:$I$89,5,0)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172.59142186291126</v>
      </c>
      <c r="AN5" s="62">
        <f ca="1">AVERAGE(OFFSET($AM$3,0,0,'Données projet'!$E$10+1,1))-AVERAGE(OFFSET($H$3,0,0,'Données projet'!$E$10+1,1))</f>
        <v>188.94867378904664</v>
      </c>
      <c r="AO5" s="62">
        <f t="shared" ref="AO5:AO68" si="36">$AO$3</f>
        <v>242.84781402593833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6.9411764705882355</v>
      </c>
      <c r="BD5" s="13">
        <f>IF('Données projet'!$A$88&gt;35,BD4+BC5-BL4,IF(A5&lt;'Données projet'!$A$88,$BA$205^A5,IF(A5='Données projet'!$A$88,'Données projet'!$B$88,BD4+BC5-BL4)))</f>
        <v>1.7528745049502052</v>
      </c>
      <c r="BE5" s="14">
        <f>BD5*VLOOKUP('Données projet'!$B$11,Paramètres!$A$1:$I$89,3,0)*VLOOKUP('Données projet'!$B$11,Paramètres!$A$1:$I$89,5,0)</f>
        <v>1.0482189539602227</v>
      </c>
      <c r="BF5" s="14">
        <f t="shared" ref="BF5:BF68" si="37">EXP(-1.0587+0.8836*LN(BE5)+0.284)</f>
        <v>0.48042263342477459</v>
      </c>
      <c r="BG5" s="22">
        <f t="shared" si="7"/>
        <v>2.6623840980288702</v>
      </c>
      <c r="BH5" s="62">
        <f t="shared" si="8"/>
        <v>173.2596653855297</v>
      </c>
      <c r="BI5" s="62">
        <f ca="1">AVERAGE(OFFSET($BH$3,0,0,'Données projet'!$E$11+1,1))-AVERAGE(OFFSET($H$3,0,0,'Données projet'!$E$11+1,1))</f>
        <v>367.11994336501527</v>
      </c>
      <c r="BJ5" s="62">
        <f t="shared" ref="BJ5:BJ68" si="38">$BJ$3</f>
        <v>390.81417197867484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8.209090909090909</v>
      </c>
      <c r="BY5" s="13">
        <f>IF('Données projet'!$A$114&gt;35,BY4+BX5-CG4,IF(A5&lt;'Données projet'!$A$114,$BV$205^A5,IF(A5='Données projet'!$A$114,'Données projet'!$B$114,BY4+BX5-CG4)))</f>
        <v>2.2676686232933747</v>
      </c>
      <c r="BZ5" s="14">
        <f>BY5*VLOOKUP('Données projet'!$B$12,Paramètres!$A$1:$I$89,3,0)*VLOOKUP('Données projet'!$B$12,Paramètres!$A$1:$I$89,5,0)</f>
        <v>1.3560658367294383</v>
      </c>
      <c r="CA5" s="14">
        <f t="shared" ref="CA5:CA68" si="39">EXP(-1.0587+0.8836*LN(BZ5)+0.284)</f>
        <v>0.60316392356270343</v>
      </c>
      <c r="CB5" s="22">
        <f t="shared" si="10"/>
        <v>3.4123251658421467</v>
      </c>
      <c r="CC5" s="62">
        <f t="shared" si="11"/>
        <v>174.00960645334297</v>
      </c>
      <c r="CD5" s="62">
        <f ca="1">AVERAGE(OFFSET($CC$3,0,0,'Données projet'!$E$12+1,1))-AVERAGE(OFFSET($H$3,0,0,'Données projet'!$E$12+1,1))</f>
        <v>396.15172163885632</v>
      </c>
      <c r="CE5" s="62">
        <f t="shared" ref="CE5:CE68" si="40">$CE$3</f>
        <v>624.94568617205198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5</v>
      </c>
      <c r="CT5" s="13">
        <f>IF('Données projet'!$A$140&gt;35,CT4+CS5-DB4,IF(A5&lt;'Données projet'!$A$140,$CQ$205^A5,IF(A5='Données projet'!$A$140,'Données projet'!$B$140,CT4+CS5-DB4)))</f>
        <v>2.1867241478865558</v>
      </c>
      <c r="CU5" s="18">
        <f>CT5*VLOOKUP('Données projet'!$B$13,Paramètres!$A$1:$I$89,3,0)*VLOOKUP('Données projet'!$B$13,Paramètres!$A$1:$I$89,5,0)</f>
        <v>1.251943309148011</v>
      </c>
      <c r="CV5" s="14">
        <f t="shared" ref="CV5:CV68" si="41">EXP(-1.0587+0.8836*LN(CU5)+0.284)</f>
        <v>0.56205378075029644</v>
      </c>
      <c r="CW5" s="22">
        <f t="shared" si="13"/>
        <v>3.1593782649062194</v>
      </c>
      <c r="CX5" s="62">
        <f t="shared" si="14"/>
        <v>173.75665955240706</v>
      </c>
      <c r="CY5" s="62">
        <f ca="1">AVERAGE(OFFSET($CX$3,0,0,'Données projet'!$E$13+1,1))-AVERAGE(OFFSET($H$3,0,0,'Données projet'!$E$13+1,1))</f>
        <v>89.800041997398182</v>
      </c>
      <c r="CZ5" s="62">
        <f t="shared" ref="CZ5:CZ68" si="42">$CZ$3</f>
        <v>286.94570078060917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177.65174746089073</v>
      </c>
      <c r="S6" s="62">
        <f ca="1">AVERAGE(OFFSET($R$3,0,0,'Données projet'!$E$9+1,1))-AVERAGE(OFFSET($H$3,0,0,'Données projet'!$E$9+1,1))</f>
        <v>367.51466260429623</v>
      </c>
      <c r="T6" s="62">
        <f t="shared" si="34"/>
        <v>297.32483725004136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projet'!$B$10,Paramètres!$A$1:$I$89,3,0)*VLOOKUP('Données projet'!$B$10,Paramètres!$A$1:$I$89,5,0)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175.8995710767951</v>
      </c>
      <c r="AN6" s="62">
        <f ca="1">AVERAGE(OFFSET($AM$3,0,0,'Données projet'!$E$10+1,1))-AVERAGE(OFFSET($H$3,0,0,'Données projet'!$E$10+1,1))</f>
        <v>188.94867378904664</v>
      </c>
      <c r="AO6" s="62">
        <f t="shared" si="36"/>
        <v>242.84781402593833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6.9411764705882355</v>
      </c>
      <c r="BD6" s="13">
        <f>IF('Données projet'!$A$88&gt;35,BD5+BC6-BL5,IF(A6&lt;'Données projet'!$A$88,$BA$205^A6,IF(A6='Données projet'!$A$88,'Données projet'!$B$88,BD5+BC6-BL5)))</f>
        <v>2.3207386577487843</v>
      </c>
      <c r="BE6" s="14">
        <f>BD6*VLOOKUP('Données projet'!$B$11,Paramètres!$A$1:$I$89,3,0)*VLOOKUP('Données projet'!$B$11,Paramètres!$A$1:$I$89,5,0)</f>
        <v>1.3878017173337731</v>
      </c>
      <c r="BF6" s="14">
        <f t="shared" si="37"/>
        <v>0.61561979180116611</v>
      </c>
      <c r="BG6" s="22">
        <f t="shared" si="7"/>
        <v>3.4892924617433518</v>
      </c>
      <c r="BH6" s="62">
        <f t="shared" si="8"/>
        <v>176.84431303162825</v>
      </c>
      <c r="BI6" s="62">
        <f ca="1">AVERAGE(OFFSET($BH$3,0,0,'Données projet'!$E$11+1,1))-AVERAGE(OFFSET($H$3,0,0,'Données projet'!$E$11+1,1))</f>
        <v>367.11994336501527</v>
      </c>
      <c r="BJ6" s="62">
        <f t="shared" si="38"/>
        <v>390.81417197867484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8.209090909090909</v>
      </c>
      <c r="BY6" s="13">
        <f>IF('Données projet'!$A$114&gt;35,BY5+BX6-CG5,IF(A6&lt;'Données projet'!$A$114,$BV$205^A6,IF(A6='Données projet'!$A$114,'Données projet'!$B$114,BY5+BX6-CG5)))</f>
        <v>3.4148323456276239</v>
      </c>
      <c r="BZ6" s="14">
        <f>BY6*VLOOKUP('Données projet'!$B$12,Paramètres!$A$1:$I$89,3,0)*VLOOKUP('Données projet'!$B$12,Paramètres!$A$1:$I$89,5,0)</f>
        <v>2.0420697426853192</v>
      </c>
      <c r="CA6" s="14">
        <f t="shared" si="39"/>
        <v>0.86602498345341927</v>
      </c>
      <c r="CB6" s="22">
        <f t="shared" si="10"/>
        <v>5.0649316480249702</v>
      </c>
      <c r="CC6" s="62">
        <f t="shared" si="11"/>
        <v>178.41995221790987</v>
      </c>
      <c r="CD6" s="62">
        <f ca="1">AVERAGE(OFFSET($CC$3,0,0,'Données projet'!$E$12+1,1))-AVERAGE(OFFSET($H$3,0,0,'Données projet'!$E$12+1,1))</f>
        <v>396.15172163885632</v>
      </c>
      <c r="CE6" s="62">
        <f t="shared" si="40"/>
        <v>624.94568617205198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5</v>
      </c>
      <c r="CT6" s="13">
        <f>IF('Données projet'!$A$140&gt;35,CT5+CS6-DB5,IF(A6&lt;'Données projet'!$A$140,$CQ$205^A6,IF(A6='Données projet'!$A$140,'Données projet'!$B$140,CT5+CS6-DB5)))</f>
        <v>3.2336350328867862</v>
      </c>
      <c r="CU6" s="18">
        <f>CT6*VLOOKUP('Données projet'!$B$13,Paramètres!$A$1:$I$89,3,0)*VLOOKUP('Données projet'!$B$13,Paramètres!$A$1:$I$89,5,0)</f>
        <v>1.8513207290283429</v>
      </c>
      <c r="CV6" s="14">
        <f t="shared" si="41"/>
        <v>0.79414327602305923</v>
      </c>
      <c r="CW6" s="22">
        <f t="shared" si="13"/>
        <v>4.607516475464525</v>
      </c>
      <c r="CX6" s="62">
        <f t="shared" si="14"/>
        <v>177.96253704534942</v>
      </c>
      <c r="CY6" s="62">
        <f ca="1">AVERAGE(OFFSET($CX$3,0,0,'Données projet'!$E$13+1,1))-AVERAGE(OFFSET($H$3,0,0,'Données projet'!$E$13+1,1))</f>
        <v>89.800041997398182</v>
      </c>
      <c r="CZ6" s="62">
        <f t="shared" si="42"/>
        <v>286.94570078060917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181.37127654212841</v>
      </c>
      <c r="S7" s="62">
        <f ca="1">AVERAGE(OFFSET($R$3,0,0,'Données projet'!$E$9+1,1))-AVERAGE(OFFSET($H$3,0,0,'Données projet'!$E$9+1,1))</f>
        <v>367.51466260429623</v>
      </c>
      <c r="T7" s="62">
        <f t="shared" si="34"/>
        <v>297.32483725004136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projet'!$B$10,Paramètres!$A$1:$I$89,3,0)*VLOOKUP('Données projet'!$B$10,Paramètres!$A$1:$I$89,5,0)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179.33361187542249</v>
      </c>
      <c r="AN7" s="62">
        <f ca="1">AVERAGE(OFFSET($AM$3,0,0,'Données projet'!$E$10+1,1))-AVERAGE(OFFSET($H$3,0,0,'Données projet'!$E$10+1,1))</f>
        <v>188.94867378904664</v>
      </c>
      <c r="AO7" s="62">
        <f t="shared" si="36"/>
        <v>242.84781402593833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6.9411764705882355</v>
      </c>
      <c r="BD7" s="13">
        <f>IF('Données projet'!$A$88&gt;35,BD6+BC7-BL6,IF(A7&lt;'Données projet'!$A$88,$BA$205^A7,IF(A7='Données projet'!$A$88,'Données projet'!$B$88,BD6+BC7-BL6)))</f>
        <v>3.0725690301044271</v>
      </c>
      <c r="BE7" s="14">
        <f>BD7*VLOOKUP('Données projet'!$B$11,Paramètres!$A$1:$I$89,3,0)*VLOOKUP('Données projet'!$B$11,Paramètres!$A$1:$I$89,5,0)</f>
        <v>1.8373962800024475</v>
      </c>
      <c r="BF7" s="14">
        <f t="shared" si="37"/>
        <v>0.78886318355909346</v>
      </c>
      <c r="BG7" s="22">
        <f t="shared" si="7"/>
        <v>4.5740685657030165</v>
      </c>
      <c r="BH7" s="62">
        <f t="shared" si="8"/>
        <v>180.66019062987996</v>
      </c>
      <c r="BI7" s="62">
        <f ca="1">AVERAGE(OFFSET($BH$3,0,0,'Données projet'!$E$11+1,1))-AVERAGE(OFFSET($H$3,0,0,'Données projet'!$E$11+1,1))</f>
        <v>367.11994336501527</v>
      </c>
      <c r="BJ7" s="62">
        <f t="shared" si="38"/>
        <v>390.81417197867484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8.209090909090909</v>
      </c>
      <c r="BY7" s="13">
        <f>IF('Données projet'!$A$114&gt;35,BY6+BX7-CG6,IF(A7&lt;'Données projet'!$A$114,$BV$205^A7,IF(A7='Données projet'!$A$114,'Données projet'!$B$114,BY6+BX7-CG6)))</f>
        <v>5.1423209850692695</v>
      </c>
      <c r="BZ7" s="14">
        <f>BY7*VLOOKUP('Données projet'!$B$12,Paramètres!$A$1:$I$89,3,0)*VLOOKUP('Données projet'!$B$12,Paramètres!$A$1:$I$89,5,0)</f>
        <v>3.0751079490714233</v>
      </c>
      <c r="CA7" s="14">
        <f t="shared" si="39"/>
        <v>1.243441861601206</v>
      </c>
      <c r="CB7" s="22">
        <f t="shared" si="10"/>
        <v>7.5214742535881634</v>
      </c>
      <c r="CC7" s="62">
        <f t="shared" si="11"/>
        <v>183.60759631776511</v>
      </c>
      <c r="CD7" s="62">
        <f ca="1">AVERAGE(OFFSET($CC$3,0,0,'Données projet'!$E$12+1,1))-AVERAGE(OFFSET($H$3,0,0,'Données projet'!$E$12+1,1))</f>
        <v>396.15172163885632</v>
      </c>
      <c r="CE7" s="62">
        <f t="shared" si="40"/>
        <v>624.94568617205198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5</v>
      </c>
      <c r="CT7" s="13">
        <f>IF('Données projet'!$A$140&gt;35,CT6+CS7-DB6,IF(A7&lt;'Données projet'!$A$140,$CQ$205^A7,IF(A7='Données projet'!$A$140,'Données projet'!$B$140,CT6+CS7-DB6)))</f>
        <v>4.7817624989501839</v>
      </c>
      <c r="CU7" s="18">
        <f>CT7*VLOOKUP('Données projet'!$B$13,Paramètres!$A$1:$I$89,3,0)*VLOOKUP('Données projet'!$B$13,Paramètres!$A$1:$I$89,5,0)</f>
        <v>2.7376546658989591</v>
      </c>
      <c r="CV7" s="14">
        <f t="shared" si="41"/>
        <v>1.1220697457292288</v>
      </c>
      <c r="CW7" s="22">
        <f t="shared" si="13"/>
        <v>6.7223533502524271</v>
      </c>
      <c r="CX7" s="62">
        <f t="shared" si="14"/>
        <v>182.80847541442938</v>
      </c>
      <c r="CY7" s="62">
        <f ca="1">AVERAGE(OFFSET($CX$3,0,0,'Données projet'!$E$13+1,1))-AVERAGE(OFFSET($H$3,0,0,'Données projet'!$E$13+1,1))</f>
        <v>89.800041997398182</v>
      </c>
      <c r="CZ7" s="62">
        <f t="shared" si="42"/>
        <v>286.94570078060917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185.29285571551281</v>
      </c>
      <c r="S8" s="62">
        <f ca="1">AVERAGE(OFFSET($R$3,0,0,'Données projet'!$E$9+1,1))-AVERAGE(OFFSET($H$3,0,0,'Données projet'!$E$9+1,1))</f>
        <v>367.51466260429623</v>
      </c>
      <c r="T8" s="62">
        <f t="shared" si="34"/>
        <v>297.32483725004136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projet'!$B$10,Paramètres!$A$1:$I$89,3,0)*VLOOKUP('Données projet'!$B$10,Paramètres!$A$1:$I$89,5,0)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182.93643447861868</v>
      </c>
      <c r="AN8" s="62">
        <f ca="1">AVERAGE(OFFSET($AM$3,0,0,'Données projet'!$E$10+1,1))-AVERAGE(OFFSET($H$3,0,0,'Données projet'!$E$10+1,1))</f>
        <v>188.94867378904664</v>
      </c>
      <c r="AO8" s="62">
        <f t="shared" si="36"/>
        <v>242.84781402593833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6.9411764705882355</v>
      </c>
      <c r="BD8" s="13">
        <f>IF('Données projet'!$A$88&gt;35,BD7+BC8-BL7,IF(A8&lt;'Données projet'!$A$88,$BA$205^A8,IF(A8='Données projet'!$A$88,'Données projet'!$B$88,BD7+BC8-BL7)))</f>
        <v>4.0679636258202043</v>
      </c>
      <c r="BE8" s="14">
        <f>BD8*VLOOKUP('Données projet'!$B$11,Paramètres!$A$1:$I$89,3,0)*VLOOKUP('Données projet'!$B$11,Paramètres!$A$1:$I$89,5,0)</f>
        <v>2.4326422482404824</v>
      </c>
      <c r="BF8" s="14">
        <f t="shared" si="37"/>
        <v>1.0108595120931088</v>
      </c>
      <c r="BG8" s="22">
        <f t="shared" si="7"/>
        <v>5.9974322325810041</v>
      </c>
      <c r="BH8" s="62">
        <f t="shared" si="8"/>
        <v>184.78848010902834</v>
      </c>
      <c r="BI8" s="62">
        <f ca="1">AVERAGE(OFFSET($BH$3,0,0,'Données projet'!$E$11+1,1))-AVERAGE(OFFSET($H$3,0,0,'Données projet'!$E$11+1,1))</f>
        <v>367.11994336501527</v>
      </c>
      <c r="BJ8" s="62">
        <f t="shared" si="38"/>
        <v>390.81417197867484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8.209090909090909</v>
      </c>
      <c r="BY8" s="13">
        <f>IF('Données projet'!$A$114&gt;35,BY7+BX8-CG7,IF(A8&lt;'Données projet'!$A$114,$BV$205^A8,IF(A8='Données projet'!$A$114,'Données projet'!$B$114,BY7+BX8-CG7)))</f>
        <v>7.7437081639870797</v>
      </c>
      <c r="BZ8" s="14">
        <f>BY8*VLOOKUP('Données projet'!$B$12,Paramètres!$A$1:$I$89,3,0)*VLOOKUP('Données projet'!$B$12,Paramètres!$A$1:$I$89,5,0)</f>
        <v>4.6307374820642746</v>
      </c>
      <c r="CA8" s="14">
        <f t="shared" si="39"/>
        <v>1.7853384056159098</v>
      </c>
      <c r="CB8" s="22">
        <f t="shared" si="10"/>
        <v>11.174665504376321</v>
      </c>
      <c r="CC8" s="62">
        <f t="shared" si="11"/>
        <v>189.96571338082367</v>
      </c>
      <c r="CD8" s="62">
        <f ca="1">AVERAGE(OFFSET($CC$3,0,0,'Données projet'!$E$12+1,1))-AVERAGE(OFFSET($H$3,0,0,'Données projet'!$E$12+1,1))</f>
        <v>396.15172163885632</v>
      </c>
      <c r="CE8" s="62">
        <f t="shared" si="40"/>
        <v>624.94568617205198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5</v>
      </c>
      <c r="CT8" s="13">
        <f>IF('Données projet'!$A$140&gt;35,CT7+CS8-DB7,IF(A8&lt;'Données projet'!$A$140,$CQ$205^A8,IF(A8='Données projet'!$A$140,'Données projet'!$B$140,CT7+CS8-DB7)))</f>
        <v>7.0710678118654737</v>
      </c>
      <c r="CU8" s="18">
        <f>CT8*VLOOKUP('Données projet'!$B$13,Paramètres!$A$1:$I$89,3,0)*VLOOKUP('Données projet'!$B$13,Paramètres!$A$1:$I$89,5,0)</f>
        <v>4.0483277436492209</v>
      </c>
      <c r="CV8" s="14">
        <f t="shared" si="41"/>
        <v>1.5854072587328663</v>
      </c>
      <c r="CW8" s="22">
        <f t="shared" si="13"/>
        <v>9.8120884624821354</v>
      </c>
      <c r="CX8" s="62">
        <f t="shared" si="14"/>
        <v>188.60313633892949</v>
      </c>
      <c r="CY8" s="62">
        <f ca="1">AVERAGE(OFFSET($CX$3,0,0,'Données projet'!$E$13+1,1))-AVERAGE(OFFSET($H$3,0,0,'Données projet'!$E$13+1,1))</f>
        <v>89.800041997398182</v>
      </c>
      <c r="CZ8" s="62">
        <f t="shared" si="42"/>
        <v>286.94570078060917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189.46981953956174</v>
      </c>
      <c r="S9" s="62">
        <f ca="1">AVERAGE(OFFSET($R$3,0,0,'Données projet'!$E$9+1,1))-AVERAGE(OFFSET($H$3,0,0,'Données projet'!$E$9+1,1))</f>
        <v>367.51466260429623</v>
      </c>
      <c r="T9" s="62">
        <f t="shared" si="34"/>
        <v>297.32483725004136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projet'!$B$10,Paramètres!$A$1:$I$89,3,0)*VLOOKUP('Données projet'!$B$10,Paramètres!$A$1:$I$89,5,0)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186.76276453247874</v>
      </c>
      <c r="AN9" s="62">
        <f ca="1">AVERAGE(OFFSET($AM$3,0,0,'Données projet'!$E$10+1,1))-AVERAGE(OFFSET($H$3,0,0,'Données projet'!$E$10+1,1))</f>
        <v>188.94867378904664</v>
      </c>
      <c r="AO9" s="62">
        <f t="shared" si="36"/>
        <v>242.84781402593833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6.9411764705882355</v>
      </c>
      <c r="BD9" s="13">
        <f>IF('Données projet'!$A$88&gt;35,BD8+BC9-BL8,IF(A9&lt;'Données projet'!$A$88,$BA$205^A9,IF(A9='Données projet'!$A$88,'Données projet'!$B$88,BD8+BC9-BL8)))</f>
        <v>5.38582791756963</v>
      </c>
      <c r="BE9" s="14">
        <f>BD9*VLOOKUP('Données projet'!$B$11,Paramètres!$A$1:$I$89,3,0)*VLOOKUP('Données projet'!$B$11,Paramètres!$A$1:$I$89,5,0)</f>
        <v>3.2207250947066388</v>
      </c>
      <c r="BF9" s="14">
        <f t="shared" si="37"/>
        <v>1.2953284859599137</v>
      </c>
      <c r="BG9" s="22">
        <f t="shared" si="7"/>
        <v>7.8654599863275783</v>
      </c>
      <c r="BH9" s="62">
        <f t="shared" si="8"/>
        <v>189.33571208258655</v>
      </c>
      <c r="BI9" s="62">
        <f ca="1">AVERAGE(OFFSET($BH$3,0,0,'Données projet'!$E$11+1,1))-AVERAGE(OFFSET($H$3,0,0,'Données projet'!$E$11+1,1))</f>
        <v>367.11994336501527</v>
      </c>
      <c r="BJ9" s="62">
        <f t="shared" si="38"/>
        <v>390.81417197867484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8.209090909090909</v>
      </c>
      <c r="BY9" s="13">
        <f>IF('Données projet'!$A$114&gt;35,BY8+BX9-CG8,IF(A9&lt;'Données projet'!$A$114,$BV$205^A9,IF(A9='Données projet'!$A$114,'Données projet'!$B$114,BY8+BX9-CG8)))</f>
        <v>11.661079948744661</v>
      </c>
      <c r="BZ9" s="14">
        <f>BY9*VLOOKUP('Données projet'!$B$12,Paramètres!$A$1:$I$89,3,0)*VLOOKUP('Données projet'!$B$12,Paramètres!$A$1:$I$89,5,0)</f>
        <v>6.9733258093493076</v>
      </c>
      <c r="CA9" s="14">
        <f t="shared" si="39"/>
        <v>2.5633954598107502</v>
      </c>
      <c r="CB9" s="22">
        <f t="shared" si="10"/>
        <v>16.609789543787098</v>
      </c>
      <c r="CC9" s="62">
        <f t="shared" si="11"/>
        <v>198.08004164004606</v>
      </c>
      <c r="CD9" s="62">
        <f ca="1">AVERAGE(OFFSET($CC$3,0,0,'Données projet'!$E$12+1,1))-AVERAGE(OFFSET($H$3,0,0,'Données projet'!$E$12+1,1))</f>
        <v>396.15172163885632</v>
      </c>
      <c r="CE9" s="62">
        <f t="shared" si="40"/>
        <v>624.94568617205198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5</v>
      </c>
      <c r="CT9" s="13">
        <f>IF('Données projet'!$A$140&gt;35,CT8+CS9-DB8,IF(A9&lt;'Données projet'!$A$140,$CQ$205^A9,IF(A9='Données projet'!$A$140,'Données projet'!$B$140,CT8+CS9-DB8)))</f>
        <v>10.456395525912729</v>
      </c>
      <c r="CU9" s="18">
        <f>CT9*VLOOKUP('Données projet'!$B$13,Paramètres!$A$1:$I$89,3,0)*VLOOKUP('Données projet'!$B$13,Paramètres!$A$1:$I$89,5,0)</f>
        <v>5.986495566495555</v>
      </c>
      <c r="CV9" s="14">
        <f t="shared" si="41"/>
        <v>2.2400712483423542</v>
      </c>
      <c r="CW9" s="22">
        <f t="shared" si="13"/>
        <v>14.327937202509355</v>
      </c>
      <c r="CX9" s="62">
        <f t="shared" si="14"/>
        <v>195.79818929876834</v>
      </c>
      <c r="CY9" s="62">
        <f ca="1">AVERAGE(OFFSET($CX$3,0,0,'Données projet'!$E$13+1,1))-AVERAGE(OFFSET($H$3,0,0,'Données projet'!$E$13+1,1))</f>
        <v>89.800041997398182</v>
      </c>
      <c r="CZ9" s="62">
        <f t="shared" si="42"/>
        <v>286.94570078060917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193.96778694515905</v>
      </c>
      <c r="S10" s="62">
        <f ca="1">AVERAGE(OFFSET($R$3,0,0,'Données projet'!$E$9+1,1))-AVERAGE(OFFSET($H$3,0,0,'Données projet'!$E$9+1,1))</f>
        <v>367.51466260429623</v>
      </c>
      <c r="T10" s="62">
        <f t="shared" si="34"/>
        <v>297.32483725004136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projet'!$B$10,Paramètres!$A$1:$I$89,3,0)*VLOOKUP('Données projet'!$B$10,Paramètres!$A$1:$I$89,5,0)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190.88248001211113</v>
      </c>
      <c r="AN10" s="62">
        <f ca="1">AVERAGE(OFFSET($AM$3,0,0,'Données projet'!$E$10+1,1))-AVERAGE(OFFSET($H$3,0,0,'Données projet'!$E$10+1,1))</f>
        <v>188.94867378904664</v>
      </c>
      <c r="AO10" s="62">
        <f t="shared" si="36"/>
        <v>242.84781402593833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6.9411764705882355</v>
      </c>
      <c r="BD10" s="13">
        <f>IF('Données projet'!$A$88&gt;35,BD9+BC10-BL9,IF(A10&lt;'Données projet'!$A$88,$BA$205^A10,IF(A10='Données projet'!$A$88,'Données projet'!$B$88,BD9+BC10-BL9)))</f>
        <v>7.130629726765032</v>
      </c>
      <c r="BE10" s="14">
        <f>BD10*VLOOKUP('Données projet'!$B$11,Paramètres!$A$1:$I$89,3,0)*VLOOKUP('Données projet'!$B$11,Paramètres!$A$1:$I$89,5,0)</f>
        <v>4.26411657660549</v>
      </c>
      <c r="BF10" s="14">
        <f t="shared" si="37"/>
        <v>1.6598507175986843</v>
      </c>
      <c r="BG10" s="22">
        <f t="shared" si="7"/>
        <v>10.317576370738935</v>
      </c>
      <c r="BH10" s="62">
        <f t="shared" si="8"/>
        <v>194.44175730647518</v>
      </c>
      <c r="BI10" s="62">
        <f ca="1">AVERAGE(OFFSET($BH$3,0,0,'Données projet'!$E$11+1,1))-AVERAGE(OFFSET($H$3,0,0,'Données projet'!$E$11+1,1))</f>
        <v>367.11994336501527</v>
      </c>
      <c r="BJ10" s="62">
        <f t="shared" si="38"/>
        <v>390.81417197867484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8.209090909090909</v>
      </c>
      <c r="BY10" s="13">
        <f>IF('Données projet'!$A$114&gt;35,BY9+BX10-CG9,IF(A10&lt;'Données projet'!$A$114,$BV$205^A10,IF(A10='Données projet'!$A$114,'Données projet'!$B$114,BY9+BX10-CG9)))</f>
        <v>17.560164031414246</v>
      </c>
      <c r="BZ10" s="14">
        <f>BY10*VLOOKUP('Données projet'!$B$12,Paramètres!$A$1:$I$89,3,0)*VLOOKUP('Données projet'!$B$12,Paramètres!$A$1:$I$89,5,0)</f>
        <v>10.500978090785718</v>
      </c>
      <c r="CA10" s="14">
        <f t="shared" si="39"/>
        <v>3.6805326445164837</v>
      </c>
      <c r="CB10" s="22">
        <f t="shared" si="10"/>
        <v>24.699464530651337</v>
      </c>
      <c r="CC10" s="62">
        <f t="shared" si="11"/>
        <v>208.82364546638757</v>
      </c>
      <c r="CD10" s="62">
        <f ca="1">AVERAGE(OFFSET($CC$3,0,0,'Données projet'!$E$12+1,1))-AVERAGE(OFFSET($H$3,0,0,'Données projet'!$E$12+1,1))</f>
        <v>396.15172163885632</v>
      </c>
      <c r="CE10" s="62">
        <f t="shared" si="40"/>
        <v>624.94568617205198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5</v>
      </c>
      <c r="CT10" s="13">
        <f>IF('Données projet'!$A$140&gt;35,CT9+CS10-DB9,IF(A10&lt;'Données projet'!$A$140,$CQ$205^A10,IF(A10='Données projet'!$A$140,'Données projet'!$B$140,CT9+CS10-DB9)))</f>
        <v>15.462474735549579</v>
      </c>
      <c r="CU10" s="18">
        <f>CT10*VLOOKUP('Données projet'!$B$13,Paramètres!$A$1:$I$89,3,0)*VLOOKUP('Données projet'!$B$13,Paramètres!$A$1:$I$89,5,0)</f>
        <v>8.8525760355968455</v>
      </c>
      <c r="CV10" s="14">
        <f t="shared" si="41"/>
        <v>3.1650663701771089</v>
      </c>
      <c r="CW10" s="22">
        <f t="shared" si="13"/>
        <v>20.930727190056306</v>
      </c>
      <c r="CX10" s="62">
        <f t="shared" si="14"/>
        <v>205.05490812579254</v>
      </c>
      <c r="CY10" s="62">
        <f ca="1">AVERAGE(OFFSET($CX$3,0,0,'Données projet'!$E$13+1,1))-AVERAGE(OFFSET($H$3,0,0,'Données projet'!$E$13+1,1))</f>
        <v>89.800041997398182</v>
      </c>
      <c r="CZ10" s="62">
        <f t="shared" si="42"/>
        <v>286.94570078060917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198.86752730846644</v>
      </c>
      <c r="S11" s="62">
        <f ca="1">AVERAGE(OFFSET($R$3,0,0,'Données projet'!$E$9+1,1))-AVERAGE(OFFSET($H$3,0,0,'Données projet'!$E$9+1,1))</f>
        <v>367.51466260429623</v>
      </c>
      <c r="T11" s="62">
        <f t="shared" si="34"/>
        <v>297.32483725004136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projet'!$B$10,Paramètres!$A$1:$I$89,3,0)*VLOOKUP('Données projet'!$B$10,Paramètres!$A$1:$I$89,5,0)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195.38485976905437</v>
      </c>
      <c r="AN11" s="62">
        <f ca="1">AVERAGE(OFFSET($AM$3,0,0,'Données projet'!$E$10+1,1))-AVERAGE(OFFSET($H$3,0,0,'Données projet'!$E$10+1,1))</f>
        <v>188.94867378904664</v>
      </c>
      <c r="AO11" s="62">
        <f t="shared" si="36"/>
        <v>242.84781402593833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6.9411764705882355</v>
      </c>
      <c r="BD11" s="13">
        <f>IF('Données projet'!$A$88&gt;35,BD10+BC11-BL10,IF(A11&lt;'Données projet'!$A$88,$BA$205^A11,IF(A11='Données projet'!$A$88,'Données projet'!$B$88,BD10+BC11-BL10)))</f>
        <v>9.4406804447568593</v>
      </c>
      <c r="BE11" s="14">
        <f>BD11*VLOOKUP('Données projet'!$B$11,Paramètres!$A$1:$I$89,3,0)*VLOOKUP('Données projet'!$B$11,Paramètres!$A$1:$I$89,5,0)</f>
        <v>5.6455269059646023</v>
      </c>
      <c r="BF11" s="14">
        <f t="shared" si="37"/>
        <v>2.1269542317454508</v>
      </c>
      <c r="BG11" s="22">
        <f t="shared" si="7"/>
        <v>13.53707131484501</v>
      </c>
      <c r="BH11" s="62">
        <f t="shared" si="8"/>
        <v>200.29034418106556</v>
      </c>
      <c r="BI11" s="62">
        <f ca="1">AVERAGE(OFFSET($BH$3,0,0,'Données projet'!$E$11+1,1))-AVERAGE(OFFSET($H$3,0,0,'Données projet'!$E$11+1,1))</f>
        <v>367.11994336501527</v>
      </c>
      <c r="BJ11" s="62">
        <f t="shared" si="38"/>
        <v>390.81417197867484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8.209090909090909</v>
      </c>
      <c r="BY11" s="13">
        <f>IF('Données projet'!$A$114&gt;35,BY10+BX11-CG10,IF(A11&lt;'Données projet'!$A$114,$BV$205^A11,IF(A11='Données projet'!$A$114,'Données projet'!$B$114,BY10+BX11-CG10)))</f>
        <v>26.443465113483782</v>
      </c>
      <c r="BZ11" s="14">
        <f>BY11*VLOOKUP('Données projet'!$B$12,Paramètres!$A$1:$I$89,3,0)*VLOOKUP('Données projet'!$B$12,Paramètres!$A$1:$I$89,5,0)</f>
        <v>15.813192137863304</v>
      </c>
      <c r="CA11" s="14">
        <f t="shared" si="39"/>
        <v>5.2845223297507129</v>
      </c>
      <c r="CB11" s="22">
        <f t="shared" si="10"/>
        <v>36.745186031094413</v>
      </c>
      <c r="CC11" s="62">
        <f t="shared" si="11"/>
        <v>223.49845889731498</v>
      </c>
      <c r="CD11" s="62">
        <f ca="1">AVERAGE(OFFSET($CC$3,0,0,'Données projet'!$E$12+1,1))-AVERAGE(OFFSET($H$3,0,0,'Données projet'!$E$12+1,1))</f>
        <v>396.15172163885632</v>
      </c>
      <c r="CE11" s="62">
        <f t="shared" si="40"/>
        <v>624.94568617205198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5</v>
      </c>
      <c r="CT11" s="13">
        <f>IF('Données projet'!$A$140&gt;35,CT10+CS11-DB10,IF(A11&lt;'Données projet'!$A$140,$CQ$205^A11,IF(A11='Données projet'!$A$140,'Données projet'!$B$140,CT10+CS11-DB10)))</f>
        <v>22.865252596366307</v>
      </c>
      <c r="CU11" s="18">
        <f>CT11*VLOOKUP('Données projet'!$B$13,Paramètres!$A$1:$I$89,3,0)*VLOOKUP('Données projet'!$B$13,Paramètres!$A$1:$I$89,5,0)</f>
        <v>13.090814416471638</v>
      </c>
      <c r="CV11" s="14">
        <f t="shared" si="41"/>
        <v>4.4720207605178306</v>
      </c>
      <c r="CW11" s="22">
        <f t="shared" si="13"/>
        <v>30.588604599923318</v>
      </c>
      <c r="CX11" s="62">
        <f t="shared" si="14"/>
        <v>217.34187746614387</v>
      </c>
      <c r="CY11" s="62">
        <f ca="1">AVERAGE(OFFSET($CX$3,0,0,'Données projet'!$E$13+1,1))-AVERAGE(OFFSET($H$3,0,0,'Données projet'!$E$13+1,1))</f>
        <v>89.800041997398182</v>
      </c>
      <c r="CZ11" s="62">
        <f t="shared" si="42"/>
        <v>286.94570078060917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204.26849655299031</v>
      </c>
      <c r="S12" s="62">
        <f ca="1">AVERAGE(OFFSET($R$3,0,0,'Données projet'!$E$9+1,1))-AVERAGE(OFFSET($H$3,0,0,'Données projet'!$E$9+1,1))</f>
        <v>367.51466260429623</v>
      </c>
      <c r="T12" s="62">
        <f t="shared" si="34"/>
        <v>297.32483725004136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projet'!$B$10,Paramètres!$A$1:$I$89,3,0)*VLOOKUP('Données projet'!$B$10,Paramètres!$A$1:$I$89,5,0)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200.38402613222581</v>
      </c>
      <c r="AN12" s="62">
        <f ca="1">AVERAGE(OFFSET($AM$3,0,0,'Données projet'!$E$10+1,1))-AVERAGE(OFFSET($H$3,0,0,'Données projet'!$E$10+1,1))</f>
        <v>188.94867378904664</v>
      </c>
      <c r="AO12" s="62">
        <f t="shared" si="36"/>
        <v>242.84781402593833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6.9411764705882355</v>
      </c>
      <c r="BD12" s="13">
        <f>IF('Données projet'!$A$88&gt;35,BD11+BC12-BL11,IF(A12&lt;'Données projet'!$A$88,$BA$205^A12,IF(A12='Données projet'!$A$88,'Données projet'!$B$88,BD11+BC12-BL11)))</f>
        <v>12.499099052286473</v>
      </c>
      <c r="BE12" s="14">
        <f>BD12*VLOOKUP('Données projet'!$B$11,Paramètres!$A$1:$I$89,3,0)*VLOOKUP('Données projet'!$B$11,Paramètres!$A$1:$I$89,5,0)</f>
        <v>7.474461233267311</v>
      </c>
      <c r="BF12" s="14">
        <f t="shared" si="37"/>
        <v>2.7255067314033421</v>
      </c>
      <c r="BG12" s="22">
        <f t="shared" si="7"/>
        <v>17.764944205134721</v>
      </c>
      <c r="BH12" s="62">
        <f t="shared" si="8"/>
        <v>207.1229029576908</v>
      </c>
      <c r="BI12" s="62">
        <f ca="1">AVERAGE(OFFSET($BH$3,0,0,'Données projet'!$E$11+1,1))-AVERAGE(OFFSET($H$3,0,0,'Données projet'!$E$11+1,1))</f>
        <v>367.11994336501527</v>
      </c>
      <c r="BJ12" s="62">
        <f t="shared" si="38"/>
        <v>390.81417197867484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8.209090909090909</v>
      </c>
      <c r="BY12" s="13">
        <f>IF('Données projet'!$A$114&gt;35,BY11+BX12-CG11,IF(A12&lt;'Données projet'!$A$114,$BV$205^A12,IF(A12='Données projet'!$A$114,'Données projet'!$B$114,BY11+BX12-CG11)))</f>
        <v>39.820632993922985</v>
      </c>
      <c r="BZ12" s="14">
        <f>BY12*VLOOKUP('Données projet'!$B$12,Paramètres!$A$1:$I$89,3,0)*VLOOKUP('Données projet'!$B$12,Paramètres!$A$1:$I$89,5,0)</f>
        <v>23.812738530365944</v>
      </c>
      <c r="CA12" s="14">
        <f t="shared" si="39"/>
        <v>7.5875366287649353</v>
      </c>
      <c r="CB12" s="22">
        <f t="shared" si="10"/>
        <v>54.688812568819607</v>
      </c>
      <c r="CC12" s="62">
        <f t="shared" si="11"/>
        <v>244.04677132137567</v>
      </c>
      <c r="CD12" s="62">
        <f ca="1">AVERAGE(OFFSET($CC$3,0,0,'Données projet'!$E$12+1,1))-AVERAGE(OFFSET($H$3,0,0,'Données projet'!$E$12+1,1))</f>
        <v>396.15172163885632</v>
      </c>
      <c r="CE12" s="62">
        <f t="shared" si="40"/>
        <v>624.94568617205198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5</v>
      </c>
      <c r="CT12" s="13">
        <f>IF('Données projet'!$A$140&gt;35,CT11+CS12-DB11,IF(A12&lt;'Données projet'!$A$140,$CQ$205^A12,IF(A12='Données projet'!$A$140,'Données projet'!$B$140,CT11+CS12-DB11)))</f>
        <v>33.812166890312056</v>
      </c>
      <c r="CU12" s="18">
        <f>CT12*VLOOKUP('Données projet'!$B$13,Paramètres!$A$1:$I$89,3,0)*VLOOKUP('Données projet'!$B$13,Paramètres!$A$1:$I$89,5,0)</f>
        <v>19.358141788041458</v>
      </c>
      <c r="CV12" s="14">
        <f t="shared" si="41"/>
        <v>6.3186572866032433</v>
      </c>
      <c r="CW12" s="22">
        <f t="shared" si="13"/>
        <v>44.720425055006189</v>
      </c>
      <c r="CX12" s="62">
        <f t="shared" si="14"/>
        <v>234.07838380756226</v>
      </c>
      <c r="CY12" s="62">
        <f ca="1">AVERAGE(OFFSET($CX$3,0,0,'Données projet'!$E$13+1,1))-AVERAGE(OFFSET($H$3,0,0,'Données projet'!$E$13+1,1))</f>
        <v>89.800041997398182</v>
      </c>
      <c r="CZ12" s="62">
        <f t="shared" si="42"/>
        <v>286.94570078060917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210.29320032238616</v>
      </c>
      <c r="S13" s="62">
        <f ca="1">AVERAGE(OFFSET($R$3,0,0,'Données projet'!$E$9+1,1))-AVERAGE(OFFSET($H$3,0,0,'Données projet'!$E$9+1,1))</f>
        <v>367.51466260429623</v>
      </c>
      <c r="T13" s="62">
        <f t="shared" si="34"/>
        <v>297.32483725004136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projet'!$B$10,Paramètres!$A$1:$I$89,3,0)*VLOOKUP('Données projet'!$B$10,Paramètres!$A$1:$I$89,5,0)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206.02591806621032</v>
      </c>
      <c r="AN13" s="62">
        <f ca="1">AVERAGE(OFFSET($AM$3,0,0,'Données projet'!$E$10+1,1))-AVERAGE(OFFSET($H$3,0,0,'Données projet'!$E$10+1,1))</f>
        <v>188.94867378904664</v>
      </c>
      <c r="AO13" s="62">
        <f t="shared" si="36"/>
        <v>242.84781402593833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6.9411764705882355</v>
      </c>
      <c r="BD13" s="13">
        <f>IF('Données projet'!$A$88&gt;35,BD12+BC13-BL12,IF(A13&lt;'Données projet'!$A$88,$BA$205^A13,IF(A13='Données projet'!$A$88,'Données projet'!$B$88,BD12+BC13-BL12)))</f>
        <v>16.548328060996262</v>
      </c>
      <c r="BE13" s="14">
        <f>BD13*VLOOKUP('Données projet'!$B$11,Paramètres!$A$1:$I$89,3,0)*VLOOKUP('Données projet'!$B$11,Paramètres!$A$1:$I$89,5,0)</f>
        <v>9.8959001804757651</v>
      </c>
      <c r="BF13" s="14">
        <f t="shared" si="37"/>
        <v>3.4924996655094662</v>
      </c>
      <c r="BG13" s="22">
        <f t="shared" si="7"/>
        <v>23.318129731757608</v>
      </c>
      <c r="BH13" s="62">
        <f t="shared" si="8"/>
        <v>215.2567917168025</v>
      </c>
      <c r="BI13" s="62">
        <f ca="1">AVERAGE(OFFSET($BH$3,0,0,'Données projet'!$E$11+1,1))-AVERAGE(OFFSET($H$3,0,0,'Données projet'!$E$11+1,1))</f>
        <v>367.11994336501527</v>
      </c>
      <c r="BJ13" s="62">
        <f t="shared" si="38"/>
        <v>390.81417197867484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8.209090909090909</v>
      </c>
      <c r="BY13" s="13">
        <f>IF('Données projet'!$A$114&gt;35,BY12+BX13-CG12,IF(A13&lt;'Données projet'!$A$114,$BV$205^A13,IF(A13='Données projet'!$A$114,'Données projet'!$B$114,BY12+BX13-CG12)))</f>
        <v>59.965016129000148</v>
      </c>
      <c r="BZ13" s="14">
        <f>BY13*VLOOKUP('Données projet'!$B$12,Paramètres!$A$1:$I$89,3,0)*VLOOKUP('Données projet'!$B$12,Paramètres!$A$1:$I$89,5,0)</f>
        <v>35.859079645142089</v>
      </c>
      <c r="CA13" s="14">
        <f t="shared" si="39"/>
        <v>10.894213043388799</v>
      </c>
      <c r="CB13" s="22">
        <f t="shared" si="10"/>
        <v>81.428651432524632</v>
      </c>
      <c r="CC13" s="62">
        <f t="shared" si="11"/>
        <v>273.36731341756951</v>
      </c>
      <c r="CD13" s="62">
        <f ca="1">AVERAGE(OFFSET($CC$3,0,0,'Données projet'!$E$12+1,1))-AVERAGE(OFFSET($H$3,0,0,'Données projet'!$E$12+1,1))</f>
        <v>396.15172163885632</v>
      </c>
      <c r="CE13" s="62">
        <f t="shared" si="40"/>
        <v>624.94568617205198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50</v>
      </c>
      <c r="CR13" s="13">
        <f>VLOOKUP(A13,'Données projet'!$A$139:$I$159,9,0)</f>
        <v>5</v>
      </c>
      <c r="CS13" s="13">
        <f t="array" ref="CS13">INDEX(CR:CR,MIN(IF(ISNUMBER(CR13:CR209),ROW(CR13:CR209),"")))</f>
        <v>5</v>
      </c>
      <c r="CT13" s="13">
        <f>IF('Données projet'!$A$140&gt;35,CT12+CS13-DB12,IF(A13&lt;'Données projet'!$A$140,$CQ$205^A13,IF(A13='Données projet'!$A$140,'Données projet'!$B$140,CT12+CS13-DB12)))</f>
        <v>50</v>
      </c>
      <c r="CU13" s="18">
        <f>CT13*VLOOKUP('Données projet'!$B$13,Paramètres!$A$1:$I$89,3,0)*VLOOKUP('Données projet'!$B$13,Paramètres!$A$1:$I$89,5,0)</f>
        <v>28.626000000000005</v>
      </c>
      <c r="CV13" s="14">
        <f t="shared" si="41"/>
        <v>8.9278274953538439</v>
      </c>
      <c r="CW13" s="22">
        <f t="shared" si="13"/>
        <v>65.40624955440795</v>
      </c>
      <c r="CX13" s="62">
        <f t="shared" si="14"/>
        <v>257.34491153945282</v>
      </c>
      <c r="CY13" s="62">
        <f ca="1">AVERAGE(OFFSET($CX$3,0,0,'Données projet'!$E$13+1,1))-AVERAGE(OFFSET($H$3,0,0,'Données projet'!$E$13+1,1))</f>
        <v>89.800041997398182</v>
      </c>
      <c r="CZ13" s="62">
        <f t="shared" si="42"/>
        <v>286.94570078060917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217.09257815700823</v>
      </c>
      <c r="S14" s="62">
        <f ca="1">AVERAGE(OFFSET($R$3,0,0,'Données projet'!$E$9+1,1))-AVERAGE(OFFSET($H$3,0,0,'Données projet'!$E$9+1,1))</f>
        <v>367.51466260429623</v>
      </c>
      <c r="T14" s="62">
        <f t="shared" si="34"/>
        <v>297.32483725004136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projet'!$B$10,Paramètres!$A$1:$I$89,3,0)*VLOOKUP('Données projet'!$B$10,Paramètres!$A$1:$I$89,5,0)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212.49722645475953</v>
      </c>
      <c r="AN14" s="62">
        <f ca="1">AVERAGE(OFFSET($AM$3,0,0,'Données projet'!$E$10+1,1))-AVERAGE(OFFSET($H$3,0,0,'Données projet'!$E$10+1,1))</f>
        <v>188.94867378904664</v>
      </c>
      <c r="AO14" s="62">
        <f t="shared" si="36"/>
        <v>242.84781402593833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6.9411764705882355</v>
      </c>
      <c r="BD14" s="13">
        <f>IF('Données projet'!$A$88&gt;35,BD13+BC14-BL13,IF(A14&lt;'Données projet'!$A$88,$BA$205^A14,IF(A14='Données projet'!$A$88,'Données projet'!$B$88,BD13+BC14-BL13)))</f>
        <v>21.909352063600231</v>
      </c>
      <c r="BE14" s="14">
        <f>BD14*VLOOKUP('Données projet'!$B$11,Paramètres!$A$1:$I$89,3,0)*VLOOKUP('Données projet'!$B$11,Paramètres!$A$1:$I$89,5,0)</f>
        <v>13.101792534032938</v>
      </c>
      <c r="BF14" s="14">
        <f t="shared" si="37"/>
        <v>4.4753343563761101</v>
      </c>
      <c r="BG14" s="22">
        <f t="shared" si="7"/>
        <v>30.613496000795752</v>
      </c>
      <c r="BH14" s="62">
        <f t="shared" si="8"/>
        <v>225.10929460990988</v>
      </c>
      <c r="BI14" s="62">
        <f ca="1">AVERAGE(OFFSET($BH$3,0,0,'Données projet'!$E$11+1,1))-AVERAGE(OFFSET($H$3,0,0,'Données projet'!$E$11+1,1))</f>
        <v>367.11994336501527</v>
      </c>
      <c r="BJ14" s="62">
        <f t="shared" si="38"/>
        <v>390.81417197867484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>
        <f>VLOOKUP(A14,'Données projet'!$A$113:$I$133,2,0)</f>
        <v>90.3</v>
      </c>
      <c r="BW14" s="13">
        <f>VLOOKUP(A14,'Données projet'!$A$113:$I$133,9,0)</f>
        <v>8.209090909090909</v>
      </c>
      <c r="BX14" s="13">
        <f t="array" ref="BX14">INDEX(BW:BW,MIN(IF(ISNUMBER(BW14:BW210),ROW(BW14:BW210),"")))</f>
        <v>8.209090909090909</v>
      </c>
      <c r="BY14" s="13">
        <f>IF('Données projet'!$A$114&gt;35,BY13+BX14-CG13,IF(A14&lt;'Données projet'!$A$114,$BV$205^A14,IF(A14='Données projet'!$A$114,'Données projet'!$B$114,BY13+BX14-CG13)))</f>
        <v>90.3</v>
      </c>
      <c r="BZ14" s="14">
        <f>BY14*VLOOKUP('Données projet'!$B$12,Paramètres!$A$1:$I$89,3,0)*VLOOKUP('Données projet'!$B$12,Paramètres!$A$1:$I$89,5,0)</f>
        <v>53.999400000000009</v>
      </c>
      <c r="CA14" s="14">
        <f t="shared" si="39"/>
        <v>15.641951221006671</v>
      </c>
      <c r="CB14" s="22">
        <f t="shared" si="10"/>
        <v>121.29202004325329</v>
      </c>
      <c r="CC14" s="62">
        <f t="shared" si="11"/>
        <v>315.78781865236743</v>
      </c>
      <c r="CD14" s="62">
        <f ca="1">AVERAGE(OFFSET($CC$3,0,0,'Données projet'!$E$12+1,1))-AVERAGE(OFFSET($H$3,0,0,'Données projet'!$E$12+1,1))</f>
        <v>396.15172163885632</v>
      </c>
      <c r="CE14" s="62">
        <f t="shared" si="40"/>
        <v>624.94568617205198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19.375</v>
      </c>
      <c r="CT14" s="13">
        <f>IF('Données projet'!$A$140&gt;35,CT13+CS14-DB13,IF(A14&lt;'Données projet'!$A$140,$CQ$205^A14,IF(A14='Données projet'!$A$140,'Données projet'!$B$140,CT13+CS14-DB13)))</f>
        <v>69.375</v>
      </c>
      <c r="CU14" s="18">
        <f>CT14*VLOOKUP('Données projet'!$B$13,Paramètres!$A$1:$I$89,3,0)*VLOOKUP('Données projet'!$B$13,Paramètres!$A$1:$I$89,5,0)</f>
        <v>39.718575000000001</v>
      </c>
      <c r="CV14" s="14">
        <f t="shared" si="41"/>
        <v>11.924024555848673</v>
      </c>
      <c r="CW14" s="22">
        <f t="shared" si="13"/>
        <v>89.944194226436437</v>
      </c>
      <c r="CX14" s="62">
        <f t="shared" si="14"/>
        <v>284.43999283555058</v>
      </c>
      <c r="CY14" s="62">
        <f ca="1">AVERAGE(OFFSET($CX$3,0,0,'Données projet'!$E$13+1,1))-AVERAGE(OFFSET($H$3,0,0,'Données projet'!$E$13+1,1))</f>
        <v>89.800041997398182</v>
      </c>
      <c r="CZ14" s="62">
        <f t="shared" si="42"/>
        <v>286.94570078060917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224.85264818290764</v>
      </c>
      <c r="S15" s="62">
        <f ca="1">AVERAGE(OFFSET($R$3,0,0,'Données projet'!$E$9+1,1))-AVERAGE(OFFSET($H$3,0,0,'Données projet'!$E$9+1,1))</f>
        <v>367.51466260429623</v>
      </c>
      <c r="T15" s="62">
        <f t="shared" si="34"/>
        <v>297.32483725004136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projet'!$B$10,Paramètres!$A$1:$I$89,3,0)*VLOOKUP('Données projet'!$B$10,Paramètres!$A$1:$I$89,5,0)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220.03684505695335</v>
      </c>
      <c r="AN15" s="62">
        <f ca="1">AVERAGE(OFFSET($AM$3,0,0,'Données projet'!$E$10+1,1))-AVERAGE(OFFSET($H$3,0,0,'Données projet'!$E$10+1,1))</f>
        <v>188.94867378904664</v>
      </c>
      <c r="AO15" s="62">
        <f t="shared" si="36"/>
        <v>242.84781402593833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6.9411764705882355</v>
      </c>
      <c r="BD15" s="13">
        <f>IF('Données projet'!$A$88&gt;35,BD14+BC15-BL14,IF(A15&lt;'Données projet'!$A$88,$BA$205^A15,IF(A15='Données projet'!$A$88,'Données projet'!$B$88,BD14+BC15-BL14)))</f>
        <v>29.007142357672414</v>
      </c>
      <c r="BE15" s="14">
        <f>BD15*VLOOKUP('Données projet'!$B$11,Paramètres!$A$1:$I$89,3,0)*VLOOKUP('Données projet'!$B$11,Paramètres!$A$1:$I$89,5,0)</f>
        <v>17.346271129888105</v>
      </c>
      <c r="BF15" s="14">
        <f t="shared" si="37"/>
        <v>5.7347514730366376</v>
      </c>
      <c r="BG15" s="22">
        <f t="shared" si="7"/>
        <v>40.19944770009392</v>
      </c>
      <c r="BH15" s="62">
        <f t="shared" si="8"/>
        <v>237.22922515282679</v>
      </c>
      <c r="BI15" s="62">
        <f ca="1">AVERAGE(OFFSET($BH$3,0,0,'Données projet'!$E$11+1,1))-AVERAGE(OFFSET($H$3,0,0,'Données projet'!$E$11+1,1))</f>
        <v>367.11994336501527</v>
      </c>
      <c r="BJ15" s="62">
        <f t="shared" si="38"/>
        <v>390.81417197867484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>
        <f>VLOOKUP(A15,'Données projet'!$A$113:$I$133,2,0)</f>
        <v>114</v>
      </c>
      <c r="BW15" s="13">
        <f>VLOOKUP(A15,'Données projet'!$A$113:$I$133,9,0)</f>
        <v>23.700000000000003</v>
      </c>
      <c r="BX15" s="13">
        <f t="array" ref="BX15">INDEX(BW:BW,MIN(IF(ISNUMBER(BW15:BW211),ROW(BW15:BW211),"")))</f>
        <v>23.700000000000003</v>
      </c>
      <c r="BY15" s="13">
        <f>IF('Données projet'!$A$114&gt;35,BY14+BX15-CG14,IF(A15&lt;'Données projet'!$A$114,$BV$205^A15,IF(A15='Données projet'!$A$114,'Données projet'!$B$114,BY14+BX15-CG14)))</f>
        <v>114</v>
      </c>
      <c r="BZ15" s="14">
        <f>BY15*VLOOKUP('Données projet'!$B$12,Paramètres!$A$1:$I$89,3,0)*VLOOKUP('Données projet'!$B$12,Paramètres!$A$1:$I$89,5,0)</f>
        <v>68.172000000000011</v>
      </c>
      <c r="CA15" s="14">
        <f t="shared" si="39"/>
        <v>19.21880399855084</v>
      </c>
      <c r="CB15" s="22">
        <f t="shared" si="10"/>
        <v>152.20565029747607</v>
      </c>
      <c r="CC15" s="62">
        <f t="shared" si="11"/>
        <v>349.23542775020894</v>
      </c>
      <c r="CD15" s="62">
        <f ca="1">AVERAGE(OFFSET($CC$3,0,0,'Données projet'!$E$12+1,1))-AVERAGE(OFFSET($H$3,0,0,'Données projet'!$E$12+1,1))</f>
        <v>396.15172163885632</v>
      </c>
      <c r="CE15" s="62">
        <f t="shared" si="40"/>
        <v>624.94568617205198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19.375</v>
      </c>
      <c r="CT15" s="13">
        <f>IF('Données projet'!$A$140&gt;35,CT14+CS15-DB14,IF(A15&lt;'Données projet'!$A$140,$CQ$205^A15,IF(A15='Données projet'!$A$140,'Données projet'!$B$140,CT14+CS15-DB14)))</f>
        <v>88.75</v>
      </c>
      <c r="CU15" s="18">
        <f>CT15*VLOOKUP('Données projet'!$B$13,Paramètres!$A$1:$I$89,3,0)*VLOOKUP('Données projet'!$B$13,Paramètres!$A$1:$I$89,5,0)</f>
        <v>50.811149999999998</v>
      </c>
      <c r="CV15" s="14">
        <f t="shared" si="41"/>
        <v>14.823046082736534</v>
      </c>
      <c r="CW15" s="22">
        <f t="shared" si="13"/>
        <v>114.31289151076612</v>
      </c>
      <c r="CX15" s="62">
        <f t="shared" si="14"/>
        <v>311.34266896349902</v>
      </c>
      <c r="CY15" s="62">
        <f ca="1">AVERAGE(OFFSET($CX$3,0,0,'Données projet'!$E$13+1,1))-AVERAGE(OFFSET($H$3,0,0,'Données projet'!$E$13+1,1))</f>
        <v>89.800041997398182</v>
      </c>
      <c r="CZ15" s="62">
        <f t="shared" si="42"/>
        <v>286.94570078060917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233.80270813005566</v>
      </c>
      <c r="S16" s="62">
        <f ca="1">AVERAGE(OFFSET($R$3,0,0,'Données projet'!$E$9+1,1))-AVERAGE(OFFSET($H$3,0,0,'Données projet'!$E$9+1,1))</f>
        <v>367.51466260429623</v>
      </c>
      <c r="T16" s="62">
        <f t="shared" si="34"/>
        <v>297.32483725004136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projet'!$B$10,Paramètres!$A$1:$I$89,3,0)*VLOOKUP('Données projet'!$B$10,Paramètres!$A$1:$I$89,5,0)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228.95054721438314</v>
      </c>
      <c r="AN16" s="62">
        <f ca="1">AVERAGE(OFFSET($AM$3,0,0,'Données projet'!$E$10+1,1))-AVERAGE(OFFSET($H$3,0,0,'Données projet'!$E$10+1,1))</f>
        <v>188.94867378904664</v>
      </c>
      <c r="AO16" s="62">
        <f t="shared" si="36"/>
        <v>242.84781402593833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6.9411764705882355</v>
      </c>
      <c r="BD16" s="13">
        <f>IF('Données projet'!$A$88&gt;35,BD15+BC16-BL15,IF(A16&lt;'Données projet'!$A$88,$BA$205^A16,IF(A16='Données projet'!$A$88,'Données projet'!$B$88,BD15+BC16-BL15)))</f>
        <v>38.404344652263013</v>
      </c>
      <c r="BE16" s="14">
        <f>BD16*VLOOKUP('Données projet'!$B$11,Paramètres!$A$1:$I$89,3,0)*VLOOKUP('Données projet'!$B$11,Paramètres!$A$1:$I$89,5,0)</f>
        <v>22.965798102053284</v>
      </c>
      <c r="BF16" s="14">
        <f t="shared" si="37"/>
        <v>7.3485848963755025</v>
      </c>
      <c r="BG16" s="22">
        <f t="shared" si="7"/>
        <v>52.797550388930141</v>
      </c>
      <c r="BH16" s="62">
        <f t="shared" si="8"/>
        <v>252.33855064054896</v>
      </c>
      <c r="BI16" s="62">
        <f ca="1">AVERAGE(OFFSET($BH$3,0,0,'Données projet'!$E$11+1,1))-AVERAGE(OFFSET($H$3,0,0,'Données projet'!$E$11+1,1))</f>
        <v>367.11994336501527</v>
      </c>
      <c r="BJ16" s="62">
        <f t="shared" si="38"/>
        <v>390.81417197867484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25.950000000000003</v>
      </c>
      <c r="BY16" s="13">
        <f>IF('Données projet'!$A$114&gt;35,BY15+BX16-CG15,IF(A16&lt;'Données projet'!$A$114,$BV$205^A16,IF(A16='Données projet'!$A$114,'Données projet'!$B$114,BY15+BX16-CG15)))</f>
        <v>139.94999999999999</v>
      </c>
      <c r="BZ16" s="14">
        <f>BY16*VLOOKUP('Données projet'!$B$12,Paramètres!$A$1:$I$89,3,0)*VLOOKUP('Données projet'!$B$12,Paramètres!$A$1:$I$89,5,0)</f>
        <v>83.690100000000001</v>
      </c>
      <c r="CA16" s="14">
        <f t="shared" si="39"/>
        <v>23.03705122257751</v>
      </c>
      <c r="CB16" s="22">
        <f t="shared" si="10"/>
        <v>185.88312171265582</v>
      </c>
      <c r="CC16" s="62">
        <f t="shared" si="11"/>
        <v>385.4241219642746</v>
      </c>
      <c r="CD16" s="62">
        <f ca="1">AVERAGE(OFFSET($CC$3,0,0,'Données projet'!$E$12+1,1))-AVERAGE(OFFSET($H$3,0,0,'Données projet'!$E$12+1,1))</f>
        <v>396.15172163885632</v>
      </c>
      <c r="CE16" s="62">
        <f t="shared" si="40"/>
        <v>624.94568617205198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19.375</v>
      </c>
      <c r="CT16" s="13">
        <f>IF('Données projet'!$A$140&gt;35,CT15+CS16-DB15,IF(A16&lt;'Données projet'!$A$140,$CQ$205^A16,IF(A16='Données projet'!$A$140,'Données projet'!$B$140,CT15+CS16-DB15)))</f>
        <v>108.125</v>
      </c>
      <c r="CU16" s="18">
        <f>CT16*VLOOKUP('Données projet'!$B$13,Paramètres!$A$1:$I$89,3,0)*VLOOKUP('Données projet'!$B$13,Paramètres!$A$1:$I$89,5,0)</f>
        <v>61.903725000000001</v>
      </c>
      <c r="CV16" s="14">
        <f t="shared" si="41"/>
        <v>17.648711929112775</v>
      </c>
      <c r="CW16" s="22">
        <f t="shared" si="13"/>
        <v>138.55382765153806</v>
      </c>
      <c r="CX16" s="62">
        <f t="shared" si="14"/>
        <v>338.0948279031569</v>
      </c>
      <c r="CY16" s="62">
        <f ca="1">AVERAGE(OFFSET($CX$3,0,0,'Données projet'!$E$13+1,1))-AVERAGE(OFFSET($H$3,0,0,'Données projet'!$E$13+1,1))</f>
        <v>89.800041997398182</v>
      </c>
      <c r="CZ16" s="62">
        <f t="shared" si="42"/>
        <v>286.94570078060917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244.22545806894149</v>
      </c>
      <c r="S17" s="62">
        <f ca="1">AVERAGE(OFFSET($R$3,0,0,'Données projet'!$E$9+1,1))-AVERAGE(OFFSET($H$3,0,0,'Données projet'!$E$9+1,1))</f>
        <v>367.51466260429623</v>
      </c>
      <c r="T17" s="62">
        <f t="shared" si="34"/>
        <v>297.32483725004136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projet'!$B$10,Paramètres!$A$1:$I$89,3,0)*VLOOKUP('Données projet'!$B$10,Paramètres!$A$1:$I$89,5,0)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239.62979927584371</v>
      </c>
      <c r="AN17" s="62">
        <f ca="1">AVERAGE(OFFSET($AM$3,0,0,'Données projet'!$E$10+1,1))-AVERAGE(OFFSET($H$3,0,0,'Données projet'!$E$10+1,1))</f>
        <v>188.94867378904664</v>
      </c>
      <c r="AO17" s="62">
        <f t="shared" si="36"/>
        <v>242.84781402593833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6.9411764705882355</v>
      </c>
      <c r="BD17" s="13">
        <f>IF('Données projet'!$A$88&gt;35,BD16+BC17-BL16,IF(A17&lt;'Données projet'!$A$88,$BA$205^A17,IF(A17='Données projet'!$A$88,'Données projet'!$B$88,BD16+BC17-BL16)))</f>
        <v>50.845880300225161</v>
      </c>
      <c r="BE17" s="14">
        <f>BD17*VLOOKUP('Données projet'!$B$11,Paramètres!$A$1:$I$89,3,0)*VLOOKUP('Données projet'!$B$11,Paramètres!$A$1:$I$89,5,0)</f>
        <v>30.405836419534648</v>
      </c>
      <c r="BF17" s="14">
        <f t="shared" si="37"/>
        <v>9.4165719705798292</v>
      </c>
      <c r="BG17" s="22">
        <f t="shared" si="7"/>
        <v>69.357361279449364</v>
      </c>
      <c r="BH17" s="62">
        <f t="shared" si="8"/>
        <v>271.38722305172257</v>
      </c>
      <c r="BI17" s="62">
        <f ca="1">AVERAGE(OFFSET($BH$3,0,0,'Données projet'!$E$11+1,1))-AVERAGE(OFFSET($H$3,0,0,'Données projet'!$E$11+1,1))</f>
        <v>367.11994336501527</v>
      </c>
      <c r="BJ17" s="62">
        <f t="shared" si="38"/>
        <v>390.81417197867484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>
        <f>VLOOKUP(A17,'Données projet'!$A$113:$I$133,2,0)</f>
        <v>165.9</v>
      </c>
      <c r="BW17" s="13">
        <f>VLOOKUP(A17,'Données projet'!$A$113:$I$133,9,0)</f>
        <v>25.950000000000003</v>
      </c>
      <c r="BX17" s="13">
        <f t="array" ref="BX17">INDEX(BW:BW,MIN(IF(ISNUMBER(BW17:BW213),ROW(BW17:BW213),"")))</f>
        <v>25.950000000000003</v>
      </c>
      <c r="BY17" s="13">
        <f>IF('Données projet'!$A$114&gt;35,BY16+BX17-CG16,IF(A17&lt;'Données projet'!$A$114,$BV$205^A17,IF(A17='Données projet'!$A$114,'Données projet'!$B$114,BY16+BX17-CG16)))</f>
        <v>165.89999999999998</v>
      </c>
      <c r="BZ17" s="14">
        <f>BY17*VLOOKUP('Données projet'!$B$12,Paramètres!$A$1:$I$89,3,0)*VLOOKUP('Données projet'!$B$12,Paramètres!$A$1:$I$89,5,0)</f>
        <v>99.208199999999991</v>
      </c>
      <c r="CA17" s="14">
        <f t="shared" si="39"/>
        <v>26.773274931375401</v>
      </c>
      <c r="CB17" s="22">
        <f t="shared" si="10"/>
        <v>219.41773550547876</v>
      </c>
      <c r="CC17" s="62">
        <f t="shared" si="11"/>
        <v>421.44759727775192</v>
      </c>
      <c r="CD17" s="62">
        <f ca="1">AVERAGE(OFFSET($CC$3,0,0,'Données projet'!$E$12+1,1))-AVERAGE(OFFSET($H$3,0,0,'Données projet'!$E$12+1,1))</f>
        <v>396.15172163885632</v>
      </c>
      <c r="CE17" s="62">
        <f t="shared" si="40"/>
        <v>624.94568617205198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19.375</v>
      </c>
      <c r="CT17" s="13">
        <f>IF('Données projet'!$A$140&gt;35,CT16+CS17-DB16,IF(A17&lt;'Données projet'!$A$140,$CQ$205^A17,IF(A17='Données projet'!$A$140,'Données projet'!$B$140,CT16+CS17-DB16)))</f>
        <v>127.5</v>
      </c>
      <c r="CU17" s="18">
        <f>CT17*VLOOKUP('Données projet'!$B$13,Paramètres!$A$1:$I$89,3,0)*VLOOKUP('Données projet'!$B$13,Paramètres!$A$1:$I$89,5,0)</f>
        <v>72.996299999999991</v>
      </c>
      <c r="CV17" s="14">
        <f t="shared" si="41"/>
        <v>20.415719663619242</v>
      </c>
      <c r="CW17" s="22">
        <f t="shared" si="13"/>
        <v>162.69260091413682</v>
      </c>
      <c r="CX17" s="62">
        <f t="shared" si="14"/>
        <v>364.72246268641004</v>
      </c>
      <c r="CY17" s="62">
        <f ca="1">AVERAGE(OFFSET($CX$3,0,0,'Données projet'!$E$13+1,1))-AVERAGE(OFFSET($H$3,0,0,'Données projet'!$E$13+1,1))</f>
        <v>89.800041997398182</v>
      </c>
      <c r="CZ17" s="62">
        <f t="shared" si="42"/>
        <v>286.94570078060917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256.46949622159559</v>
      </c>
      <c r="S18" s="62">
        <f ca="1">AVERAGE(OFFSET($R$3,0,0,'Données projet'!$E$9+1,1))-AVERAGE(OFFSET($H$3,0,0,'Données projet'!$E$9+1,1))</f>
        <v>367.51466260429623</v>
      </c>
      <c r="T18" s="62">
        <f t="shared" si="34"/>
        <v>297.32483725004136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projet'!$B$10,Paramètres!$A$1:$I$89,3,0)*VLOOKUP('Données projet'!$B$10,Paramètres!$A$1:$I$89,5,0)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252.57587954511902</v>
      </c>
      <c r="AN18" s="62">
        <f ca="1">AVERAGE(OFFSET($AM$3,0,0,'Données projet'!$E$10+1,1))-AVERAGE(OFFSET($H$3,0,0,'Données projet'!$E$10+1,1))</f>
        <v>188.94867378904664</v>
      </c>
      <c r="AO18" s="62">
        <f t="shared" si="36"/>
        <v>242.84781402593833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6.9411764705882355</v>
      </c>
      <c r="BD18" s="13">
        <f>IF('Données projet'!$A$88&gt;35,BD17+BC18-BL17,IF(A18&lt;'Données projet'!$A$88,$BA$205^A18,IF(A18='Données projet'!$A$88,'Données projet'!$B$88,BD17+BC18-BL17)))</f>
        <v>67.317996620272581</v>
      </c>
      <c r="BE18" s="14">
        <f>BD18*VLOOKUP('Données projet'!$B$11,Paramètres!$A$1:$I$89,3,0)*VLOOKUP('Données projet'!$B$11,Paramètres!$A$1:$I$89,5,0)</f>
        <v>40.256161978923011</v>
      </c>
      <c r="BF18" s="14">
        <f t="shared" si="37"/>
        <v>12.066517421720839</v>
      </c>
      <c r="BG18" s="22">
        <f t="shared" si="7"/>
        <v>91.128666622788032</v>
      </c>
      <c r="BH18" s="62">
        <f t="shared" si="8"/>
        <v>295.62541655566906</v>
      </c>
      <c r="BI18" s="62">
        <f ca="1">AVERAGE(OFFSET($BH$3,0,0,'Données projet'!$E$11+1,1))-AVERAGE(OFFSET($H$3,0,0,'Données projet'!$E$11+1,1))</f>
        <v>367.11994336501527</v>
      </c>
      <c r="BJ18" s="62">
        <f t="shared" si="38"/>
        <v>390.81417197867484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27.599999999999994</v>
      </c>
      <c r="BY18" s="13">
        <f>IF('Données projet'!$A$114&gt;35,BY17+BX18-CG17,IF(A18&lt;'Données projet'!$A$114,$BV$205^A18,IF(A18='Données projet'!$A$114,'Données projet'!$B$114,BY17+BX18-CG17)))</f>
        <v>193.49999999999997</v>
      </c>
      <c r="BZ18" s="14">
        <f>BY18*VLOOKUP('Données projet'!$B$12,Paramètres!$A$1:$I$89,3,0)*VLOOKUP('Données projet'!$B$12,Paramètres!$A$1:$I$89,5,0)</f>
        <v>115.71299999999999</v>
      </c>
      <c r="CA18" s="14">
        <f t="shared" si="39"/>
        <v>30.673019842466044</v>
      </c>
      <c r="CB18" s="22">
        <f t="shared" si="10"/>
        <v>254.95565122562832</v>
      </c>
      <c r="CC18" s="62">
        <f t="shared" si="11"/>
        <v>459.45240115850936</v>
      </c>
      <c r="CD18" s="62">
        <f ca="1">AVERAGE(OFFSET($CC$3,0,0,'Données projet'!$E$12+1,1))-AVERAGE(OFFSET($H$3,0,0,'Données projet'!$E$12+1,1))</f>
        <v>396.15172163885632</v>
      </c>
      <c r="CE18" s="62">
        <f t="shared" si="40"/>
        <v>624.94568617205198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19.375</v>
      </c>
      <c r="CT18" s="13">
        <f>IF('Données projet'!$A$140&gt;35,CT17+CS18-DB17,IF(A18&lt;'Données projet'!$A$140,$CQ$205^A18,IF(A18='Données projet'!$A$140,'Données projet'!$B$140,CT17+CS18-DB17)))</f>
        <v>146.875</v>
      </c>
      <c r="CU18" s="18">
        <f>CT18*VLOOKUP('Données projet'!$B$13,Paramètres!$A$1:$I$89,3,0)*VLOOKUP('Données projet'!$B$13,Paramètres!$A$1:$I$89,5,0)</f>
        <v>84.088875000000002</v>
      </c>
      <c r="CV18" s="14">
        <f t="shared" si="41"/>
        <v>23.134016488117844</v>
      </c>
      <c r="CW18" s="22">
        <f t="shared" si="13"/>
        <v>186.74653600847191</v>
      </c>
      <c r="CX18" s="62">
        <f t="shared" si="14"/>
        <v>391.24328594135295</v>
      </c>
      <c r="CY18" s="62">
        <f ca="1">AVERAGE(OFFSET($CX$3,0,0,'Données projet'!$E$13+1,1))-AVERAGE(OFFSET($H$3,0,0,'Données projet'!$E$13+1,1))</f>
        <v>89.800041997398182</v>
      </c>
      <c r="CZ18" s="62">
        <f t="shared" si="42"/>
        <v>286.94570078060917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270.96474543463864</v>
      </c>
      <c r="S19" s="62">
        <f ca="1">AVERAGE(OFFSET($R$3,0,0,'Données projet'!$E$9+1,1))-AVERAGE(OFFSET($H$3,0,0,'Données projet'!$E$9+1,1))</f>
        <v>367.51466260429623</v>
      </c>
      <c r="T19" s="62">
        <f t="shared" si="34"/>
        <v>297.32483725004136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projet'!$B$10,Paramètres!$A$1:$I$89,3,0)*VLOOKUP('Données projet'!$B$10,Paramètres!$A$1:$I$89,5,0)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268.43080252293612</v>
      </c>
      <c r="AN19" s="62">
        <f ca="1">AVERAGE(OFFSET($AM$3,0,0,'Données projet'!$E$10+1,1))-AVERAGE(OFFSET($H$3,0,0,'Données projet'!$E$10+1,1))</f>
        <v>188.94867378904664</v>
      </c>
      <c r="AO19" s="62">
        <f t="shared" si="36"/>
        <v>242.84781402593833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6.9411764705882355</v>
      </c>
      <c r="BD19" s="13">
        <f>IF('Données projet'!$A$88&gt;35,BD18+BC19-BL18,IF(A19&lt;'Données projet'!$A$88,$BA$205^A19,IF(A19='Données projet'!$A$88,'Données projet'!$B$88,BD18+BC19-BL18)))</f>
        <v>89.126447260014572</v>
      </c>
      <c r="BE19" s="14">
        <f>BD19*VLOOKUP('Données projet'!$B$11,Paramètres!$A$1:$I$89,3,0)*VLOOKUP('Données projet'!$B$11,Paramètres!$A$1:$I$89,5,0)</f>
        <v>53.297615461488718</v>
      </c>
      <c r="BF19" s="14">
        <f t="shared" si="37"/>
        <v>15.46219188294774</v>
      </c>
      <c r="BG19" s="22">
        <f t="shared" si="7"/>
        <v>119.75666445822681</v>
      </c>
      <c r="BH19" s="62">
        <f t="shared" si="8"/>
        <v>326.69871038034086</v>
      </c>
      <c r="BI19" s="62">
        <f ca="1">AVERAGE(OFFSET($BH$3,0,0,'Données projet'!$E$11+1,1))-AVERAGE(OFFSET($H$3,0,0,'Données projet'!$E$11+1,1))</f>
        <v>367.11994336501527</v>
      </c>
      <c r="BJ19" s="62">
        <f t="shared" si="38"/>
        <v>390.81417197867484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>
        <f>VLOOKUP(A19,'Données projet'!$A$113:$I$133,2,0)</f>
        <v>221.1</v>
      </c>
      <c r="BW19" s="13">
        <f>VLOOKUP(A19,'Données projet'!$A$113:$I$133,9,0)</f>
        <v>27.599999999999994</v>
      </c>
      <c r="BX19" s="13">
        <f t="array" ref="BX19">INDEX(BW:BW,MIN(IF(ISNUMBER(BW19:BW215),ROW(BW19:BW215),"")))</f>
        <v>27.599999999999994</v>
      </c>
      <c r="BY19" s="13">
        <f>IF('Données projet'!$A$114&gt;35,BY18+BX19-CG18,IF(A19&lt;'Données projet'!$A$114,$BV$205^A19,IF(A19='Données projet'!$A$114,'Données projet'!$B$114,BY18+BX19-CG18)))</f>
        <v>221.09999999999997</v>
      </c>
      <c r="BZ19" s="14">
        <f>BY19*VLOOKUP('Données projet'!$B$12,Paramètres!$A$1:$I$89,3,0)*VLOOKUP('Données projet'!$B$12,Paramètres!$A$1:$I$89,5,0)</f>
        <v>132.21779999999998</v>
      </c>
      <c r="CA19" s="14">
        <f t="shared" si="39"/>
        <v>34.508322171778346</v>
      </c>
      <c r="CB19" s="22">
        <f t="shared" si="10"/>
        <v>290.38132944918061</v>
      </c>
      <c r="CC19" s="62">
        <f t="shared" si="11"/>
        <v>497.32337537129467</v>
      </c>
      <c r="CD19" s="62">
        <f ca="1">AVERAGE(OFFSET($CC$3,0,0,'Données projet'!$E$12+1,1))-AVERAGE(OFFSET($H$3,0,0,'Données projet'!$E$12+1,1))</f>
        <v>396.15172163885632</v>
      </c>
      <c r="CE19" s="62">
        <f t="shared" si="40"/>
        <v>624.94568617205198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19.375</v>
      </c>
      <c r="CT19" s="13">
        <f>IF('Données projet'!$A$140&gt;35,CT18+CS19-DB18,IF(A19&lt;'Données projet'!$A$140,$CQ$205^A19,IF(A19='Données projet'!$A$140,'Données projet'!$B$140,CT18+CS19-DB18)))</f>
        <v>166.25</v>
      </c>
      <c r="CU19" s="18">
        <f>CT19*VLOOKUP('Données projet'!$B$13,Paramètres!$A$1:$I$89,3,0)*VLOOKUP('Données projet'!$B$13,Paramètres!$A$1:$I$89,5,0)</f>
        <v>95.181450000000012</v>
      </c>
      <c r="CV19" s="14">
        <f t="shared" si="41"/>
        <v>25.810765897470574</v>
      </c>
      <c r="CW19" s="22">
        <f t="shared" si="13"/>
        <v>210.72810935476127</v>
      </c>
      <c r="CX19" s="62">
        <f t="shared" si="14"/>
        <v>417.67015527687533</v>
      </c>
      <c r="CY19" s="62">
        <f ca="1">AVERAGE(OFFSET($CX$3,0,0,'Données projet'!$E$13+1,1))-AVERAGE(OFFSET($H$3,0,0,'Données projet'!$E$13+1,1))</f>
        <v>89.800041997398182</v>
      </c>
      <c r="CZ19" s="62">
        <f t="shared" si="42"/>
        <v>286.94570078060917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288.24149918328646</v>
      </c>
      <c r="S20" s="62">
        <f ca="1">AVERAGE(OFFSET($R$3,0,0,'Données projet'!$E$9+1,1))-AVERAGE(OFFSET($H$3,0,0,'Données projet'!$E$9+1,1))</f>
        <v>367.51466260429623</v>
      </c>
      <c r="T20" s="62">
        <f t="shared" si="34"/>
        <v>297.32483725004136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projet'!$B$10,Paramètres!$A$1:$I$89,3,0)*VLOOKUP('Données projet'!$B$10,Paramètres!$A$1:$I$89,5,0)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288.01697308330836</v>
      </c>
      <c r="AN20" s="62">
        <f ca="1">AVERAGE(OFFSET($AM$3,0,0,'Données projet'!$E$10+1,1))-AVERAGE(OFFSET($H$3,0,0,'Données projet'!$E$10+1,1))</f>
        <v>188.94867378904664</v>
      </c>
      <c r="AO20" s="62">
        <f t="shared" si="36"/>
        <v>242.84781402593833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118</v>
      </c>
      <c r="BB20" s="13">
        <f>VLOOKUP(A20,'Données projet'!$A$87:$I$107,9,0)</f>
        <v>6.9411764705882355</v>
      </c>
      <c r="BC20" s="13">
        <f t="array" ref="BC20">INDEX(BB:BB,MIN(IF(ISNUMBER(BB20:BB216),ROW(BB20:BB216),"")))</f>
        <v>6.9411764705882355</v>
      </c>
      <c r="BD20" s="13">
        <f>IF('Données projet'!$A$88&gt;35,BD19+BC20-BL19,IF(A20&lt;'Données projet'!$A$88,$BA$205^A20,IF(A20='Données projet'!$A$88,'Données projet'!$B$88,BD19+BC20-BL19)))</f>
        <v>118</v>
      </c>
      <c r="BE20" s="14">
        <f>BD20*VLOOKUP('Données projet'!$B$11,Paramètres!$A$1:$I$89,3,0)*VLOOKUP('Données projet'!$B$11,Paramètres!$A$1:$I$89,5,0)</f>
        <v>70.564000000000007</v>
      </c>
      <c r="BF20" s="14">
        <f t="shared" si="37"/>
        <v>19.813453167086163</v>
      </c>
      <c r="BG20" s="22">
        <f t="shared" si="7"/>
        <v>157.40739759934175</v>
      </c>
      <c r="BH20" s="62">
        <f t="shared" si="8"/>
        <v>366.77352191521447</v>
      </c>
      <c r="BI20" s="62">
        <f ca="1">AVERAGE(OFFSET($BH$3,0,0,'Données projet'!$E$11+1,1))-AVERAGE(OFFSET($H$3,0,0,'Données projet'!$E$11+1,1))</f>
        <v>367.11994336501527</v>
      </c>
      <c r="BJ20" s="62">
        <f t="shared" si="38"/>
        <v>390.81417197867484</v>
      </c>
      <c r="BK20" s="16">
        <f>IF(ISNA(VLOOKUP(A20,'Données projet'!$A$87:$I$107,3,0)),0,VLOOKUP(A20,'Données projet'!$A$87:$I$107,3,0))</f>
        <v>1</v>
      </c>
      <c r="BL20" s="16">
        <f>IF(ISNA(VLOOKUP(A20,'Données projet'!$A$87:$I$107,4,0)),0,VLOOKUP(A20,'Données projet'!$A$87:$I$107,4,0))</f>
        <v>15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28.100000000000009</v>
      </c>
      <c r="BY20" s="13">
        <f>IF('Données projet'!$A$114&gt;35,BY19+BX20-CG19,IF(A20&lt;'Données projet'!$A$114,$BV$205^A20,IF(A20='Données projet'!$A$114,'Données projet'!$B$114,BY19+BX20-CG19)))</f>
        <v>249.2</v>
      </c>
      <c r="BZ20" s="14">
        <f>BY20*VLOOKUP('Données projet'!$B$12,Paramètres!$A$1:$I$89,3,0)*VLOOKUP('Données projet'!$B$12,Paramètres!$A$1:$I$89,5,0)</f>
        <v>149.02160000000001</v>
      </c>
      <c r="CA20" s="14">
        <f t="shared" si="39"/>
        <v>38.356156098011482</v>
      </c>
      <c r="CB20" s="22">
        <f t="shared" si="10"/>
        <v>326.34959187070336</v>
      </c>
      <c r="CC20" s="62">
        <f t="shared" si="11"/>
        <v>535.71571618657606</v>
      </c>
      <c r="CD20" s="62">
        <f ca="1">AVERAGE(OFFSET($CC$3,0,0,'Données projet'!$E$12+1,1))-AVERAGE(OFFSET($H$3,0,0,'Données projet'!$E$12+1,1))</f>
        <v>396.15172163885632</v>
      </c>
      <c r="CE20" s="62">
        <f t="shared" si="40"/>
        <v>624.94568617205198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19.375</v>
      </c>
      <c r="CT20" s="13">
        <f>IF('Données projet'!$A$140&gt;35,CT19+CS20-DB19,IF(A20&lt;'Données projet'!$A$140,$CQ$205^A20,IF(A20='Données projet'!$A$140,'Données projet'!$B$140,CT19+CS20-DB19)))</f>
        <v>185.625</v>
      </c>
      <c r="CU20" s="18">
        <f>CT20*VLOOKUP('Données projet'!$B$13,Paramètres!$A$1:$I$89,3,0)*VLOOKUP('Données projet'!$B$13,Paramètres!$A$1:$I$89,5,0)</f>
        <v>106.27402500000001</v>
      </c>
      <c r="CV20" s="14">
        <f t="shared" si="41"/>
        <v>28.451362974598361</v>
      </c>
      <c r="CW20" s="22">
        <f t="shared" si="13"/>
        <v>234.64671738909212</v>
      </c>
      <c r="CX20" s="62">
        <f t="shared" si="14"/>
        <v>444.01284170496484</v>
      </c>
      <c r="CY20" s="62">
        <f ca="1">AVERAGE(OFFSET($CX$3,0,0,'Données projet'!$E$13+1,1))-AVERAGE(OFFSET($H$3,0,0,'Données projet'!$E$13+1,1))</f>
        <v>89.800041997398182</v>
      </c>
      <c r="CZ20" s="62">
        <f t="shared" si="42"/>
        <v>286.94570078060917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308.95393822316214</v>
      </c>
      <c r="S21" s="62">
        <f ca="1">AVERAGE(OFFSET($R$3,0,0,'Données projet'!$E$9+1,1))-AVERAGE(OFFSET($H$3,0,0,'Données projet'!$E$9+1,1))</f>
        <v>367.51466260429623</v>
      </c>
      <c r="T21" s="62">
        <f t="shared" si="34"/>
        <v>297.32483725004136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projet'!$B$10,Paramètres!$A$1:$I$89,3,0)*VLOOKUP('Données projet'!$B$10,Paramètres!$A$1:$I$89,5,0)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312.38804068758367</v>
      </c>
      <c r="AN21" s="62">
        <f ca="1">AVERAGE(OFFSET($AM$3,0,0,'Données projet'!$E$10+1,1))-AVERAGE(OFFSET($H$3,0,0,'Données projet'!$E$10+1,1))</f>
        <v>188.94867378904664</v>
      </c>
      <c r="AO21" s="62">
        <f t="shared" si="36"/>
        <v>242.84781402593833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11.333333333333334</v>
      </c>
      <c r="BD21" s="13">
        <f>IF('Données projet'!$A$88&gt;35,BD20+BC21-BL20,IF(A21&lt;'Données projet'!$A$88,$BA$205^A21,IF(A21='Données projet'!$A$88,'Données projet'!$B$88,BD20+BC21-BL20)))</f>
        <v>114.33333333333334</v>
      </c>
      <c r="BE21" s="14">
        <f>BD21*VLOOKUP('Données projet'!$B$11,Paramètres!$A$1:$I$89,3,0)*VLOOKUP('Données projet'!$B$11,Paramètres!$A$1:$I$89,5,0)</f>
        <v>68.37133333333334</v>
      </c>
      <c r="BF21" s="14">
        <f t="shared" si="37"/>
        <v>19.268449754335993</v>
      </c>
      <c r="BG21" s="22">
        <f t="shared" si="7"/>
        <v>152.63928887769075</v>
      </c>
      <c r="BH21" s="62">
        <f t="shared" si="8"/>
        <v>364.40864206969388</v>
      </c>
      <c r="BI21" s="62">
        <f ca="1">AVERAGE(OFFSET($BH$3,0,0,'Données projet'!$E$11+1,1))-AVERAGE(OFFSET($H$3,0,0,'Données projet'!$E$11+1,1))</f>
        <v>367.11994336501527</v>
      </c>
      <c r="BJ21" s="62">
        <f t="shared" si="38"/>
        <v>390.81417197867484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>
        <f>VLOOKUP(A21,'Données projet'!$A$113:$I$133,2,0)</f>
        <v>277.3</v>
      </c>
      <c r="BW21" s="13">
        <f>VLOOKUP(A21,'Données projet'!$A$113:$I$133,9,0)</f>
        <v>28.100000000000009</v>
      </c>
      <c r="BX21" s="13">
        <f t="array" ref="BX21">INDEX(BW:BW,MIN(IF(ISNUMBER(BW21:BW217),ROW(BW21:BW217),"")))</f>
        <v>28.100000000000009</v>
      </c>
      <c r="BY21" s="13">
        <f>IF('Données projet'!$A$114&gt;35,BY20+BX21-CG20,IF(A21&lt;'Données projet'!$A$114,$BV$205^A21,IF(A21='Données projet'!$A$114,'Données projet'!$B$114,BY20+BX21-CG20)))</f>
        <v>277.3</v>
      </c>
      <c r="BZ21" s="14">
        <f>BY21*VLOOKUP('Données projet'!$B$12,Paramètres!$A$1:$I$89,3,0)*VLOOKUP('Données projet'!$B$12,Paramètres!$A$1:$I$89,5,0)</f>
        <v>165.8254</v>
      </c>
      <c r="CA21" s="14">
        <f t="shared" si="39"/>
        <v>42.153703435170115</v>
      </c>
      <c r="CB21" s="22">
        <f t="shared" si="10"/>
        <v>362.23027181625463</v>
      </c>
      <c r="CC21" s="62">
        <f t="shared" si="11"/>
        <v>573.99962500825768</v>
      </c>
      <c r="CD21" s="62">
        <f ca="1">AVERAGE(OFFSET($CC$3,0,0,'Données projet'!$E$12+1,1))-AVERAGE(OFFSET($H$3,0,0,'Données projet'!$E$12+1,1))</f>
        <v>396.15172163885632</v>
      </c>
      <c r="CE21" s="62">
        <f t="shared" si="40"/>
        <v>624.94568617205198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>
        <f>VLOOKUP(A21,'Données projet'!$A$139:$I$159,2,0)</f>
        <v>205</v>
      </c>
      <c r="CR21" s="13">
        <f>VLOOKUP(A21,'Données projet'!$A$139:$I$159,9,0)</f>
        <v>19.375</v>
      </c>
      <c r="CS21" s="13">
        <f t="array" ref="CS21">INDEX(CR:CR,MIN(IF(ISNUMBER(CR21:CR217),ROW(CR21:CR217),"")))</f>
        <v>19.375</v>
      </c>
      <c r="CT21" s="13">
        <f>IF('Données projet'!$A$140&gt;35,CT20+CS21-DB20,IF(A21&lt;'Données projet'!$A$140,$CQ$205^A21,IF(A21='Données projet'!$A$140,'Données projet'!$B$140,CT20+CS21-DB20)))</f>
        <v>205</v>
      </c>
      <c r="CU21" s="18">
        <f>CT21*VLOOKUP('Données projet'!$B$13,Paramètres!$A$1:$I$89,3,0)*VLOOKUP('Données projet'!$B$13,Paramètres!$A$1:$I$89,5,0)</f>
        <v>117.36660000000001</v>
      </c>
      <c r="CV21" s="14">
        <f t="shared" si="41"/>
        <v>31.060011055658993</v>
      </c>
      <c r="CW21" s="22">
        <f t="shared" si="13"/>
        <v>258.50968092193943</v>
      </c>
      <c r="CX21" s="62">
        <f t="shared" si="14"/>
        <v>470.27903411394254</v>
      </c>
      <c r="CY21" s="62">
        <f ca="1">AVERAGE(OFFSET($CX$3,0,0,'Données projet'!$E$13+1,1))-AVERAGE(OFFSET($H$3,0,0,'Données projet'!$E$13+1,1))</f>
        <v>89.800041997398182</v>
      </c>
      <c r="CZ21" s="62">
        <f t="shared" si="42"/>
        <v>286.94570078060917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205</v>
      </c>
      <c r="DC21" s="17">
        <f>IF(ISNA(VLOOKUP(A21,'Données projet'!$A$139:$I$159,5,0)),0%,VLOOKUP(A21,'Données projet'!$A$139:$I$159,5,0)*VLOOKUP('Données projet'!$B$13,Paramètres!$A$1:$I$89,7,0))</f>
        <v>0.48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0.2</v>
      </c>
      <c r="DF21" s="23">
        <f>EXP(-LN(2)/35)*DF20+(1-EXP(-LN(2)/35))/(LN(2)/35)*DB21*DC21*VLOOKUP('Données projet'!$B$13,Paramètres!$A$1:$I$89,3,0)*0.475*44/12</f>
        <v>62.277743926316134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22.147709195144952</v>
      </c>
      <c r="DI21" s="24">
        <f t="shared" si="15"/>
        <v>84.425453121461089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333.90916953776684</v>
      </c>
      <c r="S22" s="62">
        <f ca="1">AVERAGE(OFFSET($R$3,0,0,'Données projet'!$E$9+1,1))-AVERAGE(OFFSET($H$3,0,0,'Données projet'!$E$9+1,1))</f>
        <v>367.51466260429623</v>
      </c>
      <c r="T22" s="62">
        <f t="shared" si="34"/>
        <v>297.32483725004136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projet'!$B$10,Paramètres!$A$1:$I$89,3,0)*VLOOKUP('Données projet'!$B$10,Paramètres!$A$1:$I$89,5,0)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342.8941240850686</v>
      </c>
      <c r="AN22" s="62">
        <f ca="1">AVERAGE(OFFSET($AM$3,0,0,'Données projet'!$E$10+1,1))-AVERAGE(OFFSET($H$3,0,0,'Données projet'!$E$10+1,1))</f>
        <v>188.94867378904664</v>
      </c>
      <c r="AO22" s="62">
        <f t="shared" si="36"/>
        <v>242.84781402593833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11.333333333333334</v>
      </c>
      <c r="BD22" s="13">
        <f>IF('Données projet'!$A$88&gt;35,BD21+BC22-BL21,IF(A22&lt;'Données projet'!$A$88,$BA$205^A22,IF(A22='Données projet'!$A$88,'Données projet'!$B$88,BD21+BC22-BL21)))</f>
        <v>125.66666666666667</v>
      </c>
      <c r="BE22" s="14">
        <f>BD22*VLOOKUP('Données projet'!$B$11,Paramètres!$A$1:$I$89,3,0)*VLOOKUP('Données projet'!$B$11,Paramètres!$A$1:$I$89,5,0)</f>
        <v>75.148666666666671</v>
      </c>
      <c r="BF22" s="14">
        <f t="shared" si="37"/>
        <v>20.946723857947624</v>
      </c>
      <c r="BG22" s="22">
        <f t="shared" si="7"/>
        <v>167.36613849703656</v>
      </c>
      <c r="BH22" s="62">
        <f t="shared" si="8"/>
        <v>381.51823274006006</v>
      </c>
      <c r="BI22" s="62">
        <f ca="1">AVERAGE(OFFSET($BH$3,0,0,'Données projet'!$E$11+1,1))-AVERAGE(OFFSET($H$3,0,0,'Données projet'!$E$11+1,1))</f>
        <v>367.11994336501527</v>
      </c>
      <c r="BJ22" s="62">
        <f t="shared" si="38"/>
        <v>390.81417197867484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27.599999999999994</v>
      </c>
      <c r="BY22" s="13">
        <f>IF('Données projet'!$A$114&gt;35,BY21+BX22-CG21,IF(A22&lt;'Données projet'!$A$114,$BV$205^A22,IF(A22='Données projet'!$A$114,'Données projet'!$B$114,BY21+BX22-CG21)))</f>
        <v>304.89999999999998</v>
      </c>
      <c r="BZ22" s="14">
        <f>BY22*VLOOKUP('Données projet'!$B$12,Paramètres!$A$1:$I$89,3,0)*VLOOKUP('Données projet'!$B$12,Paramètres!$A$1:$I$89,5,0)</f>
        <v>182.33019999999999</v>
      </c>
      <c r="CA22" s="14">
        <f t="shared" si="39"/>
        <v>45.840224005269164</v>
      </c>
      <c r="CB22" s="22">
        <f t="shared" si="10"/>
        <v>397.39682180917708</v>
      </c>
      <c r="CC22" s="62">
        <f t="shared" si="11"/>
        <v>611.54891605220064</v>
      </c>
      <c r="CD22" s="62">
        <f ca="1">AVERAGE(OFFSET($CC$3,0,0,'Données projet'!$E$12+1,1))-AVERAGE(OFFSET($H$3,0,0,'Données projet'!$E$12+1,1))</f>
        <v>396.15172163885632</v>
      </c>
      <c r="CE22" s="62">
        <f t="shared" si="40"/>
        <v>624.94568617205198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>
        <f>CT22*VLOOKUP('Données projet'!$B$13,Paramètres!$A$1:$I$89,3,0)*VLOOKUP('Données projet'!$B$13,Paramètres!$A$1:$I$89,5,0)</f>
        <v>0</v>
      </c>
      <c r="CV22" s="14" t="e">
        <f t="shared" si="41"/>
        <v>#NUM!</v>
      </c>
      <c r="CW22" s="22" t="e">
        <f t="shared" si="13"/>
        <v>#NUM!</v>
      </c>
      <c r="CX22" s="62" t="e">
        <f t="shared" si="14"/>
        <v>#NUM!</v>
      </c>
      <c r="CY22" s="62">
        <f ca="1">AVERAGE(OFFSET($CX$3,0,0,'Données projet'!$E$13+1,1))-AVERAGE(OFFSET($H$3,0,0,'Données projet'!$E$13+1,1))</f>
        <v>89.800041997398182</v>
      </c>
      <c r="CZ22" s="62">
        <f t="shared" si="42"/>
        <v>286.94570078060917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61.056515353594094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15.660795359634649</v>
      </c>
      <c r="DI22" s="24">
        <f t="shared" si="15"/>
        <v>76.717310713228741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364.10308709124286</v>
      </c>
      <c r="S23" s="62">
        <f ca="1">AVERAGE(OFFSET($R$3,0,0,'Données projet'!$E$9+1,1))-AVERAGE(OFFSET($H$3,0,0,'Données projet'!$E$9+1,1))</f>
        <v>367.51466260429623</v>
      </c>
      <c r="T23" s="62">
        <f t="shared" si="34"/>
        <v>297.32483725004136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projet'!$B$10,Paramètres!$A$1:$I$89,3,0)*VLOOKUP('Données projet'!$B$10,Paramètres!$A$1:$I$89,5,0)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381.26547623001761</v>
      </c>
      <c r="AN23" s="62">
        <f ca="1">AVERAGE(OFFSET($AM$3,0,0,'Données projet'!$E$10+1,1))-AVERAGE(OFFSET($H$3,0,0,'Données projet'!$E$10+1,1))</f>
        <v>188.94867378904664</v>
      </c>
      <c r="AO23" s="62">
        <f t="shared" si="36"/>
        <v>242.84781402593833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35</v>
      </c>
      <c r="AR23" s="17">
        <f>IF(ISNA(VLOOKUP(A23,'Données projet'!$A$61:$I$81,5,0)),0%,VLOOKUP(A23,'Données projet'!$A$61:$I$81,5,0)*VLOOKUP('Données projet'!$B$10,Paramètres!$A$1:$I$89,7,0))</f>
        <v>0.11000000000000001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0.8</v>
      </c>
      <c r="AU23" s="23">
        <f>EXP(-LN(2)/35)*AU22+(1-EXP(-LN(2)/35))/(LN(2)/35)*AQ23*AR23*VLOOKUP('Données projet'!$B$10,Paramètres!$A$1:$I$89,3,0)*0.475*44/12</f>
        <v>2.3902038358109636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14.836772026786809</v>
      </c>
      <c r="AX23" s="23">
        <f t="shared" si="6"/>
        <v>17.226975862597772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137</v>
      </c>
      <c r="BB23" s="13">
        <f>VLOOKUP(A23,'Données projet'!$A$87:$I$107,9,0)</f>
        <v>11.333333333333334</v>
      </c>
      <c r="BC23" s="13">
        <f t="array" ref="BC23">INDEX(BB:BB,MIN(IF(ISNUMBER(BB23:BB219),ROW(BB23:BB219),"")))</f>
        <v>11.333333333333334</v>
      </c>
      <c r="BD23" s="13">
        <f>IF('Données projet'!$A$88&gt;35,BD22+BC23-BL22,IF(A23&lt;'Données projet'!$A$88,$BA$205^A23,IF(A23='Données projet'!$A$88,'Données projet'!$B$88,BD22+BC23-BL22)))</f>
        <v>137</v>
      </c>
      <c r="BE23" s="14">
        <f>BD23*VLOOKUP('Données projet'!$B$11,Paramètres!$A$1:$I$89,3,0)*VLOOKUP('Données projet'!$B$11,Paramètres!$A$1:$I$89,5,0)</f>
        <v>81.926000000000002</v>
      </c>
      <c r="BF23" s="14">
        <f t="shared" si="37"/>
        <v>22.607447146245146</v>
      </c>
      <c r="BG23" s="22">
        <f t="shared" si="7"/>
        <v>182.06242044637693</v>
      </c>
      <c r="BH23" s="62">
        <f t="shared" si="8"/>
        <v>398.57712333327265</v>
      </c>
      <c r="BI23" s="62">
        <f ca="1">AVERAGE(OFFSET($BH$3,0,0,'Données projet'!$E$11+1,1))-AVERAGE(OFFSET($H$3,0,0,'Données projet'!$E$11+1,1))</f>
        <v>367.11994336501527</v>
      </c>
      <c r="BJ23" s="62">
        <f t="shared" si="38"/>
        <v>390.81417197867484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15</v>
      </c>
      <c r="BM23" s="17">
        <f>IF(ISNA(VLOOKUP(A23,'Données projet'!$A$87:$I$107,5,0)),0%,VLOOKUP(A23,'Données projet'!$A$87:$I$107,5,0)*VLOOKUP('Données projet'!$B$11,Paramètres!$A$1:$I$89,7,0))</f>
        <v>9.0000000000000011E-2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0.8</v>
      </c>
      <c r="BP23" s="23">
        <f>EXP(-LN(2)/35)*BP22+(1-EXP(-LN(2)/35))/(LN(2)/35)*BL23*BM23*VLOOKUP('Données projet'!$B$11,Paramètres!$A$1:$I$89,3,0)*0.475*44/12</f>
        <v>1.070935484876341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8.124898967049921</v>
      </c>
      <c r="BS23" s="24">
        <f t="shared" si="9"/>
        <v>9.1958344519262614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332.5</v>
      </c>
      <c r="BW23" s="13">
        <f>VLOOKUP(A23,'Données projet'!$A$113:$I$133,9,0)</f>
        <v>27.599999999999994</v>
      </c>
      <c r="BX23" s="13">
        <f t="array" ref="BX23">INDEX(BW:BW,MIN(IF(ISNUMBER(BW23:BW219),ROW(BW23:BW219),"")))</f>
        <v>27.599999999999994</v>
      </c>
      <c r="BY23" s="13">
        <f>IF('Données projet'!$A$114&gt;35,BY22+BX23-CG22,IF(A23&lt;'Données projet'!$A$114,$BV$205^A23,IF(A23='Données projet'!$A$114,'Données projet'!$B$114,BY22+BX23-CG22)))</f>
        <v>332.5</v>
      </c>
      <c r="BZ23" s="14">
        <f>BY23*VLOOKUP('Données projet'!$B$12,Paramètres!$A$1:$I$89,3,0)*VLOOKUP('Données projet'!$B$12,Paramètres!$A$1:$I$89,5,0)</f>
        <v>198.83500000000004</v>
      </c>
      <c r="CA23" s="14">
        <f t="shared" si="39"/>
        <v>49.488048999092378</v>
      </c>
      <c r="CB23" s="22">
        <f t="shared" si="10"/>
        <v>432.49597700675258</v>
      </c>
      <c r="CC23" s="62">
        <f t="shared" si="11"/>
        <v>649.01067989364833</v>
      </c>
      <c r="CD23" s="62">
        <f ca="1">AVERAGE(OFFSET($CC$3,0,0,'Données projet'!$E$12+1,1))-AVERAGE(OFFSET($H$3,0,0,'Données projet'!$E$12+1,1))</f>
        <v>396.15172163885632</v>
      </c>
      <c r="CE23" s="62">
        <f t="shared" si="40"/>
        <v>624.94568617205198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97.4</v>
      </c>
      <c r="CH23" s="17">
        <f>IF(ISNA(VLOOKUP(A23,'Données projet'!$A$113:$I$133,5,0)),0%,VLOOKUP(A23,'Données projet'!$A$113:$I$133,5,0)*VLOOKUP('Données projet'!$B$12,Paramètres!$A$1:$I$89,7,0))</f>
        <v>9.0000000000000011E-2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0.8</v>
      </c>
      <c r="CK23" s="23">
        <f>EXP(-LN(2)/35)*CK22+(1-EXP(-LN(2)/35))/(LN(2)/35)*CG23*CH23*VLOOKUP('Données projet'!$B$12,Paramètres!$A$1:$I$89,3,0)*0.475*44/12</f>
        <v>6.9539410817970406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52.757677292710831</v>
      </c>
      <c r="CN23" s="24">
        <f t="shared" si="12"/>
        <v>59.711618374507871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>
        <f>CT23*VLOOKUP('Données projet'!$B$13,Paramètres!$A$1:$I$89,3,0)*VLOOKUP('Données projet'!$B$13,Paramètres!$A$1:$I$89,5,0)</f>
        <v>0</v>
      </c>
      <c r="CV23" s="14" t="e">
        <f t="shared" si="41"/>
        <v>#NUM!</v>
      </c>
      <c r="CW23" s="22" t="e">
        <f t="shared" si="13"/>
        <v>#NUM!</v>
      </c>
      <c r="CX23" s="62" t="e">
        <f t="shared" si="14"/>
        <v>#NUM!</v>
      </c>
      <c r="CY23" s="62">
        <f ca="1">AVERAGE(OFFSET($CX$3,0,0,'Données projet'!$E$13+1,1))-AVERAGE(OFFSET($H$3,0,0,'Données projet'!$E$13+1,1))</f>
        <v>89.800041997398182</v>
      </c>
      <c r="CZ23" s="62">
        <f t="shared" si="42"/>
        <v>286.94570078060917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59.859234328307252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11.073854597572478</v>
      </c>
      <c r="DI23" s="24">
        <f t="shared" si="15"/>
        <v>70.93308892587973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368.80929029089941</v>
      </c>
      <c r="S24" s="62">
        <f ca="1">AVERAGE(OFFSET($R$3,0,0,'Données projet'!$E$9+1,1))-AVERAGE(OFFSET($H$3,0,0,'Données projet'!$E$9+1,1))</f>
        <v>367.51466260429623</v>
      </c>
      <c r="T24" s="62">
        <f t="shared" si="34"/>
        <v>297.32483725004136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9.1999999999999993</v>
      </c>
      <c r="AI24" s="14">
        <f>IF('Données projet'!$A$62&gt;35,AI23+AH24-AQ23,IF(A24&lt;'Données projet'!$A$62,$AF$205^A24,IF(A24='Données projet'!$A$62,'Données projet'!$B$62,AI23+AH24-AQ23)))</f>
        <v>132.19999999999999</v>
      </c>
      <c r="AJ24" s="14">
        <f>AI24*VLOOKUP('Données projet'!$B$10,Paramètres!$A$1:$I$89,3,0)*VLOOKUP('Données projet'!$B$10,Paramètres!$A$1:$I$89,5,0)</f>
        <v>61.869599999999991</v>
      </c>
      <c r="AK24" s="14">
        <f t="shared" si="35"/>
        <v>17.640115095232353</v>
      </c>
      <c r="AL24" s="22">
        <f t="shared" si="4"/>
        <v>138.47942045752964</v>
      </c>
      <c r="AM24" s="62">
        <f t="shared" si="5"/>
        <v>357.33694883340399</v>
      </c>
      <c r="AN24" s="62">
        <f ca="1">AVERAGE(OFFSET($AM$3,0,0,'Données projet'!$E$10+1,1))-AVERAGE(OFFSET($H$3,0,0,'Données projet'!$E$10+1,1))</f>
        <v>188.94867378904664</v>
      </c>
      <c r="AO24" s="62">
        <f t="shared" si="36"/>
        <v>242.84781402593833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2.3433333964710967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10.49118211105983</v>
      </c>
      <c r="AX24" s="23">
        <f t="shared" si="6"/>
        <v>12.834515507530927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16.399999999999999</v>
      </c>
      <c r="BD24" s="13">
        <f>IF('Données projet'!$A$88&gt;35,BD23+BC24-BL23,IF(A24&lt;'Données projet'!$A$88,$BA$205^A24,IF(A24='Données projet'!$A$88,'Données projet'!$B$88,BD23+BC24-BL23)))</f>
        <v>138.4</v>
      </c>
      <c r="BE24" s="14">
        <f>BD24*VLOOKUP('Données projet'!$B$11,Paramètres!$A$1:$I$89,3,0)*VLOOKUP('Données projet'!$B$11,Paramètres!$A$1:$I$89,5,0)</f>
        <v>82.763200000000012</v>
      </c>
      <c r="BF24" s="14">
        <f t="shared" si="37"/>
        <v>22.811459894537176</v>
      </c>
      <c r="BG24" s="22">
        <f t="shared" si="7"/>
        <v>183.8758659829856</v>
      </c>
      <c r="BH24" s="62">
        <f t="shared" si="8"/>
        <v>402.73339435885998</v>
      </c>
      <c r="BI24" s="62">
        <f ca="1">AVERAGE(OFFSET($BH$3,0,0,'Données projet'!$E$11+1,1))-AVERAGE(OFFSET($H$3,0,0,'Données projet'!$E$11+1,1))</f>
        <v>367.11994336501527</v>
      </c>
      <c r="BJ24" s="62">
        <f t="shared" si="38"/>
        <v>390.81417197867484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1.049935093224063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5.7451711560565748</v>
      </c>
      <c r="BS24" s="24">
        <f t="shared" si="9"/>
        <v>6.7951062492806376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20.750000000000014</v>
      </c>
      <c r="BY24" s="13">
        <f>IF('Données projet'!$A$114&gt;35,BY23+BX24-CG23,IF(A24&lt;'Données projet'!$A$114,$BV$205^A24,IF(A24='Données projet'!$A$114,'Données projet'!$B$114,BY23+BX24-CG23)))</f>
        <v>255.85</v>
      </c>
      <c r="BZ24" s="14">
        <f>BY24*VLOOKUP('Données projet'!$B$12,Paramètres!$A$1:$I$89,3,0)*VLOOKUP('Données projet'!$B$12,Paramètres!$A$1:$I$89,5,0)</f>
        <v>152.9983</v>
      </c>
      <c r="CA24" s="14">
        <f t="shared" si="39"/>
        <v>39.259173219084879</v>
      </c>
      <c r="CB24" s="22">
        <f t="shared" si="10"/>
        <v>334.84843252323952</v>
      </c>
      <c r="CC24" s="62">
        <f t="shared" si="11"/>
        <v>553.70596089911396</v>
      </c>
      <c r="CD24" s="62">
        <f ca="1">AVERAGE(OFFSET($CC$3,0,0,'Données projet'!$E$12+1,1))-AVERAGE(OFFSET($H$3,0,0,'Données projet'!$E$12+1,1))</f>
        <v>396.15172163885632</v>
      </c>
      <c r="CE24" s="62">
        <f t="shared" si="40"/>
        <v>624.94568617205198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6.8175785386682488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37.30531137332737</v>
      </c>
      <c r="CN24" s="24">
        <f t="shared" si="12"/>
        <v>44.122889911995621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>
        <f>CT24*VLOOKUP('Données projet'!$B$13,Paramètres!$A$1:$I$89,3,0)*VLOOKUP('Données projet'!$B$13,Paramètres!$A$1:$I$89,5,0)</f>
        <v>0</v>
      </c>
      <c r="CV24" s="14" t="e">
        <f t="shared" si="41"/>
        <v>#NUM!</v>
      </c>
      <c r="CW24" s="22" t="e">
        <f t="shared" si="13"/>
        <v>#NUM!</v>
      </c>
      <c r="CX24" s="62" t="e">
        <f t="shared" si="14"/>
        <v>#NUM!</v>
      </c>
      <c r="CY24" s="62">
        <f ca="1">AVERAGE(OFFSET($CX$3,0,0,'Données projet'!$E$13+1,1))-AVERAGE(OFFSET($H$3,0,0,'Données projet'!$E$13+1,1))</f>
        <v>89.800041997398182</v>
      </c>
      <c r="CZ24" s="62">
        <f t="shared" si="42"/>
        <v>286.94570078060917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58.685431253656972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7.8303976798173256</v>
      </c>
      <c r="DI24" s="24">
        <f t="shared" si="15"/>
        <v>66.515828933474296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385.29482020389531</v>
      </c>
      <c r="S25" s="62">
        <f ca="1">AVERAGE(OFFSET($R$3,0,0,'Données projet'!$E$9+1,1))-AVERAGE(OFFSET($H$3,0,0,'Données projet'!$E$9+1,1))</f>
        <v>367.51466260429623</v>
      </c>
      <c r="T25" s="62">
        <f t="shared" si="34"/>
        <v>297.32483725004136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9.1999999999999993</v>
      </c>
      <c r="AI25" s="14">
        <f>IF('Données projet'!$A$62&gt;35,AI24+AH25-AQ24,IF(A25&lt;'Données projet'!$A$62,$AF$205^A25,IF(A25='Données projet'!$A$62,'Données projet'!$B$62,AI24+AH25-AQ24)))</f>
        <v>141.39999999999998</v>
      </c>
      <c r="AJ25" s="14">
        <f>AI25*VLOOKUP('Données projet'!$B$10,Paramètres!$A$1:$I$89,3,0)*VLOOKUP('Données projet'!$B$10,Paramètres!$A$1:$I$89,5,0)</f>
        <v>66.17519999999999</v>
      </c>
      <c r="AK25" s="14">
        <f t="shared" si="35"/>
        <v>18.720541159483023</v>
      </c>
      <c r="AL25" s="22">
        <f t="shared" si="4"/>
        <v>147.86008251943289</v>
      </c>
      <c r="AM25" s="62">
        <f t="shared" si="5"/>
        <v>369.04099642290129</v>
      </c>
      <c r="AN25" s="62">
        <f ca="1">AVERAGE(OFFSET($AM$3,0,0,'Données projet'!$E$10+1,1))-AVERAGE(OFFSET($H$3,0,0,'Données projet'!$E$10+1,1))</f>
        <v>188.94867378904664</v>
      </c>
      <c r="AO25" s="62">
        <f t="shared" si="36"/>
        <v>242.84781402593833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2.2973820578585396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7.4183860133934054</v>
      </c>
      <c r="AX25" s="23">
        <f t="shared" si="6"/>
        <v>9.7157680712519454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16.399999999999999</v>
      </c>
      <c r="BD25" s="13">
        <f>IF('Données projet'!$A$88&gt;35,BD24+BC25-BL24,IF(A25&lt;'Données projet'!$A$88,$BA$205^A25,IF(A25='Données projet'!$A$88,'Données projet'!$B$88,BD24+BC25-BL24)))</f>
        <v>154.80000000000001</v>
      </c>
      <c r="BE25" s="14">
        <f>BD25*VLOOKUP('Données projet'!$B$11,Paramètres!$A$1:$I$89,3,0)*VLOOKUP('Données projet'!$B$11,Paramètres!$A$1:$I$89,5,0)</f>
        <v>92.570400000000021</v>
      </c>
      <c r="BF25" s="14">
        <f t="shared" si="37"/>
        <v>25.184123943972491</v>
      </c>
      <c r="BG25" s="22">
        <f t="shared" si="7"/>
        <v>205.0891292024188</v>
      </c>
      <c r="BH25" s="62">
        <f t="shared" si="8"/>
        <v>426.27004310588723</v>
      </c>
      <c r="BI25" s="62">
        <f ca="1">AVERAGE(OFFSET($BH$3,0,0,'Données projet'!$E$11+1,1))-AVERAGE(OFFSET($H$3,0,0,'Données projet'!$E$11+1,1))</f>
        <v>367.11994336501527</v>
      </c>
      <c r="BJ25" s="62">
        <f t="shared" si="38"/>
        <v>390.81417197867484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1.029346506443112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4.0624494835249614</v>
      </c>
      <c r="BS25" s="24">
        <f t="shared" si="9"/>
        <v>5.0917959899680731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>
        <f>VLOOKUP(A25,'Données projet'!$A$113:$I$133,2,0)</f>
        <v>276.60000000000002</v>
      </c>
      <c r="BW25" s="13">
        <f>VLOOKUP(A25,'Données projet'!$A$113:$I$133,9,0)</f>
        <v>20.750000000000014</v>
      </c>
      <c r="BX25" s="13">
        <f t="array" ref="BX25">INDEX(BW:BW,MIN(IF(ISNUMBER(BW25:BW221),ROW(BW25:BW221),"")))</f>
        <v>20.750000000000014</v>
      </c>
      <c r="BY25" s="13">
        <f>IF('Données projet'!$A$114&gt;35,BY24+BX25-CG24,IF(A25&lt;'Données projet'!$A$114,$BV$205^A25,IF(A25='Données projet'!$A$114,'Données projet'!$B$114,BY24+BX25-CG24)))</f>
        <v>276.60000000000002</v>
      </c>
      <c r="BZ25" s="14">
        <f>BY25*VLOOKUP('Données projet'!$B$12,Paramètres!$A$1:$I$89,3,0)*VLOOKUP('Données projet'!$B$12,Paramètres!$A$1:$I$89,5,0)</f>
        <v>165.40680000000003</v>
      </c>
      <c r="CA25" s="14">
        <f t="shared" si="39"/>
        <v>42.059665415705545</v>
      </c>
      <c r="CB25" s="22">
        <f t="shared" si="10"/>
        <v>361.33742726568721</v>
      </c>
      <c r="CC25" s="62">
        <f t="shared" si="11"/>
        <v>582.51834116915563</v>
      </c>
      <c r="CD25" s="62">
        <f ca="1">AVERAGE(OFFSET($CC$3,0,0,'Données projet'!$E$12+1,1))-AVERAGE(OFFSET($H$3,0,0,'Données projet'!$E$12+1,1))</f>
        <v>396.15172163885632</v>
      </c>
      <c r="CE25" s="62">
        <f t="shared" si="40"/>
        <v>624.94568617205198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6.6838899818372735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26.378838646355423</v>
      </c>
      <c r="CN25" s="24">
        <f t="shared" si="12"/>
        <v>33.062728628192694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>
        <f>CT25*VLOOKUP('Données projet'!$B$13,Paramètres!$A$1:$I$89,3,0)*VLOOKUP('Données projet'!$B$13,Paramètres!$A$1:$I$89,5,0)</f>
        <v>0</v>
      </c>
      <c r="CV25" s="14" t="e">
        <f t="shared" si="41"/>
        <v>#NUM!</v>
      </c>
      <c r="CW25" s="22" t="e">
        <f t="shared" si="13"/>
        <v>#NUM!</v>
      </c>
      <c r="CX25" s="62" t="e">
        <f t="shared" si="14"/>
        <v>#NUM!</v>
      </c>
      <c r="CY25" s="62">
        <f ca="1">AVERAGE(OFFSET($CX$3,0,0,'Données projet'!$E$13+1,1))-AVERAGE(OFFSET($H$3,0,0,'Données projet'!$E$13+1,1))</f>
        <v>89.800041997398182</v>
      </c>
      <c r="CZ25" s="62">
        <f t="shared" si="42"/>
        <v>286.94570078060917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57.534645741351405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5.5369272987862397</v>
      </c>
      <c r="DI25" s="24">
        <f t="shared" si="15"/>
        <v>63.071573040137643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401.73236386226296</v>
      </c>
      <c r="S26" s="62">
        <f ca="1">AVERAGE(OFFSET($R$3,0,0,'Données projet'!$E$9+1,1))-AVERAGE(OFFSET($H$3,0,0,'Données projet'!$E$9+1,1))</f>
        <v>367.51466260429623</v>
      </c>
      <c r="T26" s="62">
        <f t="shared" si="34"/>
        <v>297.32483725004136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9.1999999999999993</v>
      </c>
      <c r="AI26" s="14">
        <f>IF('Données projet'!$A$62&gt;35,AI25+AH26-AQ25,IF(A26&lt;'Données projet'!$A$62,$AF$205^A26,IF(A26='Données projet'!$A$62,'Données projet'!$B$62,AI25+AH26-AQ25)))</f>
        <v>150.59999999999997</v>
      </c>
      <c r="AJ26" s="14">
        <f>AI26*VLOOKUP('Données projet'!$B$10,Paramètres!$A$1:$I$89,3,0)*VLOOKUP('Données projet'!$B$10,Paramètres!$A$1:$I$89,5,0)</f>
        <v>70.480799999999988</v>
      </c>
      <c r="AK26" s="14">
        <f t="shared" si="35"/>
        <v>19.792809548371892</v>
      </c>
      <c r="AL26" s="22">
        <f t="shared" si="4"/>
        <v>157.226536630081</v>
      </c>
      <c r="AM26" s="62">
        <f t="shared" si="5"/>
        <v>380.71173333962747</v>
      </c>
      <c r="AN26" s="62">
        <f ca="1">AVERAGE(OFFSET($AM$3,0,0,'Données projet'!$E$10+1,1))-AVERAGE(OFFSET($H$3,0,0,'Données projet'!$E$10+1,1))</f>
        <v>188.94867378904664</v>
      </c>
      <c r="AO26" s="62">
        <f t="shared" si="36"/>
        <v>242.84781402593833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2.2523317969686256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5.2455910555299159</v>
      </c>
      <c r="AX26" s="23">
        <f t="shared" si="6"/>
        <v>7.497922852498542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16.399999999999999</v>
      </c>
      <c r="BD26" s="13">
        <f>IF('Données projet'!$A$88&gt;35,BD25+BC26-BL25,IF(A26&lt;'Données projet'!$A$88,$BA$205^A26,IF(A26='Données projet'!$A$88,'Données projet'!$B$88,BD25+BC26-BL25)))</f>
        <v>171.20000000000002</v>
      </c>
      <c r="BE26" s="14">
        <f>BD26*VLOOKUP('Données projet'!$B$11,Paramètres!$A$1:$I$89,3,0)*VLOOKUP('Données projet'!$B$11,Paramètres!$A$1:$I$89,5,0)</f>
        <v>102.37760000000002</v>
      </c>
      <c r="BF26" s="14">
        <f t="shared" si="37"/>
        <v>27.527651005505614</v>
      </c>
      <c r="BG26" s="22">
        <f t="shared" si="7"/>
        <v>226.25164550125564</v>
      </c>
      <c r="BH26" s="62">
        <f t="shared" si="8"/>
        <v>449.73684221080214</v>
      </c>
      <c r="BI26" s="62">
        <f ca="1">AVERAGE(OFFSET($BH$3,0,0,'Données projet'!$E$11+1,1))-AVERAGE(OFFSET($H$3,0,0,'Données projet'!$E$11+1,1))</f>
        <v>367.11994336501527</v>
      </c>
      <c r="BJ26" s="62">
        <f t="shared" si="38"/>
        <v>390.81417197867484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1.0091616492911375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2.8725855780282878</v>
      </c>
      <c r="BS26" s="24">
        <f t="shared" si="9"/>
        <v>3.8817472273194253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22.199999999999989</v>
      </c>
      <c r="BY26" s="13">
        <f>IF('Données projet'!$A$114&gt;35,BY25+BX26-CG25,IF(A26&lt;'Données projet'!$A$114,$BV$205^A26,IF(A26='Données projet'!$A$114,'Données projet'!$B$114,BY25+BX26-CG25)))</f>
        <v>298.8</v>
      </c>
      <c r="BZ26" s="14">
        <f>BY26*VLOOKUP('Données projet'!$B$12,Paramètres!$A$1:$I$89,3,0)*VLOOKUP('Données projet'!$B$12,Paramètres!$A$1:$I$89,5,0)</f>
        <v>178.68240000000003</v>
      </c>
      <c r="CA26" s="14">
        <f t="shared" si="39"/>
        <v>45.028919214980071</v>
      </c>
      <c r="CB26" s="22">
        <f t="shared" si="10"/>
        <v>389.63054763275699</v>
      </c>
      <c r="CC26" s="62">
        <f t="shared" si="11"/>
        <v>613.11574434230351</v>
      </c>
      <c r="CD26" s="62">
        <f ca="1">AVERAGE(OFFSET($CC$3,0,0,'Données projet'!$E$12+1,1))-AVERAGE(OFFSET($H$3,0,0,'Données projet'!$E$12+1,1))</f>
        <v>396.15172163885632</v>
      </c>
      <c r="CE26" s="62">
        <f t="shared" si="40"/>
        <v>624.94568617205198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6.5528229760637862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18.652655686663689</v>
      </c>
      <c r="CN26" s="24">
        <f t="shared" si="12"/>
        <v>25.205478662727476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>
        <f>CT26*VLOOKUP('Données projet'!$B$13,Paramètres!$A$1:$I$89,3,0)*VLOOKUP('Données projet'!$B$13,Paramètres!$A$1:$I$89,5,0)</f>
        <v>0</v>
      </c>
      <c r="CV26" s="14" t="e">
        <f t="shared" si="41"/>
        <v>#NUM!</v>
      </c>
      <c r="CW26" s="22" t="e">
        <f t="shared" si="13"/>
        <v>#NUM!</v>
      </c>
      <c r="CX26" s="62" t="e">
        <f t="shared" si="14"/>
        <v>#NUM!</v>
      </c>
      <c r="CY26" s="62">
        <f ca="1">AVERAGE(OFFSET($CX$3,0,0,'Données projet'!$E$13+1,1))-AVERAGE(OFFSET($H$3,0,0,'Données projet'!$E$13+1,1))</f>
        <v>89.800041997398182</v>
      </c>
      <c r="CZ26" s="62">
        <f t="shared" si="42"/>
        <v>286.94570078060917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56.406426431032294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3.9151988399086637</v>
      </c>
      <c r="DI26" s="24">
        <f t="shared" si="15"/>
        <v>60.321625270940956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418.12486670230362</v>
      </c>
      <c r="S27" s="62">
        <f ca="1">AVERAGE(OFFSET($R$3,0,0,'Données projet'!$E$9+1,1))-AVERAGE(OFFSET($H$3,0,0,'Données projet'!$E$9+1,1))</f>
        <v>367.51466260429623</v>
      </c>
      <c r="T27" s="62">
        <f t="shared" si="34"/>
        <v>297.32483725004136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9.1999999999999993</v>
      </c>
      <c r="AI27" s="14">
        <f>IF('Données projet'!$A$62&gt;35,AI26+AH27-AQ26,IF(A27&lt;'Données projet'!$A$62,$AF$205^A27,IF(A27='Données projet'!$A$62,'Données projet'!$B$62,AI26+AH27-AQ26)))</f>
        <v>159.79999999999995</v>
      </c>
      <c r="AJ27" s="14">
        <f>AI27*VLOOKUP('Données projet'!$B$10,Paramètres!$A$1:$I$89,3,0)*VLOOKUP('Données projet'!$B$10,Paramètres!$A$1:$I$89,5,0)</f>
        <v>74.786399999999986</v>
      </c>
      <c r="AK27" s="14">
        <f t="shared" si="35"/>
        <v>20.857475351088951</v>
      </c>
      <c r="AL27" s="22">
        <f t="shared" si="4"/>
        <v>166.57974956981323</v>
      </c>
      <c r="AM27" s="62">
        <f t="shared" si="5"/>
        <v>392.35045775343303</v>
      </c>
      <c r="AN27" s="62">
        <f ca="1">AVERAGE(OFFSET($AM$3,0,0,'Données projet'!$E$10+1,1))-AVERAGE(OFFSET($H$3,0,0,'Données projet'!$E$10+1,1))</f>
        <v>188.94867378904664</v>
      </c>
      <c r="AO27" s="62">
        <f t="shared" si="36"/>
        <v>242.84781402593833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2.2081649442168167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3.7091930066967032</v>
      </c>
      <c r="AX27" s="23">
        <f t="shared" si="6"/>
        <v>5.9173579509135195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16.399999999999999</v>
      </c>
      <c r="BD27" s="13">
        <f>IF('Données projet'!$A$88&gt;35,BD26+BC27-BL26,IF(A27&lt;'Données projet'!$A$88,$BA$205^A27,IF(A27='Données projet'!$A$88,'Données projet'!$B$88,BD26+BC27-BL26)))</f>
        <v>187.60000000000002</v>
      </c>
      <c r="BE27" s="14">
        <f>BD27*VLOOKUP('Données projet'!$B$11,Paramètres!$A$1:$I$89,3,0)*VLOOKUP('Données projet'!$B$11,Paramètres!$A$1:$I$89,5,0)</f>
        <v>112.18480000000002</v>
      </c>
      <c r="BF27" s="14">
        <f t="shared" si="37"/>
        <v>29.845149809641946</v>
      </c>
      <c r="BG27" s="22">
        <f t="shared" si="7"/>
        <v>247.36882925179307</v>
      </c>
      <c r="BH27" s="62">
        <f t="shared" si="8"/>
        <v>473.13953743541288</v>
      </c>
      <c r="BI27" s="62">
        <f ca="1">AVERAGE(OFFSET($BH$3,0,0,'Données projet'!$E$11+1,1))-AVERAGE(OFFSET($H$3,0,0,'Données projet'!$E$11+1,1))</f>
        <v>367.11994336501527</v>
      </c>
      <c r="BJ27" s="62">
        <f t="shared" si="38"/>
        <v>390.81417197867484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0.98937260487636602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2.0312247417624807</v>
      </c>
      <c r="BS27" s="24">
        <f t="shared" si="9"/>
        <v>3.0205973466388469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>
        <f>VLOOKUP(A27,'Données projet'!$A$113:$I$133,2,0)</f>
        <v>321</v>
      </c>
      <c r="BW27" s="13">
        <f>VLOOKUP(A27,'Données projet'!$A$113:$I$133,9,0)</f>
        <v>22.199999999999989</v>
      </c>
      <c r="BX27" s="13">
        <f t="array" ref="BX27">INDEX(BW:BW,MIN(IF(ISNUMBER(BW27:BW223),ROW(BW27:BW223),"")))</f>
        <v>22.199999999999989</v>
      </c>
      <c r="BY27" s="13">
        <f>IF('Données projet'!$A$114&gt;35,BY26+BX27-CG26,IF(A27&lt;'Données projet'!$A$114,$BV$205^A27,IF(A27='Données projet'!$A$114,'Données projet'!$B$114,BY26+BX27-CG26)))</f>
        <v>321</v>
      </c>
      <c r="BZ27" s="14">
        <f>BY27*VLOOKUP('Données projet'!$B$12,Paramètres!$A$1:$I$89,3,0)*VLOOKUP('Données projet'!$B$12,Paramètres!$A$1:$I$89,5,0)</f>
        <v>191.958</v>
      </c>
      <c r="CA27" s="14">
        <f t="shared" si="39"/>
        <v>47.972580210954568</v>
      </c>
      <c r="CB27" s="22">
        <f t="shared" si="10"/>
        <v>417.87909386741256</v>
      </c>
      <c r="CC27" s="62">
        <f t="shared" si="11"/>
        <v>643.64980205103234</v>
      </c>
      <c r="CD27" s="62">
        <f ca="1">AVERAGE(OFFSET($CC$3,0,0,'Données projet'!$E$12+1,1))-AVERAGE(OFFSET($H$3,0,0,'Données projet'!$E$12+1,1))</f>
        <v>396.15172163885632</v>
      </c>
      <c r="CE27" s="62">
        <f t="shared" si="40"/>
        <v>624.94568617205198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6.4243261143305368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13.189419323177713</v>
      </c>
      <c r="CN27" s="24">
        <f t="shared" si="12"/>
        <v>19.61374543750825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>
        <f>CT27*VLOOKUP('Données projet'!$B$13,Paramètres!$A$1:$I$89,3,0)*VLOOKUP('Données projet'!$B$13,Paramètres!$A$1:$I$89,5,0)</f>
        <v>0</v>
      </c>
      <c r="CV27" s="14" t="e">
        <f t="shared" si="41"/>
        <v>#NUM!</v>
      </c>
      <c r="CW27" s="22" t="e">
        <f t="shared" si="13"/>
        <v>#NUM!</v>
      </c>
      <c r="CX27" s="62" t="e">
        <f t="shared" si="14"/>
        <v>#NUM!</v>
      </c>
      <c r="CY27" s="62">
        <f ca="1">AVERAGE(OFFSET($CX$3,0,0,'Données projet'!$E$13+1,1))-AVERAGE(OFFSET($H$3,0,0,'Données projet'!$E$13+1,1))</f>
        <v>89.800041997398182</v>
      </c>
      <c r="CZ27" s="62">
        <f t="shared" si="42"/>
        <v>286.94570078060917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55.300330813242709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2.7684636493931203</v>
      </c>
      <c r="DI27" s="24">
        <f t="shared" si="15"/>
        <v>58.068794462635829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434.47485318479289</v>
      </c>
      <c r="S28" s="62">
        <f ca="1">AVERAGE(OFFSET($R$3,0,0,'Données projet'!$E$9+1,1))-AVERAGE(OFFSET($H$3,0,0,'Données projet'!$E$9+1,1))</f>
        <v>367.51466260429623</v>
      </c>
      <c r="T28" s="62">
        <f t="shared" si="34"/>
        <v>297.32483725004136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11.951844132689374</v>
      </c>
      <c r="AC28" s="24">
        <f t="shared" si="3"/>
        <v>11.951844132689374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169</v>
      </c>
      <c r="AG28" s="13">
        <f>VLOOKUP(A28,'Données projet'!$A$61:$I$81,9,0)</f>
        <v>9.1999999999999993</v>
      </c>
      <c r="AH28" s="13">
        <f t="array" ref="AH28">INDEX(AG:AG,MIN(IF(ISNUMBER(AG28:AG224),ROW(AG28:AG224),"")))</f>
        <v>9.1999999999999993</v>
      </c>
      <c r="AI28" s="14">
        <f>IF('Données projet'!$A$62&gt;35,AI27+AH28-AQ27,IF(A28&lt;'Données projet'!$A$62,$AF$205^A28,IF(A28='Données projet'!$A$62,'Données projet'!$B$62,AI27+AH28-AQ27)))</f>
        <v>168.99999999999994</v>
      </c>
      <c r="AJ28" s="14">
        <f>AI28*VLOOKUP('Données projet'!$B$10,Paramètres!$A$1:$I$89,3,0)*VLOOKUP('Données projet'!$B$10,Paramètres!$A$1:$I$89,5,0)</f>
        <v>79.09199999999997</v>
      </c>
      <c r="AK28" s="14">
        <f t="shared" si="35"/>
        <v>21.915026131449999</v>
      </c>
      <c r="AL28" s="22">
        <f t="shared" si="4"/>
        <v>175.92057051227536</v>
      </c>
      <c r="AM28" s="62">
        <f t="shared" si="5"/>
        <v>403.9583444786075</v>
      </c>
      <c r="AN28" s="62">
        <f ca="1">AVERAGE(OFFSET($AM$3,0,0,'Données projet'!$E$10+1,1))-AVERAGE(OFFSET($H$3,0,0,'Données projet'!$E$10+1,1))</f>
        <v>188.94867378904664</v>
      </c>
      <c r="AO28" s="62">
        <f t="shared" si="36"/>
        <v>242.84781402593833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35</v>
      </c>
      <c r="AR28" s="17">
        <f>IF(ISNA(VLOOKUP(A28,'Données projet'!$A$61:$I$81,5,0)),0%,VLOOKUP(A28,'Données projet'!$A$61:$I$81,5,0)*VLOOKUP('Données projet'!$B$10,Paramètres!$A$1:$I$89,7,0))</f>
        <v>0.24750000000000003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0.55000000000000004</v>
      </c>
      <c r="AU28" s="23">
        <f>EXP(-LN(2)/35)*AU27+(1-EXP(-LN(2)/35))/(LN(2)/35)*AQ28*AR28*VLOOKUP('Données projet'!$B$10,Paramètres!$A$1:$I$89,3,0)*0.475*44/12</f>
        <v>7.5428228070830192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12.82307629618089</v>
      </c>
      <c r="AX28" s="23">
        <f t="shared" si="6"/>
        <v>20.36589910326391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204</v>
      </c>
      <c r="BB28" s="13">
        <f>VLOOKUP(A28,'Données projet'!$A$87:$I$107,9,0)</f>
        <v>16.399999999999999</v>
      </c>
      <c r="BC28" s="13">
        <f t="array" ref="BC28">INDEX(BB:BB,MIN(IF(ISNUMBER(BB28:BB224),ROW(BB28:BB224),"")))</f>
        <v>16.399999999999999</v>
      </c>
      <c r="BD28" s="13">
        <f>IF('Données projet'!$A$88&gt;35,BD27+BC28-BL27,IF(A28&lt;'Données projet'!$A$88,$BA$205^A28,IF(A28='Données projet'!$A$88,'Données projet'!$B$88,BD27+BC28-BL27)))</f>
        <v>204.00000000000003</v>
      </c>
      <c r="BE28" s="14">
        <f>BD28*VLOOKUP('Données projet'!$B$11,Paramètres!$A$1:$I$89,3,0)*VLOOKUP('Données projet'!$B$11,Paramètres!$A$1:$I$89,5,0)</f>
        <v>121.99200000000003</v>
      </c>
      <c r="BF28" s="14">
        <f t="shared" si="37"/>
        <v>32.139154469866327</v>
      </c>
      <c r="BG28" s="22">
        <f t="shared" si="7"/>
        <v>268.44509403501723</v>
      </c>
      <c r="BH28" s="62">
        <f t="shared" si="8"/>
        <v>496.48286800134935</v>
      </c>
      <c r="BI28" s="62">
        <f ca="1">AVERAGE(OFFSET($BH$3,0,0,'Données projet'!$E$11+1,1))-AVERAGE(OFFSET($H$3,0,0,'Données projet'!$E$11+1,1))</f>
        <v>367.11994336501527</v>
      </c>
      <c r="BJ28" s="62">
        <f t="shared" si="38"/>
        <v>390.81417197867484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36</v>
      </c>
      <c r="BM28" s="17">
        <f>IF(ISNA(VLOOKUP(A28,'Données projet'!$A$87:$I$107,5,0)),0%,VLOOKUP(A28,'Données projet'!$A$87:$I$107,5,0)*VLOOKUP('Données projet'!$B$11,Paramètres!$A$1:$I$89,7,0))</f>
        <v>0.20250000000000001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0.55000000000000004</v>
      </c>
      <c r="BP28" s="23">
        <f>EXP(-LN(2)/35)*BP27+(1-EXP(-LN(2)/35))/(LN(2)/35)*BL28*BM28*VLOOKUP('Données projet'!$B$11,Paramètres!$A$1:$I$89,3,0)*0.475*44/12</f>
        <v>6.7530232298846835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14.84237608464651</v>
      </c>
      <c r="BS28" s="24">
        <f t="shared" si="9"/>
        <v>21.595399314531193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21.199999999999989</v>
      </c>
      <c r="BY28" s="13">
        <f>IF('Données projet'!$A$114&gt;35,BY27+BX28-CG27,IF(A28&lt;'Données projet'!$A$114,$BV$205^A28,IF(A28='Données projet'!$A$114,'Données projet'!$B$114,BY27+BX28-CG27)))</f>
        <v>342.2</v>
      </c>
      <c r="BZ28" s="14">
        <f>BY28*VLOOKUP('Données projet'!$B$12,Paramètres!$A$1:$I$89,3,0)*VLOOKUP('Données projet'!$B$12,Paramètres!$A$1:$I$89,5,0)</f>
        <v>204.63560000000001</v>
      </c>
      <c r="CA28" s="14">
        <f t="shared" si="39"/>
        <v>50.761569737696085</v>
      </c>
      <c r="CB28" s="22">
        <f t="shared" si="10"/>
        <v>444.81673729315395</v>
      </c>
      <c r="CC28" s="62">
        <f t="shared" si="11"/>
        <v>672.85451125948612</v>
      </c>
      <c r="CD28" s="62">
        <f ca="1">AVERAGE(OFFSET($CC$3,0,0,'Données projet'!$E$12+1,1))-AVERAGE(OFFSET($H$3,0,0,'Données projet'!$E$12+1,1))</f>
        <v>396.15172163885632</v>
      </c>
      <c r="CE28" s="62">
        <f t="shared" si="40"/>
        <v>624.94568617205198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6.29834899768053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9.3263278433318462</v>
      </c>
      <c r="CN28" s="24">
        <f t="shared" si="12"/>
        <v>15.624676841012377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>
        <f>CT28*VLOOKUP('Données projet'!$B$13,Paramètres!$A$1:$I$89,3,0)*VLOOKUP('Données projet'!$B$13,Paramètres!$A$1:$I$89,5,0)</f>
        <v>0</v>
      </c>
      <c r="CV28" s="14" t="e">
        <f t="shared" si="41"/>
        <v>#NUM!</v>
      </c>
      <c r="CW28" s="22" t="e">
        <f t="shared" si="13"/>
        <v>#NUM!</v>
      </c>
      <c r="CX28" s="62" t="e">
        <f t="shared" si="14"/>
        <v>#NUM!</v>
      </c>
      <c r="CY28" s="62">
        <f ca="1">AVERAGE(OFFSET($CX$3,0,0,'Données projet'!$E$13+1,1))-AVERAGE(OFFSET($H$3,0,0,'Données projet'!$E$13+1,1))</f>
        <v>89.800041997398182</v>
      </c>
      <c r="CZ28" s="62">
        <f t="shared" si="42"/>
        <v>286.94570078060917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54.215925055866265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1.9575994199543321</v>
      </c>
      <c r="DI28" s="24">
        <f t="shared" si="15"/>
        <v>56.173524475820599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399.90016633808318</v>
      </c>
      <c r="S29" s="62">
        <f ca="1">AVERAGE(OFFSET($R$3,0,0,'Données projet'!$E$9+1,1))-AVERAGE(OFFSET($H$3,0,0,'Données projet'!$E$9+1,1))</f>
        <v>367.51466260429623</v>
      </c>
      <c r="T29" s="62">
        <f t="shared" si="34"/>
        <v>297.32483725004136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8.451230033909308</v>
      </c>
      <c r="AC29" s="24">
        <f t="shared" si="3"/>
        <v>8.451230033909308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143.19999999999993</v>
      </c>
      <c r="AJ29" s="14">
        <f>AI29*VLOOKUP('Données projet'!$B$10,Paramètres!$A$1:$I$89,3,0)*VLOOKUP('Données projet'!$B$10,Paramètres!$A$1:$I$89,5,0)</f>
        <v>67.017599999999959</v>
      </c>
      <c r="AK29" s="14">
        <f t="shared" si="35"/>
        <v>18.93095622847579</v>
      </c>
      <c r="AL29" s="22">
        <f t="shared" si="4"/>
        <v>149.69373543126193</v>
      </c>
      <c r="AM29" s="62">
        <f t="shared" si="5"/>
        <v>379.98044948045208</v>
      </c>
      <c r="AN29" s="62">
        <f ca="1">AVERAGE(OFFSET($AM$3,0,0,'Données projet'!$E$10+1,1))-AVERAGE(OFFSET($H$3,0,0,'Données projet'!$E$10+1,1))</f>
        <v>188.94867378904664</v>
      </c>
      <c r="AO29" s="62">
        <f t="shared" si="36"/>
        <v>242.84781402593833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7.3949126525037556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9.0672842047019859</v>
      </c>
      <c r="AX29" s="23">
        <f t="shared" si="6"/>
        <v>16.46219685720574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17.600000000000001</v>
      </c>
      <c r="BD29" s="13">
        <f>IF('Données projet'!$A$88&gt;35,BD28+BC29-BL28,IF(A29&lt;'Données projet'!$A$88,$BA$205^A29,IF(A29='Données projet'!$A$88,'Données projet'!$B$88,BD28+BC29-BL28)))</f>
        <v>185.60000000000002</v>
      </c>
      <c r="BE29" s="14">
        <f>BD29*VLOOKUP('Données projet'!$B$11,Paramètres!$A$1:$I$89,3,0)*VLOOKUP('Données projet'!$B$11,Paramètres!$A$1:$I$89,5,0)</f>
        <v>110.98880000000003</v>
      </c>
      <c r="BF29" s="14">
        <f t="shared" si="37"/>
        <v>29.56383208945169</v>
      </c>
      <c r="BG29" s="22">
        <f t="shared" si="7"/>
        <v>244.79583422246174</v>
      </c>
      <c r="BH29" s="62">
        <f t="shared" si="8"/>
        <v>475.08254827165194</v>
      </c>
      <c r="BI29" s="62">
        <f ca="1">AVERAGE(OFFSET($BH$3,0,0,'Données projet'!$E$11+1,1))-AVERAGE(OFFSET($H$3,0,0,'Données projet'!$E$11+1,1))</f>
        <v>367.11994336501527</v>
      </c>
      <c r="BJ29" s="62">
        <f t="shared" si="38"/>
        <v>390.81417197867484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6.6206005632841034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10.495144778374586</v>
      </c>
      <c r="BS29" s="24">
        <f t="shared" si="9"/>
        <v>17.115745341658688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>
        <f>VLOOKUP(A29,'Données projet'!$A$113:$I$133,2,0)</f>
        <v>363.4</v>
      </c>
      <c r="BW29" s="13">
        <f>VLOOKUP(A29,'Données projet'!$A$113:$I$133,9,0)</f>
        <v>21.199999999999989</v>
      </c>
      <c r="BX29" s="13">
        <f t="array" ref="BX29">INDEX(BW:BW,MIN(IF(ISNUMBER(BW29:BW225),ROW(BW29:BW225),"")))</f>
        <v>21.199999999999989</v>
      </c>
      <c r="BY29" s="13">
        <f>IF('Données projet'!$A$114&gt;35,BY28+BX29-CG28,IF(A29&lt;'Données projet'!$A$114,$BV$205^A29,IF(A29='Données projet'!$A$114,'Données projet'!$B$114,BY28+BX29-CG28)))</f>
        <v>363.4</v>
      </c>
      <c r="BZ29" s="14">
        <f>BY29*VLOOKUP('Données projet'!$B$12,Paramètres!$A$1:$I$89,3,0)*VLOOKUP('Données projet'!$B$12,Paramètres!$A$1:$I$89,5,0)</f>
        <v>217.31319999999999</v>
      </c>
      <c r="CA29" s="14">
        <f t="shared" si="39"/>
        <v>53.530506047441747</v>
      </c>
      <c r="CB29" s="22">
        <f t="shared" si="10"/>
        <v>471.71945469929432</v>
      </c>
      <c r="CC29" s="62">
        <f t="shared" si="11"/>
        <v>702.00616874848447</v>
      </c>
      <c r="CD29" s="62">
        <f ca="1">AVERAGE(OFFSET($CC$3,0,0,'Données projet'!$E$12+1,1))-AVERAGE(OFFSET($H$3,0,0,'Données projet'!$E$12+1,1))</f>
        <v>396.15172163885632</v>
      </c>
      <c r="CE29" s="62">
        <f t="shared" si="40"/>
        <v>624.94568617205198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6.1748422154495755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6.5947096615888583</v>
      </c>
      <c r="CN29" s="24">
        <f t="shared" si="12"/>
        <v>12.769551877038435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>
        <f>CT29*VLOOKUP('Données projet'!$B$13,Paramètres!$A$1:$I$89,3,0)*VLOOKUP('Données projet'!$B$13,Paramètres!$A$1:$I$89,5,0)</f>
        <v>0</v>
      </c>
      <c r="CV29" s="14" t="e">
        <f t="shared" si="41"/>
        <v>#NUM!</v>
      </c>
      <c r="CW29" s="22" t="e">
        <f t="shared" si="13"/>
        <v>#NUM!</v>
      </c>
      <c r="CX29" s="62" t="e">
        <f t="shared" si="14"/>
        <v>#NUM!</v>
      </c>
      <c r="CY29" s="62">
        <f ca="1">AVERAGE(OFFSET($CX$3,0,0,'Données projet'!$E$13+1,1))-AVERAGE(OFFSET($H$3,0,0,'Données projet'!$E$13+1,1))</f>
        <v>89.800041997398182</v>
      </c>
      <c r="CZ29" s="62">
        <f t="shared" si="42"/>
        <v>286.94570078060917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53.152783833969771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1.3842318246965604</v>
      </c>
      <c r="DI29" s="24">
        <f t="shared" si="15"/>
        <v>54.537015658666334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420.17244660972904</v>
      </c>
      <c r="S30" s="62">
        <f ca="1">AVERAGE(OFFSET($R$3,0,0,'Données projet'!$E$9+1,1))-AVERAGE(OFFSET($H$3,0,0,'Données projet'!$E$9+1,1))</f>
        <v>367.51466260429623</v>
      </c>
      <c r="T30" s="62">
        <f t="shared" si="34"/>
        <v>297.32483725004136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5.9759220663446877</v>
      </c>
      <c r="AC30" s="24">
        <f t="shared" si="3"/>
        <v>5.9759220663446877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152.39999999999992</v>
      </c>
      <c r="AJ30" s="14">
        <f>AI30*VLOOKUP('Données projet'!$B$10,Paramètres!$A$1:$I$89,3,0)*VLOOKUP('Données projet'!$B$10,Paramètres!$A$1:$I$89,5,0)</f>
        <v>71.323199999999957</v>
      </c>
      <c r="AK30" s="14">
        <f t="shared" si="35"/>
        <v>20.001695779651133</v>
      </c>
      <c r="AL30" s="22">
        <f t="shared" si="4"/>
        <v>159.05752681622565</v>
      </c>
      <c r="AM30" s="62">
        <f t="shared" si="5"/>
        <v>391.57536968878912</v>
      </c>
      <c r="AN30" s="62">
        <f ca="1">AVERAGE(OFFSET($AM$3,0,0,'Données projet'!$E$10+1,1))-AVERAGE(OFFSET($H$3,0,0,'Données projet'!$E$10+1,1))</f>
        <v>188.94867378904664</v>
      </c>
      <c r="AO30" s="62">
        <f t="shared" si="36"/>
        <v>242.84781402593833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7.2499029258395051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6.4115381480904459</v>
      </c>
      <c r="AX30" s="23">
        <f t="shared" si="6"/>
        <v>13.66144107392995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17.600000000000001</v>
      </c>
      <c r="BD30" s="13">
        <f>IF('Données projet'!$A$88&gt;35,BD29+BC30-BL29,IF(A30&lt;'Données projet'!$A$88,$BA$205^A30,IF(A30='Données projet'!$A$88,'Données projet'!$B$88,BD29+BC30-BL29)))</f>
        <v>203.20000000000002</v>
      </c>
      <c r="BE30" s="14">
        <f>BD30*VLOOKUP('Données projet'!$B$11,Paramètres!$A$1:$I$89,3,0)*VLOOKUP('Données projet'!$B$11,Paramètres!$A$1:$I$89,5,0)</f>
        <v>121.51360000000001</v>
      </c>
      <c r="BF30" s="14">
        <f t="shared" si="37"/>
        <v>32.027763694063836</v>
      </c>
      <c r="BG30" s="22">
        <f t="shared" si="7"/>
        <v>267.41787510049454</v>
      </c>
      <c r="BH30" s="62">
        <f t="shared" si="8"/>
        <v>499.93571797305805</v>
      </c>
      <c r="BI30" s="62">
        <f ca="1">AVERAGE(OFFSET($BH$3,0,0,'Données projet'!$E$11+1,1))-AVERAGE(OFFSET($H$3,0,0,'Données projet'!$E$11+1,1))</f>
        <v>367.11994336501527</v>
      </c>
      <c r="BJ30" s="62">
        <f t="shared" si="38"/>
        <v>390.81417197867484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6.4907746244057094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7.4211880423232559</v>
      </c>
      <c r="BS30" s="24">
        <f t="shared" si="9"/>
        <v>13.911962666728964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20.050000000000011</v>
      </c>
      <c r="BY30" s="13">
        <f>IF('Données projet'!$A$114&gt;35,BY29+BX30-CG29,IF(A30&lt;'Données projet'!$A$114,$BV$205^A30,IF(A30='Données projet'!$A$114,'Données projet'!$B$114,BY29+BX30-CG29)))</f>
        <v>383.45</v>
      </c>
      <c r="BZ30" s="14">
        <f>BY30*VLOOKUP('Données projet'!$B$12,Paramètres!$A$1:$I$89,3,0)*VLOOKUP('Données projet'!$B$12,Paramètres!$A$1:$I$89,5,0)</f>
        <v>229.3031</v>
      </c>
      <c r="CA30" s="14">
        <f t="shared" si="39"/>
        <v>56.131968854719133</v>
      </c>
      <c r="CB30" s="22">
        <f t="shared" si="10"/>
        <v>497.13274492196911</v>
      </c>
      <c r="CC30" s="62">
        <f t="shared" si="11"/>
        <v>729.65058779453261</v>
      </c>
      <c r="CD30" s="62">
        <f ca="1">AVERAGE(OFFSET($CC$3,0,0,'Données projet'!$E$12+1,1))-AVERAGE(OFFSET($H$3,0,0,'Données projet'!$E$12+1,1))</f>
        <v>396.15172163885632</v>
      </c>
      <c r="CE30" s="62">
        <f t="shared" si="40"/>
        <v>624.94568617205198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6.0537573258864716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4.663163921665924</v>
      </c>
      <c r="CN30" s="24">
        <f t="shared" si="12"/>
        <v>10.716921247552396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>
        <f>CT30*VLOOKUP('Données projet'!$B$13,Paramètres!$A$1:$I$89,3,0)*VLOOKUP('Données projet'!$B$13,Paramètres!$A$1:$I$89,5,0)</f>
        <v>0</v>
      </c>
      <c r="CV30" s="14" t="e">
        <f t="shared" si="41"/>
        <v>#NUM!</v>
      </c>
      <c r="CW30" s="22" t="e">
        <f t="shared" si="13"/>
        <v>#NUM!</v>
      </c>
      <c r="CX30" s="62" t="e">
        <f t="shared" si="14"/>
        <v>#NUM!</v>
      </c>
      <c r="CY30" s="62">
        <f ca="1">AVERAGE(OFFSET($CX$3,0,0,'Données projet'!$E$13+1,1))-AVERAGE(OFFSET($H$3,0,0,'Données projet'!$E$13+1,1))</f>
        <v>89.800041997398182</v>
      </c>
      <c r="CZ30" s="62">
        <f t="shared" si="42"/>
        <v>286.94570078060917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52.110490162982551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0.97879970997716614</v>
      </c>
      <c r="DI30" s="24">
        <f t="shared" si="15"/>
        <v>53.089289872959718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440.3867625099287</v>
      </c>
      <c r="S31" s="62">
        <f ca="1">AVERAGE(OFFSET($R$3,0,0,'Données projet'!$E$9+1,1))-AVERAGE(OFFSET($H$3,0,0,'Données projet'!$E$9+1,1))</f>
        <v>367.51466260429623</v>
      </c>
      <c r="T31" s="62">
        <f t="shared" si="34"/>
        <v>297.32483725004136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4.225615016954654</v>
      </c>
      <c r="AC31" s="24">
        <f t="shared" si="3"/>
        <v>4.225615016954654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161.59999999999991</v>
      </c>
      <c r="AJ31" s="14">
        <f>AI31*VLOOKUP('Données projet'!$B$10,Paramètres!$A$1:$I$89,3,0)*VLOOKUP('Données projet'!$B$10,Paramètres!$A$1:$I$89,5,0)</f>
        <v>75.628799999999956</v>
      </c>
      <c r="AK31" s="14">
        <f t="shared" si="35"/>
        <v>21.064933051654201</v>
      </c>
      <c r="AL31" s="22">
        <f t="shared" si="4"/>
        <v>168.408251731631</v>
      </c>
      <c r="AM31" s="62">
        <f t="shared" si="5"/>
        <v>403.13972115361508</v>
      </c>
      <c r="AN31" s="62">
        <f ca="1">AVERAGE(OFFSET($AM$3,0,0,'Données projet'!$E$10+1,1))-AVERAGE(OFFSET($H$3,0,0,'Données projet'!$E$10+1,1))</f>
        <v>188.94867378904664</v>
      </c>
      <c r="AO31" s="62">
        <f t="shared" si="36"/>
        <v>242.84781402593833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7.1077367514679404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4.533642102350993</v>
      </c>
      <c r="AX31" s="23">
        <f t="shared" si="6"/>
        <v>11.641378853818933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17.600000000000001</v>
      </c>
      <c r="BD31" s="13">
        <f>IF('Données projet'!$A$88&gt;35,BD30+BC31-BL30,IF(A31&lt;'Données projet'!$A$88,$BA$205^A31,IF(A31='Données projet'!$A$88,'Données projet'!$B$88,BD30+BC31-BL30)))</f>
        <v>220.8</v>
      </c>
      <c r="BE31" s="14">
        <f>BD31*VLOOKUP('Données projet'!$B$11,Paramètres!$A$1:$I$89,3,0)*VLOOKUP('Données projet'!$B$11,Paramètres!$A$1:$I$89,5,0)</f>
        <v>132.03840000000002</v>
      </c>
      <c r="BF31" s="14">
        <f t="shared" si="37"/>
        <v>34.466946374534373</v>
      </c>
      <c r="BG31" s="22">
        <f t="shared" si="7"/>
        <v>289.99681160231404</v>
      </c>
      <c r="BH31" s="62">
        <f t="shared" si="8"/>
        <v>524.7282810242981</v>
      </c>
      <c r="BI31" s="62">
        <f ca="1">AVERAGE(OFFSET($BH$3,0,0,'Données projet'!$E$11+1,1))-AVERAGE(OFFSET($H$3,0,0,'Données projet'!$E$11+1,1))</f>
        <v>367.11994336501527</v>
      </c>
      <c r="BJ31" s="62">
        <f t="shared" si="38"/>
        <v>390.81417197867484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6.3634944930027171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5.2475723891872939</v>
      </c>
      <c r="BS31" s="24">
        <f t="shared" si="9"/>
        <v>11.611066882190011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>
        <f>VLOOKUP(A31,'Données projet'!$A$113:$I$133,2,0)</f>
        <v>403.5</v>
      </c>
      <c r="BW31" s="13">
        <f>VLOOKUP(A31,'Données projet'!$A$113:$I$133,9,0)</f>
        <v>20.050000000000011</v>
      </c>
      <c r="BX31" s="13">
        <f t="array" ref="BX31">INDEX(BW:BW,MIN(IF(ISNUMBER(BW31:BW227),ROW(BW31:BW227),"")))</f>
        <v>20.050000000000011</v>
      </c>
      <c r="BY31" s="13">
        <f>IF('Données projet'!$A$114&gt;35,BY30+BX31-CG30,IF(A31&lt;'Données projet'!$A$114,$BV$205^A31,IF(A31='Données projet'!$A$114,'Données projet'!$B$114,BY30+BX31-CG30)))</f>
        <v>403.5</v>
      </c>
      <c r="BZ31" s="14">
        <f>BY31*VLOOKUP('Données projet'!$B$12,Paramètres!$A$1:$I$89,3,0)*VLOOKUP('Données projet'!$B$12,Paramètres!$A$1:$I$89,5,0)</f>
        <v>241.29300000000003</v>
      </c>
      <c r="CA31" s="14">
        <f t="shared" si="39"/>
        <v>58.717638676494118</v>
      </c>
      <c r="CB31" s="22">
        <f t="shared" si="10"/>
        <v>522.51852902822736</v>
      </c>
      <c r="CC31" s="62">
        <f t="shared" si="11"/>
        <v>757.24999845021148</v>
      </c>
      <c r="CD31" s="62">
        <f ca="1">AVERAGE(OFFSET($CC$3,0,0,'Données projet'!$E$12+1,1))-AVERAGE(OFFSET($H$3,0,0,'Données projet'!$E$12+1,1))</f>
        <v>396.15172163885632</v>
      </c>
      <c r="CE31" s="62">
        <f t="shared" si="40"/>
        <v>624.94568617205198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5.9350468371532097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3.2973548307944296</v>
      </c>
      <c r="CN31" s="24">
        <f t="shared" si="12"/>
        <v>9.2324016679476397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>
        <f>CT31*VLOOKUP('Données projet'!$B$13,Paramètres!$A$1:$I$89,3,0)*VLOOKUP('Données projet'!$B$13,Paramètres!$A$1:$I$89,5,0)</f>
        <v>0</v>
      </c>
      <c r="CV31" s="14" t="e">
        <f t="shared" si="41"/>
        <v>#NUM!</v>
      </c>
      <c r="CW31" s="22" t="e">
        <f t="shared" si="13"/>
        <v>#NUM!</v>
      </c>
      <c r="CX31" s="62" t="e">
        <f t="shared" si="14"/>
        <v>#NUM!</v>
      </c>
      <c r="CY31" s="62">
        <f ca="1">AVERAGE(OFFSET($CX$3,0,0,'Données projet'!$E$13+1,1))-AVERAGE(OFFSET($H$3,0,0,'Données projet'!$E$13+1,1))</f>
        <v>89.800041997398182</v>
      </c>
      <c r="CZ31" s="62">
        <f t="shared" si="42"/>
        <v>286.94570078060917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51.088635235147024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0.69211591234828029</v>
      </c>
      <c r="DI31" s="24">
        <f t="shared" si="15"/>
        <v>51.780751147495302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460.54745843353226</v>
      </c>
      <c r="S32" s="62">
        <f ca="1">AVERAGE(OFFSET($R$3,0,0,'Données projet'!$E$9+1,1))-AVERAGE(OFFSET($H$3,0,0,'Données projet'!$E$9+1,1))</f>
        <v>367.51466260429623</v>
      </c>
      <c r="T32" s="62">
        <f t="shared" si="34"/>
        <v>297.32483725004136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2.9879610331723438</v>
      </c>
      <c r="AC32" s="24">
        <f t="shared" si="3"/>
        <v>2.9879610331723438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170.7999999999999</v>
      </c>
      <c r="AJ32" s="14">
        <f>AI32*VLOOKUP('Données projet'!$B$10,Paramètres!$A$1:$I$89,3,0)*VLOOKUP('Données projet'!$B$10,Paramètres!$A$1:$I$89,5,0)</f>
        <v>79.934399999999954</v>
      </c>
      <c r="AK32" s="14">
        <f t="shared" si="35"/>
        <v>22.121143821921795</v>
      </c>
      <c r="AL32" s="22">
        <f t="shared" si="4"/>
        <v>177.74673882318038</v>
      </c>
      <c r="AM32" s="62">
        <f t="shared" si="5"/>
        <v>414.67463614595624</v>
      </c>
      <c r="AN32" s="62">
        <f ca="1">AVERAGE(OFFSET($AM$3,0,0,'Données projet'!$E$10+1,1))-AVERAGE(OFFSET($H$3,0,0,'Données projet'!$E$10+1,1))</f>
        <v>188.94867378904664</v>
      </c>
      <c r="AO32" s="62">
        <f t="shared" si="36"/>
        <v>242.84781402593833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6.9683583690629982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3.2057690740452229</v>
      </c>
      <c r="AX32" s="23">
        <f t="shared" si="6"/>
        <v>10.174127443108221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17.600000000000001</v>
      </c>
      <c r="BD32" s="13">
        <f>IF('Données projet'!$A$88&gt;35,BD31+BC32-BL31,IF(A32&lt;'Données projet'!$A$88,$BA$205^A32,IF(A32='Données projet'!$A$88,'Données projet'!$B$88,BD31+BC32-BL31)))</f>
        <v>238.4</v>
      </c>
      <c r="BE32" s="14">
        <f>BD32*VLOOKUP('Données projet'!$B$11,Paramètres!$A$1:$I$89,3,0)*VLOOKUP('Données projet'!$B$11,Paramètres!$A$1:$I$89,5,0)</f>
        <v>142.56319999999999</v>
      </c>
      <c r="BF32" s="14">
        <f t="shared" si="37"/>
        <v>36.883577154665602</v>
      </c>
      <c r="BG32" s="22">
        <f t="shared" si="7"/>
        <v>312.53647021104257</v>
      </c>
      <c r="BH32" s="62">
        <f t="shared" si="8"/>
        <v>549.4643675338184</v>
      </c>
      <c r="BI32" s="62">
        <f ca="1">AVERAGE(OFFSET($BH$3,0,0,'Données projet'!$E$11+1,1))-AVERAGE(OFFSET($H$3,0,0,'Données projet'!$E$11+1,1))</f>
        <v>367.11994336501527</v>
      </c>
      <c r="BJ32" s="62">
        <f t="shared" si="38"/>
        <v>390.81417197867484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6.2387102473433229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3.7105940211616284</v>
      </c>
      <c r="BS32" s="24">
        <f t="shared" si="9"/>
        <v>9.9493042685049513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18.449999999999989</v>
      </c>
      <c r="BY32" s="13">
        <f>IF('Données projet'!$A$114&gt;35,BY31+BX32-CG31,IF(A32&lt;'Données projet'!$A$114,$BV$205^A32,IF(A32='Données projet'!$A$114,'Données projet'!$B$114,BY31+BX32-CG31)))</f>
        <v>421.95</v>
      </c>
      <c r="BZ32" s="14">
        <f>BY32*VLOOKUP('Données projet'!$B$12,Paramètres!$A$1:$I$89,3,0)*VLOOKUP('Données projet'!$B$12,Paramètres!$A$1:$I$89,5,0)</f>
        <v>252.32610000000003</v>
      </c>
      <c r="CA32" s="14">
        <f t="shared" si="39"/>
        <v>61.083771358599556</v>
      </c>
      <c r="CB32" s="22">
        <f t="shared" si="10"/>
        <v>545.85552594956084</v>
      </c>
      <c r="CC32" s="62">
        <f t="shared" si="11"/>
        <v>782.78342327233668</v>
      </c>
      <c r="CD32" s="62">
        <f ca="1">AVERAGE(OFFSET($CC$3,0,0,'Données projet'!$E$12+1,1))-AVERAGE(OFFSET($H$3,0,0,'Données projet'!$E$12+1,1))</f>
        <v>396.15172163885632</v>
      </c>
      <c r="CE32" s="62">
        <f t="shared" si="40"/>
        <v>624.94568617205198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5.8186641886977588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2.3315819608329624</v>
      </c>
      <c r="CN32" s="24">
        <f t="shared" si="12"/>
        <v>8.1502461495307212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>
        <f>CT32*VLOOKUP('Données projet'!$B$13,Paramètres!$A$1:$I$89,3,0)*VLOOKUP('Données projet'!$B$13,Paramètres!$A$1:$I$89,5,0)</f>
        <v>0</v>
      </c>
      <c r="CV32" s="14" t="e">
        <f t="shared" si="41"/>
        <v>#NUM!</v>
      </c>
      <c r="CW32" s="22" t="e">
        <f t="shared" si="13"/>
        <v>#NUM!</v>
      </c>
      <c r="CX32" s="62" t="e">
        <f t="shared" si="14"/>
        <v>#NUM!</v>
      </c>
      <c r="CY32" s="62">
        <f ca="1">AVERAGE(OFFSET($CX$3,0,0,'Données projet'!$E$13+1,1))-AVERAGE(OFFSET($H$3,0,0,'Données projet'!$E$13+1,1))</f>
        <v>89.800041997398182</v>
      </c>
      <c r="CZ32" s="62">
        <f t="shared" si="42"/>
        <v>286.94570078060917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50.08681825917639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0.48939985498858318</v>
      </c>
      <c r="DI32" s="24">
        <f t="shared" si="15"/>
        <v>50.576218114164973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480.65817058337467</v>
      </c>
      <c r="S33" s="62">
        <f ca="1">AVERAGE(OFFSET($R$3,0,0,'Données projet'!$E$9+1,1))-AVERAGE(OFFSET($H$3,0,0,'Données projet'!$E$9+1,1))</f>
        <v>367.51466260429623</v>
      </c>
      <c r="T33" s="62">
        <f t="shared" si="34"/>
        <v>297.32483725004136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11.674282814628825</v>
      </c>
      <c r="AC33" s="24">
        <f t="shared" si="3"/>
        <v>11.674282814628825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180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179.99999999999989</v>
      </c>
      <c r="AJ33" s="14">
        <f>AI33*VLOOKUP('Données projet'!$B$10,Paramètres!$A$1:$I$89,3,0)*VLOOKUP('Données projet'!$B$10,Paramètres!$A$1:$I$89,5,0)</f>
        <v>84.239999999999938</v>
      </c>
      <c r="AK33" s="14">
        <f t="shared" si="35"/>
        <v>23.170749718409446</v>
      </c>
      <c r="AL33" s="22">
        <f t="shared" si="4"/>
        <v>187.07372242622966</v>
      </c>
      <c r="AM33" s="62">
        <f t="shared" si="5"/>
        <v>426.18114735927168</v>
      </c>
      <c r="AN33" s="62">
        <f ca="1">AVERAGE(OFFSET($AM$3,0,0,'Données projet'!$E$10+1,1))-AVERAGE(OFFSET($H$3,0,0,'Données projet'!$E$10+1,1))</f>
        <v>188.94867378904664</v>
      </c>
      <c r="AO33" s="62">
        <f t="shared" si="36"/>
        <v>242.84781402593833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50</v>
      </c>
      <c r="AR33" s="17">
        <f>IF(ISNA(VLOOKUP(A33,'Données projet'!$A$61:$I$81,5,0)),0%,VLOOKUP(A33,'Données projet'!$A$61:$I$81,5,0)*VLOOKUP('Données projet'!$B$10,Paramètres!$A$1:$I$89,7,0))</f>
        <v>0.27500000000000002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15.36815538247804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15.513938932235146</v>
      </c>
      <c r="AX33" s="23">
        <f t="shared" si="6"/>
        <v>30.882094314713186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256</v>
      </c>
      <c r="BB33" s="13">
        <f>VLOOKUP(A33,'Données projet'!$A$87:$I$107,9,0)</f>
        <v>17.600000000000001</v>
      </c>
      <c r="BC33" s="13">
        <f t="array" ref="BC33">INDEX(BB:BB,MIN(IF(ISNUMBER(BB33:BB229),ROW(BB33:BB229),"")))</f>
        <v>17.600000000000001</v>
      </c>
      <c r="BD33" s="13">
        <f>IF('Données projet'!$A$88&gt;35,BD32+BC33-BL32,IF(A33&lt;'Données projet'!$A$88,$BA$205^A33,IF(A33='Données projet'!$A$88,'Données projet'!$B$88,BD32+BC33-BL32)))</f>
        <v>256</v>
      </c>
      <c r="BE33" s="14">
        <f>BD33*VLOOKUP('Données projet'!$B$11,Paramètres!$A$1:$I$89,3,0)*VLOOKUP('Données projet'!$B$11,Paramètres!$A$1:$I$89,5,0)</f>
        <v>153.08800000000002</v>
      </c>
      <c r="BF33" s="14">
        <f t="shared" si="37"/>
        <v>39.27951026543515</v>
      </c>
      <c r="BG33" s="22">
        <f t="shared" si="7"/>
        <v>335.04008037896625</v>
      </c>
      <c r="BH33" s="62">
        <f t="shared" si="8"/>
        <v>574.14750531200821</v>
      </c>
      <c r="BI33" s="62">
        <f ca="1">AVERAGE(OFFSET($BH$3,0,0,'Données projet'!$E$11+1,1))-AVERAGE(OFFSET($H$3,0,0,'Données projet'!$E$11+1,1))</f>
        <v>367.11994336501527</v>
      </c>
      <c r="BJ33" s="62">
        <f t="shared" si="38"/>
        <v>390.81417197867484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54</v>
      </c>
      <c r="BM33" s="17">
        <f>IF(ISNA(VLOOKUP(A33,'Données projet'!$A$87:$I$107,5,0)),0%,VLOOKUP(A33,'Données projet'!$A$87:$I$107,5,0)*VLOOKUP('Données projet'!$B$11,Paramètres!$A$1:$I$89,7,0))</f>
        <v>0.22500000000000001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15.754792308517501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20.90480887045597</v>
      </c>
      <c r="BS33" s="24">
        <f t="shared" si="9"/>
        <v>36.659601178973475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440.4</v>
      </c>
      <c r="BW33" s="13">
        <f>VLOOKUP(A33,'Données projet'!$A$113:$I$133,9,0)</f>
        <v>18.449999999999989</v>
      </c>
      <c r="BX33" s="13">
        <f t="array" ref="BX33">INDEX(BW:BW,MIN(IF(ISNUMBER(BW33:BW229),ROW(BW33:BW229),"")))</f>
        <v>18.449999999999989</v>
      </c>
      <c r="BY33" s="13">
        <f>IF('Données projet'!$A$114&gt;35,BY32+BX33-CG32,IF(A33&lt;'Données projet'!$A$114,$BV$205^A33,IF(A33='Données projet'!$A$114,'Données projet'!$B$114,BY32+BX33-CG32)))</f>
        <v>440.4</v>
      </c>
      <c r="BZ33" s="14">
        <f>BY33*VLOOKUP('Données projet'!$B$12,Paramètres!$A$1:$I$89,3,0)*VLOOKUP('Données projet'!$B$12,Paramètres!$A$1:$I$89,5,0)</f>
        <v>263.35919999999999</v>
      </c>
      <c r="CA33" s="14">
        <f t="shared" si="39"/>
        <v>63.437887792733065</v>
      </c>
      <c r="CB33" s="22">
        <f t="shared" si="10"/>
        <v>569.17159457234334</v>
      </c>
      <c r="CC33" s="62">
        <f t="shared" si="11"/>
        <v>808.27901950538535</v>
      </c>
      <c r="CD33" s="62">
        <f ca="1">AVERAGE(OFFSET($CC$3,0,0,'Données projet'!$E$12+1,1))-AVERAGE(OFFSET($H$3,0,0,'Données projet'!$E$12+1,1))</f>
        <v>396.15172163885632</v>
      </c>
      <c r="CE33" s="62">
        <f t="shared" si="40"/>
        <v>624.94568617205198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111.1</v>
      </c>
      <c r="CH33" s="17">
        <f>IF(ISNA(VLOOKUP(A33,'Données projet'!$A$113:$I$133,5,0)),0%,VLOOKUP(A33,'Données projet'!$A$113:$I$133,5,0)*VLOOKUP('Données projet'!$B$12,Paramètres!$A$1:$I$89,7,0))</f>
        <v>0.20250000000000001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0.55000000000000004</v>
      </c>
      <c r="CK33" s="23">
        <f>EXP(-LN(2)/35)*CK32+(1-EXP(-LN(2)/35))/(LN(2)/35)*CG33*CH33*VLOOKUP('Données projet'!$B$12,Paramètres!$A$1:$I$89,3,0)*0.475*44/12</f>
        <v>23.551703588456338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43.021340030529323</v>
      </c>
      <c r="CN33" s="24">
        <f t="shared" si="12"/>
        <v>66.573043618985665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>
        <f>CT33*VLOOKUP('Données projet'!$B$13,Paramètres!$A$1:$I$89,3,0)*VLOOKUP('Données projet'!$B$13,Paramètres!$A$1:$I$89,5,0)</f>
        <v>0</v>
      </c>
      <c r="CV33" s="14" t="e">
        <f t="shared" si="41"/>
        <v>#NUM!</v>
      </c>
      <c r="CW33" s="22" t="e">
        <f t="shared" si="13"/>
        <v>#NUM!</v>
      </c>
      <c r="CX33" s="62" t="e">
        <f t="shared" si="14"/>
        <v>#NUM!</v>
      </c>
      <c r="CY33" s="62">
        <f ca="1">AVERAGE(OFFSET($CX$3,0,0,'Données projet'!$E$13+1,1))-AVERAGE(OFFSET($H$3,0,0,'Données projet'!$E$13+1,1))</f>
        <v>89.800041997398182</v>
      </c>
      <c r="CZ33" s="62">
        <f t="shared" si="42"/>
        <v>286.94570078060917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49.104646303056519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0.3460579561741402</v>
      </c>
      <c r="DI33" s="24">
        <f t="shared" si="15"/>
        <v>49.450704259230662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448.04856966052495</v>
      </c>
      <c r="S34" s="62">
        <f ca="1">AVERAGE(OFFSET($R$3,0,0,'Données projet'!$E$9+1,1))-AVERAGE(OFFSET($H$3,0,0,'Données projet'!$E$9+1,1))</f>
        <v>367.51466260429623</v>
      </c>
      <c r="T34" s="62">
        <f t="shared" si="34"/>
        <v>297.32483725004136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8.2549645437136174</v>
      </c>
      <c r="AC34" s="24">
        <f t="shared" si="3"/>
        <v>8.2549645437136174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139.99999999999989</v>
      </c>
      <c r="AJ34" s="14">
        <f>AI34*VLOOKUP('Données projet'!$B$10,Paramètres!$A$1:$I$89,3,0)*VLOOKUP('Données projet'!$B$10,Paramètres!$A$1:$I$89,5,0)</f>
        <v>65.519999999999939</v>
      </c>
      <c r="AK34" s="14">
        <f t="shared" si="35"/>
        <v>18.556669503136707</v>
      </c>
      <c r="AL34" s="22">
        <f t="shared" si="4"/>
        <v>146.43353271796298</v>
      </c>
      <c r="AM34" s="62">
        <f t="shared" si="5"/>
        <v>386.48165593078056</v>
      </c>
      <c r="AN34" s="62">
        <f ca="1">AVERAGE(OFFSET($AM$3,0,0,'Données projet'!$E$10+1,1))-AVERAGE(OFFSET($H$3,0,0,'Données projet'!$E$10+1,1))</f>
        <v>188.94867378904664</v>
      </c>
      <c r="AO34" s="62">
        <f t="shared" si="36"/>
        <v>242.84781402593833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15.066795229076858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10.970011421897459</v>
      </c>
      <c r="AX34" s="23">
        <f t="shared" si="6"/>
        <v>26.036806650974317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18.8</v>
      </c>
      <c r="BD34" s="13">
        <f>IF('Données projet'!$A$88&gt;35,BD33+BC34-BL33,IF(A34&lt;'Données projet'!$A$88,$BA$205^A34,IF(A34='Données projet'!$A$88,'Données projet'!$B$88,BD33+BC34-BL33)))</f>
        <v>220.8</v>
      </c>
      <c r="BE34" s="14">
        <f>BD34*VLOOKUP('Données projet'!$B$11,Paramètres!$A$1:$I$89,3,0)*VLOOKUP('Données projet'!$B$11,Paramètres!$A$1:$I$89,5,0)</f>
        <v>132.03840000000002</v>
      </c>
      <c r="BF34" s="14">
        <f t="shared" si="37"/>
        <v>34.466946374534373</v>
      </c>
      <c r="BG34" s="22">
        <f t="shared" si="7"/>
        <v>289.99681160231404</v>
      </c>
      <c r="BH34" s="62">
        <f t="shared" si="8"/>
        <v>530.04493481513157</v>
      </c>
      <c r="BI34" s="62">
        <f ca="1">AVERAGE(OFFSET($BH$3,0,0,'Données projet'!$E$11+1,1))-AVERAGE(OFFSET($H$3,0,0,'Données projet'!$E$11+1,1))</f>
        <v>367.11994336501527</v>
      </c>
      <c r="BJ34" s="62">
        <f t="shared" si="38"/>
        <v>390.81417197867484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15.445850440821925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14.781932111708109</v>
      </c>
      <c r="BS34" s="24">
        <f t="shared" si="9"/>
        <v>30.227782552530034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13.700000000000017</v>
      </c>
      <c r="BY34" s="13">
        <f>IF('Données projet'!$A$114&gt;35,BY33+BX34-CG33,IF(A34&lt;'Données projet'!$A$114,$BV$205^A34,IF(A34='Données projet'!$A$114,'Données projet'!$B$114,BY33+BX34-CG33)))</f>
        <v>343</v>
      </c>
      <c r="BZ34" s="14">
        <f>BY34*VLOOKUP('Données projet'!$B$12,Paramètres!$A$1:$I$89,3,0)*VLOOKUP('Données projet'!$B$12,Paramètres!$A$1:$I$89,5,0)</f>
        <v>205.114</v>
      </c>
      <c r="CA34" s="14">
        <f t="shared" si="39"/>
        <v>50.86641328088507</v>
      </c>
      <c r="CB34" s="22">
        <f t="shared" si="10"/>
        <v>445.83255313087483</v>
      </c>
      <c r="CC34" s="62">
        <f t="shared" si="11"/>
        <v>685.88067634369236</v>
      </c>
      <c r="CD34" s="62">
        <f ca="1">AVERAGE(OFFSET($CC$3,0,0,'Données projet'!$E$12+1,1))-AVERAGE(OFFSET($H$3,0,0,'Données projet'!$E$12+1,1))</f>
        <v>396.15172163885632</v>
      </c>
      <c r="CE34" s="62">
        <f t="shared" si="40"/>
        <v>624.94568617205198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23.089869046207461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30.420681271319559</v>
      </c>
      <c r="CN34" s="24">
        <f t="shared" si="12"/>
        <v>53.51055031752702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>
        <f>CT34*VLOOKUP('Données projet'!$B$13,Paramètres!$A$1:$I$89,3,0)*VLOOKUP('Données projet'!$B$13,Paramètres!$A$1:$I$89,5,0)</f>
        <v>0</v>
      </c>
      <c r="CV34" s="14" t="e">
        <f t="shared" si="41"/>
        <v>#NUM!</v>
      </c>
      <c r="CW34" s="22" t="e">
        <f t="shared" si="13"/>
        <v>#NUM!</v>
      </c>
      <c r="CX34" s="62" t="e">
        <f t="shared" si="14"/>
        <v>#NUM!</v>
      </c>
      <c r="CY34" s="62">
        <f ca="1">AVERAGE(OFFSET($CX$3,0,0,'Données projet'!$E$13+1,1))-AVERAGE(OFFSET($H$3,0,0,'Données projet'!$E$13+1,1))</f>
        <v>89.800041997398182</v>
      </c>
      <c r="CZ34" s="62">
        <f t="shared" si="42"/>
        <v>286.94570078060917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48.141734139930421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0.24469992749429162</v>
      </c>
      <c r="DI34" s="24">
        <f t="shared" si="15"/>
        <v>48.386434067424709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470.05274465984064</v>
      </c>
      <c r="S35" s="62">
        <f ca="1">AVERAGE(OFFSET($R$3,0,0,'Données projet'!$E$9+1,1))-AVERAGE(OFFSET($H$3,0,0,'Données projet'!$E$9+1,1))</f>
        <v>367.51466260429623</v>
      </c>
      <c r="T35" s="62">
        <f t="shared" si="34"/>
        <v>297.32483725004136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5.8371414073144132</v>
      </c>
      <c r="AC35" s="24">
        <f t="shared" si="3"/>
        <v>5.8371414073144132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149.99999999999989</v>
      </c>
      <c r="AJ35" s="14">
        <f>AI35*VLOOKUP('Données projet'!$B$10,Paramètres!$A$1:$I$89,3,0)*VLOOKUP('Données projet'!$B$10,Paramètres!$A$1:$I$89,5,0)</f>
        <v>70.199999999999946</v>
      </c>
      <c r="AK35" s="14">
        <f t="shared" si="35"/>
        <v>19.723116370112184</v>
      </c>
      <c r="AL35" s="22">
        <f t="shared" si="4"/>
        <v>156.61609434461192</v>
      </c>
      <c r="AM35" s="62">
        <f t="shared" si="5"/>
        <v>397.58859682513724</v>
      </c>
      <c r="AN35" s="62">
        <f ca="1">AVERAGE(OFFSET($AM$3,0,0,'Données projet'!$E$10+1,1))-AVERAGE(OFFSET($H$3,0,0,'Données projet'!$E$10+1,1))</f>
        <v>188.94867378904664</v>
      </c>
      <c r="AO35" s="62">
        <f t="shared" si="36"/>
        <v>242.84781402593833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14.771344564472329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7.7569694661175737</v>
      </c>
      <c r="AX35" s="23">
        <f t="shared" si="6"/>
        <v>22.528314030589904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18.8</v>
      </c>
      <c r="BD35" s="13">
        <f>IF('Données projet'!$A$88&gt;35,BD34+BC35-BL34,IF(A35&lt;'Données projet'!$A$88,$BA$205^A35,IF(A35='Données projet'!$A$88,'Données projet'!$B$88,BD34+BC35-BL34)))</f>
        <v>239.60000000000002</v>
      </c>
      <c r="BE35" s="14">
        <f>BD35*VLOOKUP('Données projet'!$B$11,Paramètres!$A$1:$I$89,3,0)*VLOOKUP('Données projet'!$B$11,Paramètres!$A$1:$I$89,5,0)</f>
        <v>143.28080000000003</v>
      </c>
      <c r="BF35" s="14">
        <f t="shared" si="37"/>
        <v>37.047574465948976</v>
      </c>
      <c r="BG35" s="22">
        <f t="shared" si="7"/>
        <v>314.07191886152782</v>
      </c>
      <c r="BH35" s="62">
        <f t="shared" si="8"/>
        <v>555.04442134205317</v>
      </c>
      <c r="BI35" s="62">
        <f ca="1">AVERAGE(OFFSET($BH$3,0,0,'Données projet'!$E$11+1,1))-AVERAGE(OFFSET($H$3,0,0,'Données projet'!$E$11+1,1))</f>
        <v>367.11994336501527</v>
      </c>
      <c r="BJ35" s="62">
        <f t="shared" si="38"/>
        <v>390.81417197867484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15.142966734715925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10.452404435227987</v>
      </c>
      <c r="BS35" s="24">
        <f t="shared" si="9"/>
        <v>25.59537116994391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>
        <f>VLOOKUP(A35,'Données projet'!$A$113:$I$133,2,0)</f>
        <v>356.7</v>
      </c>
      <c r="BW35" s="13">
        <f>VLOOKUP(A35,'Données projet'!$A$113:$I$133,9,0)</f>
        <v>13.700000000000017</v>
      </c>
      <c r="BX35" s="13">
        <f t="array" ref="BX35">INDEX(BW:BW,MIN(IF(ISNUMBER(BW35:BW231),ROW(BW35:BW231),"")))</f>
        <v>13.700000000000017</v>
      </c>
      <c r="BY35" s="13">
        <f>IF('Données projet'!$A$114&gt;35,BY34+BX35-CG34,IF(A35&lt;'Données projet'!$A$114,$BV$205^A35,IF(A35='Données projet'!$A$114,'Données projet'!$B$114,BY34+BX35-CG34)))</f>
        <v>356.70000000000005</v>
      </c>
      <c r="BZ35" s="14">
        <f>BY35*VLOOKUP('Données projet'!$B$12,Paramètres!$A$1:$I$89,3,0)*VLOOKUP('Données projet'!$B$12,Paramètres!$A$1:$I$89,5,0)</f>
        <v>213.30660000000003</v>
      </c>
      <c r="CA35" s="14">
        <f t="shared" si="39"/>
        <v>52.657502670702272</v>
      </c>
      <c r="CB35" s="22">
        <f t="shared" si="10"/>
        <v>463.22081215147313</v>
      </c>
      <c r="CC35" s="62">
        <f t="shared" si="11"/>
        <v>704.19331463199842</v>
      </c>
      <c r="CD35" s="62">
        <f ca="1">AVERAGE(OFFSET($CC$3,0,0,'Données projet'!$E$12+1,1))-AVERAGE(OFFSET($H$3,0,0,'Données projet'!$E$12+1,1))</f>
        <v>396.15172163885632</v>
      </c>
      <c r="CE35" s="62">
        <f t="shared" si="40"/>
        <v>624.94568617205198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22.637090797640827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21.510670015264665</v>
      </c>
      <c r="CN35" s="24">
        <f t="shared" si="12"/>
        <v>44.147760812905489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>
        <f>CT35*VLOOKUP('Données projet'!$B$13,Paramètres!$A$1:$I$89,3,0)*VLOOKUP('Données projet'!$B$13,Paramètres!$A$1:$I$89,5,0)</f>
        <v>0</v>
      </c>
      <c r="CV35" s="14" t="e">
        <f t="shared" si="41"/>
        <v>#NUM!</v>
      </c>
      <c r="CW35" s="22" t="e">
        <f t="shared" si="13"/>
        <v>#NUM!</v>
      </c>
      <c r="CX35" s="62" t="e">
        <f t="shared" si="14"/>
        <v>#NUM!</v>
      </c>
      <c r="CY35" s="62">
        <f ca="1">AVERAGE(OFFSET($CX$3,0,0,'Données projet'!$E$13+1,1))-AVERAGE(OFFSET($H$3,0,0,'Données projet'!$E$13+1,1))</f>
        <v>89.800041997398182</v>
      </c>
      <c r="CZ35" s="62">
        <f t="shared" si="42"/>
        <v>286.94570078060917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47.197704097004802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0.17302897808707013</v>
      </c>
      <c r="DI35" s="24">
        <f t="shared" si="15"/>
        <v>47.37073307509187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491.99651561325675</v>
      </c>
      <c r="S36" s="62">
        <f ca="1">AVERAGE(OFFSET($R$3,0,0,'Données projet'!$E$9+1,1))-AVERAGE(OFFSET($H$3,0,0,'Données projet'!$E$9+1,1))</f>
        <v>367.51466260429623</v>
      </c>
      <c r="T36" s="62">
        <f t="shared" si="34"/>
        <v>297.32483725004136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4.1274822718568087</v>
      </c>
      <c r="AC36" s="24">
        <f t="shared" si="3"/>
        <v>4.1274822718568087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159.99999999999989</v>
      </c>
      <c r="AJ36" s="14">
        <f>AI36*VLOOKUP('Données projet'!$B$10,Paramètres!$A$1:$I$89,3,0)*VLOOKUP('Données projet'!$B$10,Paramètres!$A$1:$I$89,5,0)</f>
        <v>74.879999999999953</v>
      </c>
      <c r="AK36" s="14">
        <f t="shared" si="35"/>
        <v>20.880539585643213</v>
      </c>
      <c r="AL36" s="22">
        <f t="shared" si="4"/>
        <v>166.78293977832848</v>
      </c>
      <c r="AM36" s="62">
        <f t="shared" si="5"/>
        <v>408.66378561286922</v>
      </c>
      <c r="AN36" s="62">
        <f ca="1">AVERAGE(OFFSET($AM$3,0,0,'Données projet'!$E$10+1,1))-AVERAGE(OFFSET($H$3,0,0,'Données projet'!$E$10+1,1))</f>
        <v>188.94867378904664</v>
      </c>
      <c r="AO36" s="62">
        <f t="shared" si="36"/>
        <v>242.84781402593833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14.481687507193584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5.4850057109487302</v>
      </c>
      <c r="AX36" s="23">
        <f t="shared" si="6"/>
        <v>19.966693218142314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18.8</v>
      </c>
      <c r="BD36" s="13">
        <f>IF('Données projet'!$A$88&gt;35,BD35+BC36-BL35,IF(A36&lt;'Données projet'!$A$88,$BA$205^A36,IF(A36='Données projet'!$A$88,'Données projet'!$B$88,BD35+BC36-BL35)))</f>
        <v>258.40000000000003</v>
      </c>
      <c r="BE36" s="14">
        <f>BD36*VLOOKUP('Données projet'!$B$11,Paramètres!$A$1:$I$89,3,0)*VLOOKUP('Données projet'!$B$11,Paramètres!$A$1:$I$89,5,0)</f>
        <v>154.52320000000003</v>
      </c>
      <c r="BF36" s="14">
        <f t="shared" si="37"/>
        <v>39.60471498856284</v>
      </c>
      <c r="BG36" s="22">
        <f t="shared" si="7"/>
        <v>338.10611860508033</v>
      </c>
      <c r="BH36" s="62">
        <f t="shared" si="8"/>
        <v>579.98696443962103</v>
      </c>
      <c r="BI36" s="62">
        <f ca="1">AVERAGE(OFFSET($BH$3,0,0,'Données projet'!$E$11+1,1))-AVERAGE(OFFSET($H$3,0,0,'Données projet'!$E$11+1,1))</f>
        <v>367.11994336501527</v>
      </c>
      <c r="BJ36" s="62">
        <f t="shared" si="38"/>
        <v>390.81417197867484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14.846022393345844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7.3909660558540553</v>
      </c>
      <c r="BS36" s="24">
        <f t="shared" si="9"/>
        <v>22.236988449199899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15.25</v>
      </c>
      <c r="BY36" s="13">
        <f>IF('Données projet'!$A$114&gt;35,BY35+BX36-CG35,IF(A36&lt;'Données projet'!$A$114,$BV$205^A36,IF(A36='Données projet'!$A$114,'Données projet'!$B$114,BY35+BX36-CG35)))</f>
        <v>371.95000000000005</v>
      </c>
      <c r="BZ36" s="14">
        <f>BY36*VLOOKUP('Données projet'!$B$12,Paramètres!$A$1:$I$89,3,0)*VLOOKUP('Données projet'!$B$12,Paramètres!$A$1:$I$89,5,0)</f>
        <v>222.42610000000005</v>
      </c>
      <c r="CA36" s="14">
        <f t="shared" si="39"/>
        <v>54.641849520575498</v>
      </c>
      <c r="CB36" s="22">
        <f t="shared" si="10"/>
        <v>482.56001208166907</v>
      </c>
      <c r="CC36" s="62">
        <f t="shared" si="11"/>
        <v>724.44085791620978</v>
      </c>
      <c r="CD36" s="62">
        <f ca="1">AVERAGE(OFFSET($CC$3,0,0,'Données projet'!$E$12+1,1))-AVERAGE(OFFSET($H$3,0,0,'Données projet'!$E$12+1,1))</f>
        <v>396.15172163885632</v>
      </c>
      <c r="CE36" s="62">
        <f t="shared" si="40"/>
        <v>624.94568617205198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22.193191254361121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15.210340635659781</v>
      </c>
      <c r="CN36" s="24">
        <f t="shared" si="12"/>
        <v>37.403531890020901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>
        <f>CT36*VLOOKUP('Données projet'!$B$13,Paramètres!$A$1:$I$89,3,0)*VLOOKUP('Données projet'!$B$13,Paramètres!$A$1:$I$89,5,0)</f>
        <v>0</v>
      </c>
      <c r="CV36" s="14" t="e">
        <f t="shared" si="41"/>
        <v>#NUM!</v>
      </c>
      <c r="CW36" s="22" t="e">
        <f t="shared" si="13"/>
        <v>#NUM!</v>
      </c>
      <c r="CX36" s="62" t="e">
        <f t="shared" si="14"/>
        <v>#NUM!</v>
      </c>
      <c r="CY36" s="62">
        <f ca="1">AVERAGE(OFFSET($CX$3,0,0,'Données projet'!$E$13+1,1))-AVERAGE(OFFSET($H$3,0,0,'Données projet'!$E$13+1,1))</f>
        <v>89.800041997398182</v>
      </c>
      <c r="CZ36" s="62">
        <f t="shared" si="42"/>
        <v>286.94570078060917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46.272185907419484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0.12234996374714584</v>
      </c>
      <c r="DI36" s="24">
        <f t="shared" si="15"/>
        <v>46.394535871166632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513.88441634977562</v>
      </c>
      <c r="S37" s="62">
        <f ca="1">AVERAGE(OFFSET($R$3,0,0,'Données projet'!$E$9+1,1))-AVERAGE(OFFSET($H$3,0,0,'Données projet'!$E$9+1,1))</f>
        <v>367.51466260429623</v>
      </c>
      <c r="T37" s="62">
        <f t="shared" si="34"/>
        <v>297.32483725004136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2.9185707036572066</v>
      </c>
      <c r="AC37" s="24">
        <f t="shared" si="3"/>
        <v>2.9185707036572066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169.99999999999989</v>
      </c>
      <c r="AJ37" s="14">
        <f>AI37*VLOOKUP('Données projet'!$B$10,Paramètres!$A$1:$I$89,3,0)*VLOOKUP('Données projet'!$B$10,Paramètres!$A$1:$I$89,5,0)</f>
        <v>79.559999999999945</v>
      </c>
      <c r="AK37" s="14">
        <f t="shared" si="35"/>
        <v>22.029567333453301</v>
      </c>
      <c r="AL37" s="22">
        <f t="shared" si="4"/>
        <v>176.93516310576442</v>
      </c>
      <c r="AM37" s="62">
        <f t="shared" si="5"/>
        <v>419.70859456788003</v>
      </c>
      <c r="AN37" s="62">
        <f ca="1">AVERAGE(OFFSET($AM$3,0,0,'Données projet'!$E$10+1,1))-AVERAGE(OFFSET($H$3,0,0,'Données projet'!$E$10+1,1))</f>
        <v>188.94867378904664</v>
      </c>
      <c r="AO37" s="62">
        <f t="shared" si="36"/>
        <v>242.84781402593833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14.197710448134716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3.8784847330587877</v>
      </c>
      <c r="AX37" s="23">
        <f t="shared" si="6"/>
        <v>18.076195181193505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18.8</v>
      </c>
      <c r="BD37" s="13">
        <f>IF('Données projet'!$A$88&gt;35,BD36+BC37-BL36,IF(A37&lt;'Données projet'!$A$88,$BA$205^A37,IF(A37='Données projet'!$A$88,'Données projet'!$B$88,BD36+BC37-BL36)))</f>
        <v>277.20000000000005</v>
      </c>
      <c r="BE37" s="14">
        <f>BD37*VLOOKUP('Données projet'!$B$11,Paramètres!$A$1:$I$89,3,0)*VLOOKUP('Données projet'!$B$11,Paramètres!$A$1:$I$89,5,0)</f>
        <v>165.76560000000003</v>
      </c>
      <c r="BF37" s="14">
        <f t="shared" si="37"/>
        <v>42.140271125684265</v>
      </c>
      <c r="BG37" s="22">
        <f t="shared" si="7"/>
        <v>362.10272554390014</v>
      </c>
      <c r="BH37" s="62">
        <f t="shared" si="8"/>
        <v>604.87615700601577</v>
      </c>
      <c r="BI37" s="62">
        <f ca="1">AVERAGE(OFFSET($BH$3,0,0,'Données projet'!$E$11+1,1))-AVERAGE(OFFSET($H$3,0,0,'Données projet'!$E$11+1,1))</f>
        <v>367.11994336501527</v>
      </c>
      <c r="BJ37" s="62">
        <f t="shared" si="38"/>
        <v>390.81417197867484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14.554900949391868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5.2262022176139942</v>
      </c>
      <c r="BS37" s="24">
        <f t="shared" si="9"/>
        <v>19.781103167005863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>
        <f>VLOOKUP(A37,'Données projet'!$A$113:$I$133,2,0)</f>
        <v>387.2</v>
      </c>
      <c r="BW37" s="13">
        <f>VLOOKUP(A37,'Données projet'!$A$113:$I$133,9,0)</f>
        <v>15.25</v>
      </c>
      <c r="BX37" s="13">
        <f t="array" ref="BX37">INDEX(BW:BW,MIN(IF(ISNUMBER(BW37:BW233),ROW(BW37:BW233),"")))</f>
        <v>15.25</v>
      </c>
      <c r="BY37" s="13">
        <f>IF('Données projet'!$A$114&gt;35,BY36+BX37-CG36,IF(A37&lt;'Données projet'!$A$114,$BV$205^A37,IF(A37='Données projet'!$A$114,'Données projet'!$B$114,BY36+BX37-CG36)))</f>
        <v>387.20000000000005</v>
      </c>
      <c r="BZ37" s="14">
        <f>BY37*VLOOKUP('Données projet'!$B$12,Paramètres!$A$1:$I$89,3,0)*VLOOKUP('Données projet'!$B$12,Paramètres!$A$1:$I$89,5,0)</f>
        <v>231.54560000000004</v>
      </c>
      <c r="CA37" s="14">
        <f t="shared" si="39"/>
        <v>56.616746008031427</v>
      </c>
      <c r="CB37" s="22">
        <f t="shared" si="10"/>
        <v>501.88275263065475</v>
      </c>
      <c r="CC37" s="62">
        <f t="shared" si="11"/>
        <v>744.65618409277033</v>
      </c>
      <c r="CD37" s="62">
        <f ca="1">AVERAGE(OFFSET($CC$3,0,0,'Données projet'!$E$12+1,1))-AVERAGE(OFFSET($H$3,0,0,'Données projet'!$E$12+1,1))</f>
        <v>396.15172163885632</v>
      </c>
      <c r="CE37" s="62">
        <f t="shared" si="40"/>
        <v>624.94568617205198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21.757996310373144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10.755335007632334</v>
      </c>
      <c r="CN37" s="24">
        <f t="shared" si="12"/>
        <v>32.513331318005477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>
        <f>CT37*VLOOKUP('Données projet'!$B$13,Paramètres!$A$1:$I$89,3,0)*VLOOKUP('Données projet'!$B$13,Paramètres!$A$1:$I$89,5,0)</f>
        <v>0</v>
      </c>
      <c r="CV37" s="14" t="e">
        <f t="shared" si="41"/>
        <v>#NUM!</v>
      </c>
      <c r="CW37" s="22" t="e">
        <f t="shared" si="13"/>
        <v>#NUM!</v>
      </c>
      <c r="CX37" s="62" t="e">
        <f t="shared" si="14"/>
        <v>#NUM!</v>
      </c>
      <c r="CY37" s="62">
        <f ca="1">AVERAGE(OFFSET($CX$3,0,0,'Données projet'!$E$13+1,1))-AVERAGE(OFFSET($H$3,0,0,'Données projet'!$E$13+1,1))</f>
        <v>89.800041997398182</v>
      </c>
      <c r="CZ37" s="62">
        <f t="shared" si="42"/>
        <v>286.94570078060917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45.364816565021577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8.6514489043535078E-2</v>
      </c>
      <c r="DI37" s="24">
        <f t="shared" si="15"/>
        <v>45.451331054065115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535.72026258017763</v>
      </c>
      <c r="S38" s="62">
        <f ca="1">AVERAGE(OFFSET($R$3,0,0,'Données projet'!$E$9+1,1))-AVERAGE(OFFSET($H$3,0,0,'Données projet'!$E$9+1,1))</f>
        <v>367.51466260429623</v>
      </c>
      <c r="T38" s="62">
        <f t="shared" si="34"/>
        <v>297.32483725004136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2.0637411359284044</v>
      </c>
      <c r="AC38" s="24">
        <f t="shared" si="3"/>
        <v>2.0637411359284044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179.99999999999989</v>
      </c>
      <c r="AJ38" s="14">
        <f>AI38*VLOOKUP('Données projet'!$B$10,Paramètres!$A$1:$I$89,3,0)*VLOOKUP('Données projet'!$B$10,Paramètres!$A$1:$I$89,5,0)</f>
        <v>84.239999999999938</v>
      </c>
      <c r="AK38" s="14">
        <f t="shared" si="35"/>
        <v>23.170749718409446</v>
      </c>
      <c r="AL38" s="22">
        <f t="shared" si="4"/>
        <v>187.07372242622966</v>
      </c>
      <c r="AM38" s="62">
        <f t="shared" si="5"/>
        <v>430.7242551508042</v>
      </c>
      <c r="AN38" s="62">
        <f ca="1">AVERAGE(OFFSET($AM$3,0,0,'Données projet'!$E$10+1,1))-AVERAGE(OFFSET($H$3,0,0,'Données projet'!$E$10+1,1))</f>
        <v>188.94867378904664</v>
      </c>
      <c r="AO38" s="62">
        <f t="shared" si="36"/>
        <v>242.84781402593833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13.919302005995089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2.7425028554743656</v>
      </c>
      <c r="AX38" s="23">
        <f t="shared" si="6"/>
        <v>16.661804861469456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296</v>
      </c>
      <c r="BB38" s="13">
        <f>VLOOKUP(A38,'Données projet'!$A$87:$I$107,9,0)</f>
        <v>18.8</v>
      </c>
      <c r="BC38" s="13">
        <f t="array" ref="BC38">INDEX(BB:BB,MIN(IF(ISNUMBER(BB38:BB234),ROW(BB38:BB234),"")))</f>
        <v>18.8</v>
      </c>
      <c r="BD38" s="13">
        <f>IF('Données projet'!$A$88&gt;35,BD37+BC38-BL37,IF(A38&lt;'Données projet'!$A$88,$BA$205^A38,IF(A38='Données projet'!$A$88,'Données projet'!$B$88,BD37+BC38-BL37)))</f>
        <v>296.00000000000006</v>
      </c>
      <c r="BE38" s="14">
        <f>BD38*VLOOKUP('Données projet'!$B$11,Paramètres!$A$1:$I$89,3,0)*VLOOKUP('Données projet'!$B$11,Paramètres!$A$1:$I$89,5,0)</f>
        <v>177.00800000000004</v>
      </c>
      <c r="BF38" s="14">
        <f t="shared" si="37"/>
        <v>44.65587329900309</v>
      </c>
      <c r="BG38" s="22">
        <f t="shared" si="7"/>
        <v>386.06457932909711</v>
      </c>
      <c r="BH38" s="62">
        <f t="shared" si="8"/>
        <v>629.71511205367165</v>
      </c>
      <c r="BI38" s="62">
        <f ca="1">AVERAGE(OFFSET($BH$3,0,0,'Données projet'!$E$11+1,1))-AVERAGE(OFFSET($H$3,0,0,'Données projet'!$E$11+1,1))</f>
        <v>367.11994336501527</v>
      </c>
      <c r="BJ38" s="62">
        <f t="shared" si="38"/>
        <v>390.81417197867484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52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14.269488219387281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3.6954830279270281</v>
      </c>
      <c r="BS38" s="24">
        <f t="shared" si="9"/>
        <v>17.96497124731431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14.400000000000006</v>
      </c>
      <c r="BY38" s="13">
        <f>IF('Données projet'!$A$114&gt;35,BY37+BX38-CG37,IF(A38&lt;'Données projet'!$A$114,$BV$205^A38,IF(A38='Données projet'!$A$114,'Données projet'!$B$114,BY37+BX38-CG37)))</f>
        <v>401.6</v>
      </c>
      <c r="BZ38" s="14">
        <f>BY38*VLOOKUP('Données projet'!$B$12,Paramètres!$A$1:$I$89,3,0)*VLOOKUP('Données projet'!$B$12,Paramètres!$A$1:$I$89,5,0)</f>
        <v>240.15680000000003</v>
      </c>
      <c r="CA38" s="14">
        <f t="shared" si="39"/>
        <v>58.473265483572142</v>
      </c>
      <c r="CB38" s="22">
        <f t="shared" si="10"/>
        <v>520.11403071722157</v>
      </c>
      <c r="CC38" s="62">
        <f t="shared" si="11"/>
        <v>763.7645634417961</v>
      </c>
      <c r="CD38" s="62">
        <f ca="1">AVERAGE(OFFSET($CC$3,0,0,'Données projet'!$E$12+1,1))-AVERAGE(OFFSET($H$3,0,0,'Données projet'!$E$12+1,1))</f>
        <v>396.15172163885632</v>
      </c>
      <c r="CE38" s="62">
        <f t="shared" si="40"/>
        <v>624.94568617205198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21.331335273794068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7.6051703178298924</v>
      </c>
      <c r="CN38" s="24">
        <f t="shared" si="12"/>
        <v>28.936505591623959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>
        <f>CT38*VLOOKUP('Données projet'!$B$13,Paramètres!$A$1:$I$89,3,0)*VLOOKUP('Données projet'!$B$13,Paramètres!$A$1:$I$89,5,0)</f>
        <v>0</v>
      </c>
      <c r="CV38" s="14" t="e">
        <f t="shared" si="41"/>
        <v>#NUM!</v>
      </c>
      <c r="CW38" s="22" t="e">
        <f t="shared" si="13"/>
        <v>#NUM!</v>
      </c>
      <c r="CX38" s="62" t="e">
        <f t="shared" si="14"/>
        <v>#NUM!</v>
      </c>
      <c r="CY38" s="62">
        <f ca="1">AVERAGE(OFFSET($CX$3,0,0,'Données projet'!$E$13+1,1))-AVERAGE(OFFSET($H$3,0,0,'Données projet'!$E$13+1,1))</f>
        <v>89.800041997398182</v>
      </c>
      <c r="CZ38" s="62">
        <f t="shared" si="42"/>
        <v>286.94570078060917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44.475240181987445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6.1174981873572926E-2</v>
      </c>
      <c r="DI38" s="24">
        <f t="shared" si="15"/>
        <v>44.536415163861015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503.96406639900437</v>
      </c>
      <c r="S39" s="62">
        <f ca="1">AVERAGE(OFFSET($R$3,0,0,'Données projet'!$E$9+1,1))-AVERAGE(OFFSET($H$3,0,0,'Données projet'!$E$9+1,1))</f>
        <v>367.51466260429623</v>
      </c>
      <c r="T39" s="62">
        <f t="shared" si="34"/>
        <v>297.32483725004136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1.4592853518286033</v>
      </c>
      <c r="AC39" s="24">
        <f t="shared" si="3"/>
        <v>1.4592853518286033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189.99999999999989</v>
      </c>
      <c r="AJ39" s="14">
        <f>AI39*VLOOKUP('Données projet'!$B$10,Paramètres!$A$1:$I$89,3,0)*VLOOKUP('Données projet'!$B$10,Paramètres!$A$1:$I$89,5,0)</f>
        <v>88.919999999999959</v>
      </c>
      <c r="AK39" s="14">
        <f t="shared" si="35"/>
        <v>24.30457227046648</v>
      </c>
      <c r="AL39" s="22">
        <f t="shared" si="4"/>
        <v>197.19946337106239</v>
      </c>
      <c r="AM39" s="62">
        <f t="shared" si="5"/>
        <v>441.71188161209682</v>
      </c>
      <c r="AN39" s="62">
        <f ca="1">AVERAGE(OFFSET($AM$3,0,0,'Données projet'!$E$10+1,1))-AVERAGE(OFFSET($H$3,0,0,'Données projet'!$E$10+1,1))</f>
        <v>188.94867378904664</v>
      </c>
      <c r="AO39" s="62">
        <f t="shared" si="36"/>
        <v>242.84781402593833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13.646352983593438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1.9392423665293941</v>
      </c>
      <c r="AX39" s="23">
        <f t="shared" si="6"/>
        <v>15.585595350122832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17.600000000000001</v>
      </c>
      <c r="BD39" s="13">
        <f>IF('Données projet'!$A$88&gt;35,BD38+BC39-BL38,IF(A39&lt;'Données projet'!$A$88,$BA$205^A39,IF(A39='Données projet'!$A$88,'Données projet'!$B$88,BD38+BC39-BL38)))</f>
        <v>261.60000000000008</v>
      </c>
      <c r="BE39" s="14">
        <f>BD39*VLOOKUP('Données projet'!$B$11,Paramètres!$A$1:$I$89,3,0)*VLOOKUP('Données projet'!$B$11,Paramètres!$A$1:$I$89,5,0)</f>
        <v>156.43680000000006</v>
      </c>
      <c r="BF39" s="14">
        <f t="shared" si="37"/>
        <v>40.037775291207829</v>
      </c>
      <c r="BG39" s="22">
        <f t="shared" si="7"/>
        <v>342.1932186321871</v>
      </c>
      <c r="BH39" s="62">
        <f t="shared" si="8"/>
        <v>586.70563687322147</v>
      </c>
      <c r="BI39" s="62">
        <f ca="1">AVERAGE(OFFSET($BH$3,0,0,'Données projet'!$E$11+1,1))-AVERAGE(OFFSET($H$3,0,0,'Données projet'!$E$11+1,1))</f>
        <v>367.11994336501527</v>
      </c>
      <c r="BJ39" s="62">
        <f t="shared" si="38"/>
        <v>390.81417197867484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13.989672258933508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2.6131011088069975</v>
      </c>
      <c r="BS39" s="24">
        <f t="shared" si="9"/>
        <v>16.602773367740504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>
        <f>VLOOKUP(A39,'Données projet'!$A$113:$I$133,2,0)</f>
        <v>416</v>
      </c>
      <c r="BW39" s="13">
        <f>VLOOKUP(A39,'Données projet'!$A$113:$I$133,9,0)</f>
        <v>14.400000000000006</v>
      </c>
      <c r="BX39" s="13">
        <f t="array" ref="BX39">INDEX(BW:BW,MIN(IF(ISNUMBER(BW39:BW235),ROW(BW39:BW235),"")))</f>
        <v>14.400000000000006</v>
      </c>
      <c r="BY39" s="13">
        <f>IF('Données projet'!$A$114&gt;35,BY38+BX39-CG38,IF(A39&lt;'Données projet'!$A$114,$BV$205^A39,IF(A39='Données projet'!$A$114,'Données projet'!$B$114,BY38+BX39-CG38)))</f>
        <v>416</v>
      </c>
      <c r="BZ39" s="14">
        <f>BY39*VLOOKUP('Données projet'!$B$12,Paramètres!$A$1:$I$89,3,0)*VLOOKUP('Données projet'!$B$12,Paramètres!$A$1:$I$89,5,0)</f>
        <v>248.76800000000003</v>
      </c>
      <c r="CA39" s="14">
        <f t="shared" si="39"/>
        <v>60.322050791163747</v>
      </c>
      <c r="CB39" s="22">
        <f t="shared" si="10"/>
        <v>538.3318384612769</v>
      </c>
      <c r="CC39" s="62">
        <f t="shared" si="11"/>
        <v>782.84425670231133</v>
      </c>
      <c r="CD39" s="62">
        <f ca="1">AVERAGE(OFFSET($CC$3,0,0,'Données projet'!$E$12+1,1))-AVERAGE(OFFSET($H$3,0,0,'Données projet'!$E$12+1,1))</f>
        <v>396.15172163885632</v>
      </c>
      <c r="CE39" s="62">
        <f t="shared" si="40"/>
        <v>624.94568617205198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20.91304079990477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5.3776675038161681</v>
      </c>
      <c r="CN39" s="24">
        <f t="shared" si="12"/>
        <v>26.29070830372094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>
        <f>CT39*VLOOKUP('Données projet'!$B$13,Paramètres!$A$1:$I$89,3,0)*VLOOKUP('Données projet'!$B$13,Paramètres!$A$1:$I$89,5,0)</f>
        <v>0</v>
      </c>
      <c r="CV39" s="14" t="e">
        <f t="shared" si="41"/>
        <v>#NUM!</v>
      </c>
      <c r="CW39" s="22" t="e">
        <f t="shared" si="13"/>
        <v>#NUM!</v>
      </c>
      <c r="CX39" s="62" t="e">
        <f t="shared" si="14"/>
        <v>#NUM!</v>
      </c>
      <c r="CY39" s="62">
        <f ca="1">AVERAGE(OFFSET($CX$3,0,0,'Données projet'!$E$13+1,1))-AVERAGE(OFFSET($H$3,0,0,'Données projet'!$E$13+1,1))</f>
        <v>89.800041997398182</v>
      </c>
      <c r="CZ39" s="62">
        <f t="shared" si="42"/>
        <v>286.94570078060917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43.603107849236594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4.3257244521767546E-2</v>
      </c>
      <c r="DI39" s="24">
        <f t="shared" si="15"/>
        <v>43.646365093758362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526.56595364496309</v>
      </c>
      <c r="S40" s="62">
        <f ca="1">AVERAGE(OFFSET($R$3,0,0,'Données projet'!$E$9+1,1))-AVERAGE(OFFSET($H$3,0,0,'Données projet'!$E$9+1,1))</f>
        <v>367.51466260429623</v>
      </c>
      <c r="T40" s="62">
        <f t="shared" si="34"/>
        <v>297.32483725004136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1.0318705679642022</v>
      </c>
      <c r="AC40" s="24">
        <f t="shared" si="3"/>
        <v>1.0318705679642022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200</v>
      </c>
      <c r="AG40" s="13">
        <f>VLOOKUP(A40,'Données projet'!$A$61:$I$81,9,0)</f>
        <v>10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199.99999999999989</v>
      </c>
      <c r="AJ40" s="14">
        <f>AI40*VLOOKUP('Données projet'!$B$10,Paramètres!$A$1:$I$89,3,0)*VLOOKUP('Données projet'!$B$10,Paramètres!$A$1:$I$89,5,0)</f>
        <v>93.599999999999952</v>
      </c>
      <c r="AK40" s="14">
        <f t="shared" si="35"/>
        <v>25.431466524572915</v>
      </c>
      <c r="AL40" s="22">
        <f t="shared" si="4"/>
        <v>207.31313753029772</v>
      </c>
      <c r="AM40" s="62">
        <f t="shared" si="5"/>
        <v>452.67248950096882</v>
      </c>
      <c r="AN40" s="62">
        <f ca="1">AVERAGE(OFFSET($AM$3,0,0,'Données projet'!$E$10+1,1))-AVERAGE(OFFSET($H$3,0,0,'Données projet'!$E$10+1,1))</f>
        <v>188.94867378904664</v>
      </c>
      <c r="AO40" s="62">
        <f t="shared" si="36"/>
        <v>242.84781402593833</v>
      </c>
      <c r="AP40" s="16">
        <f>IF(ISNA(VLOOKUP(A40,'Données projet'!$A$61:$I$81,3,0)),0,VLOOKUP(A40,'Données projet'!$A$61:$I$81,3,0))</f>
        <v>4</v>
      </c>
      <c r="AQ40" s="16">
        <f>IF(ISNA(VLOOKUP(A40,'Données projet'!$A$61:$I$81,4,0)),0,VLOOKUP(A40,'Données projet'!$A$61:$I$81,4,0))</f>
        <v>50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13.378756325038617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1.371251427737183</v>
      </c>
      <c r="AX40" s="23">
        <f t="shared" si="6"/>
        <v>14.750007752775801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17.600000000000001</v>
      </c>
      <c r="BD40" s="13">
        <f>IF('Données projet'!$A$88&gt;35,BD39+BC40-BL39,IF(A40&lt;'Données projet'!$A$88,$BA$205^A40,IF(A40='Données projet'!$A$88,'Données projet'!$B$88,BD39+BC40-BL39)))</f>
        <v>279.2000000000001</v>
      </c>
      <c r="BE40" s="14">
        <f>BD40*VLOOKUP('Données projet'!$B$11,Paramètres!$A$1:$I$89,3,0)*VLOOKUP('Données projet'!$B$11,Paramètres!$A$1:$I$89,5,0)</f>
        <v>166.96160000000006</v>
      </c>
      <c r="BF40" s="14">
        <f t="shared" si="37"/>
        <v>42.408810446399933</v>
      </c>
      <c r="BG40" s="22">
        <f t="shared" si="7"/>
        <v>364.6534648608133</v>
      </c>
      <c r="BH40" s="62">
        <f t="shared" si="8"/>
        <v>610.01281683148443</v>
      </c>
      <c r="BI40" s="62">
        <f ca="1">AVERAGE(OFFSET($BH$3,0,0,'Données projet'!$E$11+1,1))-AVERAGE(OFFSET($H$3,0,0,'Données projet'!$E$11+1,1))</f>
        <v>367.11994336501527</v>
      </c>
      <c r="BJ40" s="62">
        <f t="shared" si="38"/>
        <v>390.81417197867484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13.71534331879335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1.8477415139635145</v>
      </c>
      <c r="BS40" s="24">
        <f t="shared" si="9"/>
        <v>15.563084832756864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12.75</v>
      </c>
      <c r="BY40" s="13">
        <f>IF('Données projet'!$A$114&gt;35,BY39+BX40-CG39,IF(A40&lt;'Données projet'!$A$114,$BV$205^A40,IF(A40='Données projet'!$A$114,'Données projet'!$B$114,BY39+BX40-CG39)))</f>
        <v>428.75</v>
      </c>
      <c r="BZ40" s="14">
        <f>BY40*VLOOKUP('Données projet'!$B$12,Paramètres!$A$1:$I$89,3,0)*VLOOKUP('Données projet'!$B$12,Paramètres!$A$1:$I$89,5,0)</f>
        <v>256.39250000000004</v>
      </c>
      <c r="CA40" s="14">
        <f t="shared" si="39"/>
        <v>61.952780543437832</v>
      </c>
      <c r="CB40" s="22">
        <f t="shared" si="10"/>
        <v>554.45136361315429</v>
      </c>
      <c r="CC40" s="62">
        <f t="shared" si="11"/>
        <v>799.81071558382541</v>
      </c>
      <c r="CD40" s="62">
        <f ca="1">AVERAGE(OFFSET($CC$3,0,0,'Données projet'!$E$12+1,1))-AVERAGE(OFFSET($H$3,0,0,'Données projet'!$E$12+1,1))</f>
        <v>396.15172163885632</v>
      </c>
      <c r="CE40" s="62">
        <f t="shared" si="40"/>
        <v>624.94568617205198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20.502948825514007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3.8025851589149466</v>
      </c>
      <c r="CN40" s="24">
        <f t="shared" si="12"/>
        <v>24.305533984428955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>
        <f>CT40*VLOOKUP('Données projet'!$B$13,Paramètres!$A$1:$I$89,3,0)*VLOOKUP('Données projet'!$B$13,Paramètres!$A$1:$I$89,5,0)</f>
        <v>0</v>
      </c>
      <c r="CV40" s="14" t="e">
        <f t="shared" si="41"/>
        <v>#NUM!</v>
      </c>
      <c r="CW40" s="22" t="e">
        <f t="shared" si="13"/>
        <v>#NUM!</v>
      </c>
      <c r="CX40" s="62" t="e">
        <f t="shared" si="14"/>
        <v>#NUM!</v>
      </c>
      <c r="CY40" s="62">
        <f ca="1">AVERAGE(OFFSET($CX$3,0,0,'Données projet'!$E$13+1,1))-AVERAGE(OFFSET($H$3,0,0,'Données projet'!$E$13+1,1))</f>
        <v>89.800041997398182</v>
      </c>
      <c r="CZ40" s="62">
        <f t="shared" si="42"/>
        <v>286.94570078060917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42.748077499582784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3.0587490936786466E-2</v>
      </c>
      <c r="DI40" s="24">
        <f t="shared" si="15"/>
        <v>42.778664990519573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549.11543057728045</v>
      </c>
      <c r="S41" s="62">
        <f ca="1">AVERAGE(OFFSET($R$3,0,0,'Données projet'!$E$9+1,1))-AVERAGE(OFFSET($H$3,0,0,'Données projet'!$E$9+1,1))</f>
        <v>367.51466260429623</v>
      </c>
      <c r="T41" s="62">
        <f t="shared" si="34"/>
        <v>297.32483725004136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0.72964267591430165</v>
      </c>
      <c r="AC41" s="24">
        <f t="shared" si="3"/>
        <v>0.72964267591430165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10.857142857142858</v>
      </c>
      <c r="AI41" s="14">
        <f>IF('Données projet'!$A$62&gt;35,AI40+AH41-AQ40,IF(A41&lt;'Données projet'!$A$62,$AF$205^A41,IF(A41='Données projet'!$A$62,'Données projet'!$B$62,AI40+AH41-AQ40)))</f>
        <v>160.85714285714275</v>
      </c>
      <c r="AJ41" s="14">
        <f>AI41*VLOOKUP('Données projet'!$B$10,Paramètres!$A$1:$I$89,3,0)*VLOOKUP('Données projet'!$B$10,Paramètres!$A$1:$I$89,5,0)</f>
        <v>75.281142857142797</v>
      </c>
      <c r="AK41" s="14">
        <f t="shared" si="35"/>
        <v>20.979348355748712</v>
      </c>
      <c r="AL41" s="22">
        <f t="shared" si="4"/>
        <v>167.6536888624527</v>
      </c>
      <c r="AM41" s="62">
        <f t="shared" si="5"/>
        <v>413.84528215601142</v>
      </c>
      <c r="AN41" s="62">
        <f ca="1">AVERAGE(OFFSET($AM$3,0,0,'Données projet'!$E$10+1,1))-AVERAGE(OFFSET($H$3,0,0,'Données projet'!$E$10+1,1))</f>
        <v>188.94867378904664</v>
      </c>
      <c r="AO41" s="62">
        <f t="shared" si="36"/>
        <v>242.84781402593833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13.116407073740213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0.96962118326469726</v>
      </c>
      <c r="AX41" s="23">
        <f t="shared" si="6"/>
        <v>14.08602825700491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17.600000000000001</v>
      </c>
      <c r="BD41" s="13">
        <f>IF('Données projet'!$A$88&gt;35,BD40+BC41-BL40,IF(A41&lt;'Données projet'!$A$88,$BA$205^A41,IF(A41='Données projet'!$A$88,'Données projet'!$B$88,BD40+BC41-BL40)))</f>
        <v>296.80000000000013</v>
      </c>
      <c r="BE41" s="14">
        <f>BD41*VLOOKUP('Données projet'!$B$11,Paramètres!$A$1:$I$89,3,0)*VLOOKUP('Données projet'!$B$11,Paramètres!$A$1:$I$89,5,0)</f>
        <v>177.48640000000012</v>
      </c>
      <c r="BF41" s="14">
        <f t="shared" si="37"/>
        <v>44.762499594286361</v>
      </c>
      <c r="BG41" s="22">
        <f t="shared" si="7"/>
        <v>387.08350012671559</v>
      </c>
      <c r="BH41" s="62">
        <f t="shared" si="8"/>
        <v>633.27509342027429</v>
      </c>
      <c r="BI41" s="62">
        <f ca="1">AVERAGE(OFFSET($BH$3,0,0,'Données projet'!$E$11+1,1))-AVERAGE(OFFSET($H$3,0,0,'Données projet'!$E$11+1,1))</f>
        <v>367.11994336501527</v>
      </c>
      <c r="BJ41" s="62">
        <f t="shared" si="38"/>
        <v>390.81417197867484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13.446393801845209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1.306550554403499</v>
      </c>
      <c r="BS41" s="24">
        <f t="shared" si="9"/>
        <v>14.752944356248708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>
        <f>VLOOKUP(A41,'Données projet'!$A$113:$I$133,2,0)</f>
        <v>441.5</v>
      </c>
      <c r="BW41" s="13">
        <f>VLOOKUP(A41,'Données projet'!$A$113:$I$133,9,0)</f>
        <v>12.75</v>
      </c>
      <c r="BX41" s="13">
        <f t="array" ref="BX41">INDEX(BW:BW,MIN(IF(ISNUMBER(BW41:BW237),ROW(BW41:BW237),"")))</f>
        <v>12.75</v>
      </c>
      <c r="BY41" s="13">
        <f>IF('Données projet'!$A$114&gt;35,BY40+BX41-CG40,IF(A41&lt;'Données projet'!$A$114,$BV$205^A41,IF(A41='Données projet'!$A$114,'Données projet'!$B$114,BY40+BX41-CG40)))</f>
        <v>441.5</v>
      </c>
      <c r="BZ41" s="14">
        <f>BY41*VLOOKUP('Données projet'!$B$12,Paramètres!$A$1:$I$89,3,0)*VLOOKUP('Données projet'!$B$12,Paramètres!$A$1:$I$89,5,0)</f>
        <v>264.017</v>
      </c>
      <c r="CA41" s="14">
        <f t="shared" si="39"/>
        <v>63.577874474136806</v>
      </c>
      <c r="CB41" s="22">
        <f t="shared" si="10"/>
        <v>570.56107304245495</v>
      </c>
      <c r="CC41" s="62">
        <f t="shared" si="11"/>
        <v>816.7526663360137</v>
      </c>
      <c r="CD41" s="62">
        <f ca="1">AVERAGE(OFFSET($CC$3,0,0,'Données projet'!$E$12+1,1))-AVERAGE(OFFSET($H$3,0,0,'Données projet'!$E$12+1,1))</f>
        <v>396.15172163885632</v>
      </c>
      <c r="CE41" s="62">
        <f t="shared" si="40"/>
        <v>624.94568617205198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20.100898504609638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2.6888337519080845</v>
      </c>
      <c r="CN41" s="24">
        <f t="shared" si="12"/>
        <v>22.789732256517723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>
        <f>CT41*VLOOKUP('Données projet'!$B$13,Paramètres!$A$1:$I$89,3,0)*VLOOKUP('Données projet'!$B$13,Paramètres!$A$1:$I$89,5,0)</f>
        <v>0</v>
      </c>
      <c r="CV41" s="14" t="e">
        <f t="shared" si="41"/>
        <v>#NUM!</v>
      </c>
      <c r="CW41" s="22" t="e">
        <f t="shared" si="13"/>
        <v>#NUM!</v>
      </c>
      <c r="CX41" s="62" t="e">
        <f t="shared" si="14"/>
        <v>#NUM!</v>
      </c>
      <c r="CY41" s="62">
        <f ca="1">AVERAGE(OFFSET($CX$3,0,0,'Données projet'!$E$13+1,1))-AVERAGE(OFFSET($H$3,0,0,'Données projet'!$E$13+1,1))</f>
        <v>89.800041997398182</v>
      </c>
      <c r="CZ41" s="62">
        <f t="shared" si="42"/>
        <v>286.94570078060917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41.909813773568672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2.1628622260883777E-2</v>
      </c>
      <c r="DI41" s="24">
        <f t="shared" si="15"/>
        <v>41.931442395829556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571.6158351683722</v>
      </c>
      <c r="S42" s="62">
        <f ca="1">AVERAGE(OFFSET($R$3,0,0,'Données projet'!$E$9+1,1))-AVERAGE(OFFSET($H$3,0,0,'Données projet'!$E$9+1,1))</f>
        <v>367.51466260429623</v>
      </c>
      <c r="T42" s="62">
        <f t="shared" si="34"/>
        <v>297.32483725004136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0.51593528398210109</v>
      </c>
      <c r="AC42" s="24">
        <f t="shared" si="3"/>
        <v>0.51593528398210109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10.857142857142858</v>
      </c>
      <c r="AI42" s="14">
        <f>IF('Données projet'!$A$62&gt;35,AI41+AH42-AQ41,IF(A42&lt;'Données projet'!$A$62,$AF$205^A42,IF(A42='Données projet'!$A$62,'Données projet'!$B$62,AI41+AH42-AQ41)))</f>
        <v>171.71428571428561</v>
      </c>
      <c r="AJ42" s="14">
        <f>AI42*VLOOKUP('Données projet'!$B$10,Paramètres!$A$1:$I$89,3,0)*VLOOKUP('Données projet'!$B$10,Paramètres!$A$1:$I$89,5,0)</f>
        <v>80.362285714285662</v>
      </c>
      <c r="AK42" s="14">
        <f t="shared" si="35"/>
        <v>22.225741561876685</v>
      </c>
      <c r="AL42" s="22">
        <f t="shared" si="4"/>
        <v>178.67414750598275</v>
      </c>
      <c r="AM42" s="62">
        <f t="shared" si="5"/>
        <v>425.68354459608986</v>
      </c>
      <c r="AN42" s="62">
        <f ca="1">AVERAGE(OFFSET($AM$3,0,0,'Données projet'!$E$10+1,1))-AVERAGE(OFFSET($H$3,0,0,'Données projet'!$E$10+1,1))</f>
        <v>188.94867378904664</v>
      </c>
      <c r="AO42" s="62">
        <f t="shared" si="36"/>
        <v>242.84781402593833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12.859202331242527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0.68562571386859161</v>
      </c>
      <c r="AX42" s="23">
        <f t="shared" si="6"/>
        <v>13.544828045111117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17.600000000000001</v>
      </c>
      <c r="BD42" s="13">
        <f>IF('Données projet'!$A$88&gt;35,BD41+BC42-BL41,IF(A42&lt;'Données projet'!$A$88,$BA$205^A42,IF(A42='Données projet'!$A$88,'Données projet'!$B$88,BD41+BC42-BL41)))</f>
        <v>314.40000000000015</v>
      </c>
      <c r="BE42" s="14">
        <f>BD42*VLOOKUP('Données projet'!$B$11,Paramètres!$A$1:$I$89,3,0)*VLOOKUP('Données projet'!$B$11,Paramètres!$A$1:$I$89,5,0)</f>
        <v>188.01120000000012</v>
      </c>
      <c r="BF42" s="14">
        <f t="shared" si="37"/>
        <v>47.099988496591031</v>
      </c>
      <c r="BG42" s="22">
        <f t="shared" si="7"/>
        <v>409.48531996489623</v>
      </c>
      <c r="BH42" s="62">
        <f t="shared" si="8"/>
        <v>656.49471705500332</v>
      </c>
      <c r="BI42" s="62">
        <f ca="1">AVERAGE(OFFSET($BH$3,0,0,'Données projet'!$E$11+1,1))-AVERAGE(OFFSET($H$3,0,0,'Données projet'!$E$11+1,1))</f>
        <v>367.11994336501527</v>
      </c>
      <c r="BJ42" s="62">
        <f t="shared" si="38"/>
        <v>390.81417197867484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13.182718220881414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0.92387075698175736</v>
      </c>
      <c r="BS42" s="24">
        <f t="shared" si="9"/>
        <v>14.106588977863172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11.75</v>
      </c>
      <c r="BY42" s="13">
        <f>IF('Données projet'!$A$114&gt;35,BY41+BX42-CG41,IF(A42&lt;'Données projet'!$A$114,$BV$205^A42,IF(A42='Données projet'!$A$114,'Données projet'!$B$114,BY41+BX42-CG41)))</f>
        <v>453.25</v>
      </c>
      <c r="BZ42" s="14">
        <f>BY42*VLOOKUP('Données projet'!$B$12,Paramètres!$A$1:$I$89,3,0)*VLOOKUP('Données projet'!$B$12,Paramètres!$A$1:$I$89,5,0)</f>
        <v>271.04349999999999</v>
      </c>
      <c r="CA42" s="14">
        <f t="shared" si="39"/>
        <v>65.070676582684172</v>
      </c>
      <c r="CB42" s="22">
        <f t="shared" si="10"/>
        <v>585.39885754817499</v>
      </c>
      <c r="CC42" s="62">
        <f t="shared" si="11"/>
        <v>832.40825463828207</v>
      </c>
      <c r="CD42" s="62">
        <f ca="1">AVERAGE(OFFSET($CC$3,0,0,'Données projet'!$E$12+1,1))-AVERAGE(OFFSET($H$3,0,0,'Données projet'!$E$12+1,1))</f>
        <v>396.15172163885632</v>
      </c>
      <c r="CE42" s="62">
        <f t="shared" si="40"/>
        <v>624.94568617205198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19.706732145271722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1.9012925794574735</v>
      </c>
      <c r="CN42" s="24">
        <f t="shared" si="12"/>
        <v>21.608024724729194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>
        <f>CT42*VLOOKUP('Données projet'!$B$13,Paramètres!$A$1:$I$89,3,0)*VLOOKUP('Données projet'!$B$13,Paramètres!$A$1:$I$89,5,0)</f>
        <v>0</v>
      </c>
      <c r="CV42" s="14" t="e">
        <f t="shared" si="41"/>
        <v>#NUM!</v>
      </c>
      <c r="CW42" s="22" t="e">
        <f t="shared" si="13"/>
        <v>#NUM!</v>
      </c>
      <c r="CX42" s="62" t="e">
        <f t="shared" si="14"/>
        <v>#NUM!</v>
      </c>
      <c r="CY42" s="62">
        <f ca="1">AVERAGE(OFFSET($CX$3,0,0,'Données projet'!$E$13+1,1))-AVERAGE(OFFSET($H$3,0,0,'Données projet'!$E$13+1,1))</f>
        <v>89.800041997398182</v>
      </c>
      <c r="CZ42" s="62">
        <f t="shared" si="42"/>
        <v>286.94570078060917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41.087987887931305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1.5293745468393237E-2</v>
      </c>
      <c r="DI42" s="24">
        <f t="shared" si="15"/>
        <v>41.103281633399696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594.07005548449115</v>
      </c>
      <c r="S43" s="62">
        <f ca="1">AVERAGE(OFFSET($R$3,0,0,'Données projet'!$E$9+1,1))-AVERAGE(OFFSET($H$3,0,0,'Données projet'!$E$9+1,1))</f>
        <v>367.51466260429623</v>
      </c>
      <c r="T43" s="62">
        <f t="shared" si="34"/>
        <v>297.32483725004136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0.36482133795715083</v>
      </c>
      <c r="AC43" s="24">
        <f t="shared" si="3"/>
        <v>0.36482133795715083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10.857142857142858</v>
      </c>
      <c r="AI43" s="14">
        <f>IF('Données projet'!$A$62&gt;35,AI42+AH43-AQ42,IF(A43&lt;'Données projet'!$A$62,$AF$205^A43,IF(A43='Données projet'!$A$62,'Données projet'!$B$62,AI42+AH43-AQ42)))</f>
        <v>182.57142857142847</v>
      </c>
      <c r="AJ43" s="14">
        <f>AI43*VLOOKUP('Données projet'!$B$10,Paramètres!$A$1:$I$89,3,0)*VLOOKUP('Données projet'!$B$10,Paramètres!$A$1:$I$89,5,0)</f>
        <v>85.443428571428527</v>
      </c>
      <c r="AK43" s="14">
        <f t="shared" si="35"/>
        <v>23.462988887975445</v>
      </c>
      <c r="AL43" s="22">
        <f t="shared" si="4"/>
        <v>189.67867707512858</v>
      </c>
      <c r="AM43" s="62">
        <f t="shared" si="5"/>
        <v>437.49169089424936</v>
      </c>
      <c r="AN43" s="62">
        <f ca="1">AVERAGE(OFFSET($AM$3,0,0,'Données projet'!$E$10+1,1))-AVERAGE(OFFSET($H$3,0,0,'Données projet'!$E$10+1,1))</f>
        <v>188.94867378904664</v>
      </c>
      <c r="AO43" s="62">
        <f t="shared" si="36"/>
        <v>242.84781402593833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12.607041216865817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0.48481059163234869</v>
      </c>
      <c r="AX43" s="23">
        <f t="shared" si="6"/>
        <v>13.091851808498165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332</v>
      </c>
      <c r="BB43" s="13">
        <f>VLOOKUP(A43,'Données projet'!$A$87:$I$107,9,0)</f>
        <v>17.600000000000001</v>
      </c>
      <c r="BC43" s="13">
        <f t="array" ref="BC43">INDEX(BB:BB,MIN(IF(ISNUMBER(BB43:BB239),ROW(BB43:BB239),"")))</f>
        <v>17.600000000000001</v>
      </c>
      <c r="BD43" s="13">
        <f>IF('Données projet'!$A$88&gt;35,BD42+BC43-BL42,IF(A43&lt;'Données projet'!$A$88,$BA$205^A43,IF(A43='Données projet'!$A$88,'Données projet'!$B$88,BD42+BC43-BL42)))</f>
        <v>332.00000000000017</v>
      </c>
      <c r="BE43" s="14">
        <f>BD43*VLOOKUP('Données projet'!$B$11,Paramètres!$A$1:$I$89,3,0)*VLOOKUP('Données projet'!$B$11,Paramètres!$A$1:$I$89,5,0)</f>
        <v>198.53600000000012</v>
      </c>
      <c r="BF43" s="14">
        <f t="shared" si="37"/>
        <v>49.42228739122875</v>
      </c>
      <c r="BG43" s="22">
        <f t="shared" si="7"/>
        <v>431.86068387305687</v>
      </c>
      <c r="BH43" s="62">
        <f t="shared" si="8"/>
        <v>679.67369769217771</v>
      </c>
      <c r="BI43" s="62">
        <f ca="1">AVERAGE(OFFSET($BH$3,0,0,'Données projet'!$E$11+1,1))-AVERAGE(OFFSET($H$3,0,0,'Données projet'!$E$11+1,1))</f>
        <v>367.11994336501527</v>
      </c>
      <c r="BJ43" s="62">
        <f t="shared" si="38"/>
        <v>390.81417197867484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48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12.924213157234094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0.6532752772017496</v>
      </c>
      <c r="BS43" s="24">
        <f t="shared" si="9"/>
        <v>13.577488434435844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465</v>
      </c>
      <c r="BW43" s="13">
        <f>VLOOKUP(A43,'Données projet'!$A$113:$I$133,9,0)</f>
        <v>11.75</v>
      </c>
      <c r="BX43" s="13">
        <f t="array" ref="BX43">INDEX(BW:BW,MIN(IF(ISNUMBER(BW43:BW239),ROW(BW43:BW239),"")))</f>
        <v>11.75</v>
      </c>
      <c r="BY43" s="13">
        <f>IF('Données projet'!$A$114&gt;35,BY42+BX43-CG42,IF(A43&lt;'Données projet'!$A$114,$BV$205^A43,IF(A43='Données projet'!$A$114,'Données projet'!$B$114,BY42+BX43-CG42)))</f>
        <v>465</v>
      </c>
      <c r="BZ43" s="14">
        <f>BY43*VLOOKUP('Données projet'!$B$12,Paramètres!$A$1:$I$89,3,0)*VLOOKUP('Données projet'!$B$12,Paramètres!$A$1:$I$89,5,0)</f>
        <v>278.07</v>
      </c>
      <c r="CA43" s="14">
        <f t="shared" si="39"/>
        <v>66.558980358276997</v>
      </c>
      <c r="CB43" s="22">
        <f t="shared" si="10"/>
        <v>600.22880745733244</v>
      </c>
      <c r="CC43" s="62">
        <f t="shared" si="11"/>
        <v>848.04182127645322</v>
      </c>
      <c r="CD43" s="62">
        <f ca="1">AVERAGE(OFFSET($CC$3,0,0,'Données projet'!$E$12+1,1))-AVERAGE(OFFSET($H$3,0,0,'Données projet'!$E$12+1,1))</f>
        <v>396.15172163885632</v>
      </c>
      <c r="CE43" s="62">
        <f t="shared" si="40"/>
        <v>624.94568617205198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92.5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19.320295147822684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1.3444168759540425</v>
      </c>
      <c r="CN43" s="24">
        <f t="shared" si="12"/>
        <v>20.664712023776726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>
        <f>CT43*VLOOKUP('Données projet'!$B$13,Paramètres!$A$1:$I$89,3,0)*VLOOKUP('Données projet'!$B$13,Paramètres!$A$1:$I$89,5,0)</f>
        <v>0</v>
      </c>
      <c r="CV43" s="14" t="e">
        <f t="shared" si="41"/>
        <v>#NUM!</v>
      </c>
      <c r="CW43" s="22" t="e">
        <f t="shared" si="13"/>
        <v>#NUM!</v>
      </c>
      <c r="CX43" s="62" t="e">
        <f t="shared" si="14"/>
        <v>#NUM!</v>
      </c>
      <c r="CY43" s="62">
        <f ca="1">AVERAGE(OFFSET($CX$3,0,0,'Données projet'!$E$13+1,1))-AVERAGE(OFFSET($H$3,0,0,'Données projet'!$E$13+1,1))</f>
        <v>89.800041997398182</v>
      </c>
      <c r="CZ43" s="62">
        <f t="shared" si="42"/>
        <v>286.94570078060917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40.282277506646999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1.081431113044189E-2</v>
      </c>
      <c r="DI43" s="24">
        <f t="shared" si="15"/>
        <v>40.293091817777437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562.75916455140862</v>
      </c>
      <c r="S44" s="62">
        <f ca="1">AVERAGE(OFFSET($R$3,0,0,'Données projet'!$E$9+1,1))-AVERAGE(OFFSET($H$3,0,0,'Données projet'!$E$9+1,1))</f>
        <v>367.51466260429623</v>
      </c>
      <c r="T44" s="62">
        <f t="shared" si="34"/>
        <v>297.32483725004136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0.25796764199105054</v>
      </c>
      <c r="AC44" s="24">
        <f t="shared" si="3"/>
        <v>0.25796764199105054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10.857142857142858</v>
      </c>
      <c r="AI44" s="14">
        <f>IF('Données projet'!$A$62&gt;35,AI43+AH44-AQ43,IF(A44&lt;'Données projet'!$A$62,$AF$205^A44,IF(A44='Données projet'!$A$62,'Données projet'!$B$62,AI43+AH44-AQ43)))</f>
        <v>193.42857142857133</v>
      </c>
      <c r="AJ44" s="14">
        <f>AI44*VLOOKUP('Données projet'!$B$10,Paramètres!$A$1:$I$89,3,0)*VLOOKUP('Données projet'!$B$10,Paramètres!$A$1:$I$89,5,0)</f>
        <v>90.524571428571392</v>
      </c>
      <c r="AK44" s="14">
        <f t="shared" si="35"/>
        <v>24.691696167188251</v>
      </c>
      <c r="AL44" s="22">
        <f t="shared" si="4"/>
        <v>200.66833272928136</v>
      </c>
      <c r="AM44" s="62">
        <f t="shared" si="5"/>
        <v>449.27102232378536</v>
      </c>
      <c r="AN44" s="62">
        <f ca="1">AVERAGE(OFFSET($AM$3,0,0,'Données projet'!$E$10+1,1))-AVERAGE(OFFSET($H$3,0,0,'Données projet'!$E$10+1,1))</f>
        <v>188.94867378904664</v>
      </c>
      <c r="AO44" s="62">
        <f t="shared" si="36"/>
        <v>242.84781402593833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12.359824828138942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0.34281285693429586</v>
      </c>
      <c r="AX44" s="23">
        <f t="shared" si="6"/>
        <v>12.702637685073238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20</v>
      </c>
      <c r="BD44" s="13">
        <f>IF('Données projet'!$A$88&gt;35,BD43+BC44-BL43,IF(A44&lt;'Données projet'!$A$88,$BA$205^A44,IF(A44='Données projet'!$A$88,'Données projet'!$B$88,BD43+BC44-BL43)))</f>
        <v>304.00000000000017</v>
      </c>
      <c r="BE44" s="14">
        <f>BD44*VLOOKUP('Données projet'!$B$11,Paramètres!$A$1:$I$89,3,0)*VLOOKUP('Données projet'!$B$11,Paramètres!$A$1:$I$89,5,0)</f>
        <v>181.79200000000012</v>
      </c>
      <c r="BF44" s="14">
        <f t="shared" si="37"/>
        <v>45.720642997712574</v>
      </c>
      <c r="BG44" s="22">
        <f t="shared" si="7"/>
        <v>396.25118655434966</v>
      </c>
      <c r="BH44" s="62">
        <f t="shared" si="8"/>
        <v>644.8538761488536</v>
      </c>
      <c r="BI44" s="62">
        <f ca="1">AVERAGE(OFFSET($BH$3,0,0,'Données projet'!$E$11+1,1))-AVERAGE(OFFSET($H$3,0,0,'Données projet'!$E$11+1,1))</f>
        <v>367.11994336501527</v>
      </c>
      <c r="BJ44" s="62">
        <f t="shared" si="38"/>
        <v>390.81417197867484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12.670777220212379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0.46193537849087879</v>
      </c>
      <c r="BS44" s="24">
        <f t="shared" si="9"/>
        <v>13.132712598703257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8.9499999999999886</v>
      </c>
      <c r="BY44" s="13">
        <f>IF('Données projet'!$A$114&gt;35,BY43+BX44-CG43,IF(A44&lt;'Données projet'!$A$114,$BV$205^A44,IF(A44='Données projet'!$A$114,'Données projet'!$B$114,BY43+BX44-CG43)))</f>
        <v>381.45</v>
      </c>
      <c r="BZ44" s="14">
        <f>BY44*VLOOKUP('Données projet'!$B$12,Paramètres!$A$1:$I$89,3,0)*VLOOKUP('Données projet'!$B$12,Paramètres!$A$1:$I$89,5,0)</f>
        <v>228.10710000000003</v>
      </c>
      <c r="CA44" s="14">
        <f t="shared" si="39"/>
        <v>55.873195648274461</v>
      </c>
      <c r="CB44" s="22">
        <f t="shared" si="10"/>
        <v>494.59901492074476</v>
      </c>
      <c r="CC44" s="62">
        <f t="shared" si="11"/>
        <v>743.20170451524871</v>
      </c>
      <c r="CD44" s="62">
        <f ca="1">AVERAGE(OFFSET($CC$3,0,0,'Données projet'!$E$12+1,1))-AVERAGE(OFFSET($H$3,0,0,'Données projet'!$E$12+1,1))</f>
        <v>396.15172163885632</v>
      </c>
      <c r="CE44" s="62">
        <f t="shared" si="40"/>
        <v>624.94568617205198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18.941435944190328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0.95064628972873699</v>
      </c>
      <c r="CN44" s="24">
        <f t="shared" si="12"/>
        <v>19.892082233919066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>
        <f>CT44*VLOOKUP('Données projet'!$B$13,Paramètres!$A$1:$I$89,3,0)*VLOOKUP('Données projet'!$B$13,Paramètres!$A$1:$I$89,5,0)</f>
        <v>0</v>
      </c>
      <c r="CV44" s="14" t="e">
        <f t="shared" si="41"/>
        <v>#NUM!</v>
      </c>
      <c r="CW44" s="22" t="e">
        <f t="shared" si="13"/>
        <v>#NUM!</v>
      </c>
      <c r="CX44" s="62" t="e">
        <f t="shared" si="14"/>
        <v>#NUM!</v>
      </c>
      <c r="CY44" s="62">
        <f ca="1">AVERAGE(OFFSET($CX$3,0,0,'Données projet'!$E$13+1,1))-AVERAGE(OFFSET($H$3,0,0,'Données projet'!$E$13+1,1))</f>
        <v>89.800041997398182</v>
      </c>
      <c r="CZ44" s="62">
        <f t="shared" si="42"/>
        <v>286.94570078060917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39.492366614504867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7.6468727341966192E-3</v>
      </c>
      <c r="DI44" s="24">
        <f t="shared" si="15"/>
        <v>39.500013487239066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585.58746857823087</v>
      </c>
      <c r="S45" s="62">
        <f ca="1">AVERAGE(OFFSET($R$3,0,0,'Données projet'!$E$9+1,1))-AVERAGE(OFFSET($H$3,0,0,'Données projet'!$E$9+1,1))</f>
        <v>367.51466260429623</v>
      </c>
      <c r="T45" s="62">
        <f t="shared" si="34"/>
        <v>297.32483725004136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0.18241066897857541</v>
      </c>
      <c r="AC45" s="24">
        <f t="shared" si="3"/>
        <v>0.18241066897857541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10.857142857142858</v>
      </c>
      <c r="AI45" s="14">
        <f>IF('Données projet'!$A$62&gt;35,AI44+AH45-AQ44,IF(A45&lt;'Données projet'!$A$62,$AF$205^A45,IF(A45='Données projet'!$A$62,'Données projet'!$B$62,AI44+AH45-AQ44)))</f>
        <v>204.28571428571419</v>
      </c>
      <c r="AJ45" s="14">
        <f>AI45*VLOOKUP('Données projet'!$B$10,Paramètres!$A$1:$I$89,3,0)*VLOOKUP('Données projet'!$B$10,Paramètres!$A$1:$I$89,5,0)</f>
        <v>95.605714285714242</v>
      </c>
      <c r="AK45" s="14">
        <f t="shared" si="35"/>
        <v>25.912397380593962</v>
      </c>
      <c r="AL45" s="22">
        <f t="shared" si="4"/>
        <v>211.64404448548677</v>
      </c>
      <c r="AM45" s="62">
        <f t="shared" si="5"/>
        <v>461.0227107461215</v>
      </c>
      <c r="AN45" s="62">
        <f ca="1">AVERAGE(OFFSET($AM$3,0,0,'Données projet'!$E$10+1,1))-AVERAGE(OFFSET($H$3,0,0,'Données projet'!$E$10+1,1))</f>
        <v>188.94867378904664</v>
      </c>
      <c r="AO45" s="62">
        <f t="shared" si="36"/>
        <v>242.84781402593833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12.117456202007894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0.24240529581617437</v>
      </c>
      <c r="AX45" s="23">
        <f t="shared" si="6"/>
        <v>12.359861497824069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20</v>
      </c>
      <c r="BD45" s="13">
        <f>IF('Données projet'!$A$88&gt;35,BD44+BC45-BL44,IF(A45&lt;'Données projet'!$A$88,$BA$205^A45,IF(A45='Données projet'!$A$88,'Données projet'!$B$88,BD44+BC45-BL44)))</f>
        <v>324.00000000000017</v>
      </c>
      <c r="BE45" s="14">
        <f>BD45*VLOOKUP('Données projet'!$B$11,Paramètres!$A$1:$I$89,3,0)*VLOOKUP('Données projet'!$B$11,Paramètres!$A$1:$I$89,5,0)</f>
        <v>193.75200000000009</v>
      </c>
      <c r="BF45" s="14">
        <f t="shared" si="37"/>
        <v>48.368520355376113</v>
      </c>
      <c r="BG45" s="22">
        <f t="shared" si="7"/>
        <v>421.69323961894696</v>
      </c>
      <c r="BH45" s="62">
        <f t="shared" si="8"/>
        <v>671.07190587958166</v>
      </c>
      <c r="BI45" s="62">
        <f ca="1">AVERAGE(OFFSET($BH$3,0,0,'Données projet'!$E$11+1,1))-AVERAGE(OFFSET($H$3,0,0,'Données projet'!$E$11+1,1))</f>
        <v>367.11994336501527</v>
      </c>
      <c r="BJ45" s="62">
        <f t="shared" si="38"/>
        <v>390.81417197867484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12.422311007335001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0.32663763860087486</v>
      </c>
      <c r="BS45" s="24">
        <f t="shared" si="9"/>
        <v>12.748948645935876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390.4</v>
      </c>
      <c r="BW45" s="13">
        <f>VLOOKUP(A45,'Données projet'!$A$113:$I$133,9,0)</f>
        <v>8.9499999999999886</v>
      </c>
      <c r="BX45" s="13">
        <f t="array" ref="BX45">INDEX(BW:BW,MIN(IF(ISNUMBER(BW45:BW241),ROW(BW45:BW241),"")))</f>
        <v>8.9499999999999886</v>
      </c>
      <c r="BY45" s="13">
        <f>IF('Données projet'!$A$114&gt;35,BY44+BX45-CG44,IF(A45&lt;'Données projet'!$A$114,$BV$205^A45,IF(A45='Données projet'!$A$114,'Données projet'!$B$114,BY44+BX45-CG44)))</f>
        <v>390.4</v>
      </c>
      <c r="BZ45" s="14">
        <f>BY45*VLOOKUP('Données projet'!$B$12,Paramètres!$A$1:$I$89,3,0)*VLOOKUP('Données projet'!$B$12,Paramètres!$A$1:$I$89,5,0)</f>
        <v>233.45920000000001</v>
      </c>
      <c r="CA45" s="14">
        <f t="shared" si="39"/>
        <v>57.029990372442569</v>
      </c>
      <c r="CB45" s="22">
        <f t="shared" si="10"/>
        <v>505.93533989867075</v>
      </c>
      <c r="CC45" s="62">
        <f t="shared" si="11"/>
        <v>755.31400615930545</v>
      </c>
      <c r="CD45" s="62">
        <f ca="1">AVERAGE(OFFSET($CC$3,0,0,'Données projet'!$E$12+1,1))-AVERAGE(OFFSET($H$3,0,0,'Données projet'!$E$12+1,1))</f>
        <v>396.15172163885632</v>
      </c>
      <c r="CE45" s="62">
        <f t="shared" si="40"/>
        <v>624.94568617205198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18.570005938459904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0.67220843797702134</v>
      </c>
      <c r="CN45" s="24">
        <f t="shared" si="12"/>
        <v>19.242214376436927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>
        <f>CT45*VLOOKUP('Données projet'!$B$13,Paramètres!$A$1:$I$89,3,0)*VLOOKUP('Données projet'!$B$13,Paramètres!$A$1:$I$89,5,0)</f>
        <v>0</v>
      </c>
      <c r="CV45" s="14" t="e">
        <f t="shared" si="41"/>
        <v>#NUM!</v>
      </c>
      <c r="CW45" s="22" t="e">
        <f t="shared" si="13"/>
        <v>#NUM!</v>
      </c>
      <c r="CX45" s="62" t="e">
        <f t="shared" si="14"/>
        <v>#NUM!</v>
      </c>
      <c r="CY45" s="62">
        <f ca="1">AVERAGE(OFFSET($CX$3,0,0,'Données projet'!$E$13+1,1))-AVERAGE(OFFSET($H$3,0,0,'Données projet'!$E$13+1,1))</f>
        <v>89.800041997398182</v>
      </c>
      <c r="CZ45" s="62">
        <f t="shared" si="42"/>
        <v>286.94570078060917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38.717945393159575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5.4071555652209459E-3</v>
      </c>
      <c r="DI45" s="24">
        <f t="shared" si="15"/>
        <v>38.723352548724797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608.37046704726299</v>
      </c>
      <c r="S46" s="62">
        <f ca="1">AVERAGE(OFFSET($R$3,0,0,'Données projet'!$E$9+1,1))-AVERAGE(OFFSET($H$3,0,0,'Données projet'!$E$9+1,1))</f>
        <v>367.51466260429623</v>
      </c>
      <c r="T46" s="62">
        <f t="shared" si="34"/>
        <v>297.32483725004136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0.12898382099552527</v>
      </c>
      <c r="AC46" s="24">
        <f t="shared" si="3"/>
        <v>0.12898382099552527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10.857142857142858</v>
      </c>
      <c r="AI46" s="14">
        <f>IF('Données projet'!$A$62&gt;35,AI45+AH46-AQ45,IF(A46&lt;'Données projet'!$A$62,$AF$205^A46,IF(A46='Données projet'!$A$62,'Données projet'!$B$62,AI45+AH46-AQ45)))</f>
        <v>215.14285714285705</v>
      </c>
      <c r="AJ46" s="14">
        <f>AI46*VLOOKUP('Données projet'!$B$10,Paramètres!$A$1:$I$89,3,0)*VLOOKUP('Données projet'!$B$10,Paramètres!$A$1:$I$89,5,0)</f>
        <v>100.68685714285711</v>
      </c>
      <c r="AK46" s="14">
        <f t="shared" si="35"/>
        <v>27.125566544771527</v>
      </c>
      <c r="AL46" s="22">
        <f t="shared" si="4"/>
        <v>222.60663792261985</v>
      </c>
      <c r="AM46" s="62">
        <f t="shared" si="5"/>
        <v>472.74781938905187</v>
      </c>
      <c r="AN46" s="62">
        <f ca="1">AVERAGE(OFFSET($AM$3,0,0,'Données projet'!$E$10+1,1))-AVERAGE(OFFSET($H$3,0,0,'Données projet'!$E$10+1,1))</f>
        <v>188.94867378904664</v>
      </c>
      <c r="AO46" s="62">
        <f t="shared" si="36"/>
        <v>242.84781402593833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11.879840276805009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0.17140642846714796</v>
      </c>
      <c r="AX46" s="23">
        <f t="shared" si="6"/>
        <v>12.051246705272156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20</v>
      </c>
      <c r="BD46" s="13">
        <f>IF('Données projet'!$A$88&gt;35,BD45+BC46-BL45,IF(A46&lt;'Données projet'!$A$88,$BA$205^A46,IF(A46='Données projet'!$A$88,'Données projet'!$B$88,BD45+BC46-BL45)))</f>
        <v>344.00000000000017</v>
      </c>
      <c r="BE46" s="14">
        <f>BD46*VLOOKUP('Données projet'!$B$11,Paramètres!$A$1:$I$89,3,0)*VLOOKUP('Données projet'!$B$11,Paramètres!$A$1:$I$89,5,0)</f>
        <v>205.71200000000013</v>
      </c>
      <c r="BF46" s="14">
        <f t="shared" si="37"/>
        <v>50.997427696933762</v>
      </c>
      <c r="BG46" s="22">
        <f t="shared" si="7"/>
        <v>447.10225323882656</v>
      </c>
      <c r="BH46" s="62">
        <f t="shared" si="8"/>
        <v>697.24343470525855</v>
      </c>
      <c r="BI46" s="62">
        <f ca="1">AVERAGE(OFFSET($BH$3,0,0,'Données projet'!$E$11+1,1))-AVERAGE(OFFSET($H$3,0,0,'Données projet'!$E$11+1,1))</f>
        <v>367.11994336501527</v>
      </c>
      <c r="BJ46" s="62">
        <f t="shared" si="38"/>
        <v>390.81417197867484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12.178717065342722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0.23096768924543942</v>
      </c>
      <c r="BS46" s="24">
        <f t="shared" si="9"/>
        <v>12.409684754588161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10.150000000000006</v>
      </c>
      <c r="BY46" s="13">
        <f>IF('Données projet'!$A$114&gt;35,BY45+BX46-CG45,IF(A46&lt;'Données projet'!$A$114,$BV$205^A46,IF(A46='Données projet'!$A$114,'Données projet'!$B$114,BY45+BX46-CG45)))</f>
        <v>400.54999999999995</v>
      </c>
      <c r="BZ46" s="14">
        <f>BY46*VLOOKUP('Données projet'!$B$12,Paramètres!$A$1:$I$89,3,0)*VLOOKUP('Données projet'!$B$12,Paramètres!$A$1:$I$89,5,0)</f>
        <v>239.52889999999999</v>
      </c>
      <c r="CA46" s="14">
        <f t="shared" si="39"/>
        <v>58.338159434352455</v>
      </c>
      <c r="CB46" s="22">
        <f t="shared" si="10"/>
        <v>518.78512851483038</v>
      </c>
      <c r="CC46" s="62">
        <f t="shared" si="11"/>
        <v>768.92630998126242</v>
      </c>
      <c r="CD46" s="62">
        <f ca="1">AVERAGE(OFFSET($CC$3,0,0,'Données projet'!$E$12+1,1))-AVERAGE(OFFSET($H$3,0,0,'Données projet'!$E$12+1,1))</f>
        <v>396.15172163885632</v>
      </c>
      <c r="CE46" s="62">
        <f t="shared" si="40"/>
        <v>624.94568617205198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18.205859448591919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0.47532314486436855</v>
      </c>
      <c r="CN46" s="24">
        <f t="shared" si="12"/>
        <v>18.681182593456288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>
        <f>CT46*VLOOKUP('Données projet'!$B$13,Paramètres!$A$1:$I$89,3,0)*VLOOKUP('Données projet'!$B$13,Paramètres!$A$1:$I$89,5,0)</f>
        <v>0</v>
      </c>
      <c r="CV46" s="14" t="e">
        <f t="shared" si="41"/>
        <v>#NUM!</v>
      </c>
      <c r="CW46" s="22" t="e">
        <f t="shared" si="13"/>
        <v>#NUM!</v>
      </c>
      <c r="CX46" s="62" t="e">
        <f t="shared" si="14"/>
        <v>#NUM!</v>
      </c>
      <c r="CY46" s="62">
        <f ca="1">AVERAGE(OFFSET($CX$3,0,0,'Données projet'!$E$13+1,1))-AVERAGE(OFFSET($H$3,0,0,'Données projet'!$E$13+1,1))</f>
        <v>89.800041997398182</v>
      </c>
      <c r="CZ46" s="62">
        <f t="shared" si="42"/>
        <v>286.94570078060917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37.958710099614557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3.8234363670983105E-3</v>
      </c>
      <c r="DI46" s="24">
        <f t="shared" si="15"/>
        <v>37.962533535981656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631.11062498731712</v>
      </c>
      <c r="S47" s="62">
        <f ca="1">AVERAGE(OFFSET($R$3,0,0,'Données projet'!$E$9+1,1))-AVERAGE(OFFSET($H$3,0,0,'Données projet'!$E$9+1,1))</f>
        <v>367.51466260429623</v>
      </c>
      <c r="T47" s="62">
        <f t="shared" si="34"/>
        <v>297.32483725004136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9.1205334489287707E-2</v>
      </c>
      <c r="AC47" s="24">
        <f t="shared" si="3"/>
        <v>9.1205334489287707E-2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226</v>
      </c>
      <c r="AG47" s="13">
        <f>VLOOKUP(A47,'Données projet'!$A$61:$I$81,9,0)</f>
        <v>10.857142857142858</v>
      </c>
      <c r="AH47" s="13">
        <f t="array" ref="AH47">INDEX(AG:AG,MIN(IF(ISNUMBER(AG47:AG243),ROW(AG47:AG243),"")))</f>
        <v>10.857142857142858</v>
      </c>
      <c r="AI47" s="14">
        <f>IF('Données projet'!$A$62&gt;35,AI46+AH47-AQ46,IF(A47&lt;'Données projet'!$A$62,$AF$205^A47,IF(A47='Données projet'!$A$62,'Données projet'!$B$62,AI46+AH47-AQ46)))</f>
        <v>225.99999999999991</v>
      </c>
      <c r="AJ47" s="14">
        <f>AI47*VLOOKUP('Données projet'!$B$10,Paramètres!$A$1:$I$89,3,0)*VLOOKUP('Données projet'!$B$10,Paramètres!$A$1:$I$89,5,0)</f>
        <v>105.76799999999997</v>
      </c>
      <c r="AK47" s="14">
        <f t="shared" si="35"/>
        <v>28.33162713151323</v>
      </c>
      <c r="AL47" s="22">
        <f t="shared" si="4"/>
        <v>233.5568505873855</v>
      </c>
      <c r="AM47" s="62">
        <f t="shared" si="5"/>
        <v>484.44731932552293</v>
      </c>
      <c r="AN47" s="62">
        <f ca="1">AVERAGE(OFFSET($AM$3,0,0,'Données projet'!$E$10+1,1))-AVERAGE(OFFSET($H$3,0,0,'Données projet'!$E$10+1,1))</f>
        <v>188.94867378904664</v>
      </c>
      <c r="AO47" s="62">
        <f t="shared" si="36"/>
        <v>242.84781402593833</v>
      </c>
      <c r="AP47" s="16">
        <f>IF(ISNA(VLOOKUP(A47,'Données projet'!$A$61:$I$81,3,0)),0,VLOOKUP(A47,'Données projet'!$A$61:$I$81,3,0))</f>
        <v>5</v>
      </c>
      <c r="AQ47" s="16">
        <f>IF(ISNA(VLOOKUP(A47,'Données projet'!$A$61:$I$81,4,0)),0,VLOOKUP(A47,'Données projet'!$A$61:$I$81,4,0))</f>
        <v>60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11.646883854963949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0.12120264790808721</v>
      </c>
      <c r="AX47" s="23">
        <f t="shared" si="6"/>
        <v>11.768086502872036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20</v>
      </c>
      <c r="BD47" s="13">
        <f>IF('Données projet'!$A$88&gt;35,BD46+BC47-BL46,IF(A47&lt;'Données projet'!$A$88,$BA$205^A47,IF(A47='Données projet'!$A$88,'Données projet'!$B$88,BD46+BC47-BL46)))</f>
        <v>364.00000000000017</v>
      </c>
      <c r="BE47" s="14">
        <f>BD47*VLOOKUP('Données projet'!$B$11,Paramètres!$A$1:$I$89,3,0)*VLOOKUP('Données projet'!$B$11,Paramètres!$A$1:$I$89,5,0)</f>
        <v>217.67200000000011</v>
      </c>
      <c r="BF47" s="14">
        <f t="shared" si="37"/>
        <v>53.60859357546007</v>
      </c>
      <c r="BG47" s="22">
        <f t="shared" si="7"/>
        <v>472.48036714392646</v>
      </c>
      <c r="BH47" s="62">
        <f t="shared" si="8"/>
        <v>723.37083588206383</v>
      </c>
      <c r="BI47" s="62">
        <f ca="1">AVERAGE(OFFSET($BH$3,0,0,'Données projet'!$E$11+1,1))-AVERAGE(OFFSET($H$3,0,0,'Données projet'!$E$11+1,1))</f>
        <v>367.11994336501527</v>
      </c>
      <c r="BJ47" s="62">
        <f t="shared" si="38"/>
        <v>390.81417197867484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11.939899851975278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0.16331881930043746</v>
      </c>
      <c r="BS47" s="24">
        <f t="shared" si="9"/>
        <v>12.103218671275716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410.7</v>
      </c>
      <c r="BW47" s="13">
        <f>VLOOKUP(A47,'Données projet'!$A$113:$I$133,9,0)</f>
        <v>10.150000000000006</v>
      </c>
      <c r="BX47" s="13">
        <f t="array" ref="BX47">INDEX(BW:BW,MIN(IF(ISNUMBER(BW47:BW243),ROW(BW47:BW243),"")))</f>
        <v>10.150000000000006</v>
      </c>
      <c r="BY47" s="13">
        <f>IF('Données projet'!$A$114&gt;35,BY46+BX47-CG46,IF(A47&lt;'Données projet'!$A$114,$BV$205^A47,IF(A47='Données projet'!$A$114,'Données projet'!$B$114,BY46+BX47-CG46)))</f>
        <v>410.69999999999993</v>
      </c>
      <c r="BZ47" s="14">
        <f>BY47*VLOOKUP('Données projet'!$B$12,Paramètres!$A$1:$I$89,3,0)*VLOOKUP('Données projet'!$B$12,Paramètres!$A$1:$I$89,5,0)</f>
        <v>245.59859999999998</v>
      </c>
      <c r="CA47" s="14">
        <f t="shared" si="39"/>
        <v>59.642475177448063</v>
      </c>
      <c r="CB47" s="22">
        <f t="shared" si="10"/>
        <v>531.62820593405525</v>
      </c>
      <c r="CC47" s="62">
        <f t="shared" si="11"/>
        <v>782.51867467219267</v>
      </c>
      <c r="CD47" s="62">
        <f ca="1">AVERAGE(OFFSET($CC$3,0,0,'Données projet'!$E$12+1,1))-AVERAGE(OFFSET($H$3,0,0,'Données projet'!$E$12+1,1))</f>
        <v>396.15172163885632</v>
      </c>
      <c r="CE47" s="62">
        <f t="shared" si="40"/>
        <v>624.94568617205198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17.84885364928282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0.33610421898851073</v>
      </c>
      <c r="CN47" s="24">
        <f t="shared" si="12"/>
        <v>18.184957868271329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>
        <f>CT47*VLOOKUP('Données projet'!$B$13,Paramètres!$A$1:$I$89,3,0)*VLOOKUP('Données projet'!$B$13,Paramètres!$A$1:$I$89,5,0)</f>
        <v>0</v>
      </c>
      <c r="CV47" s="14" t="e">
        <f t="shared" si="41"/>
        <v>#NUM!</v>
      </c>
      <c r="CW47" s="22" t="e">
        <f t="shared" si="13"/>
        <v>#NUM!</v>
      </c>
      <c r="CX47" s="62" t="e">
        <f t="shared" si="14"/>
        <v>#NUM!</v>
      </c>
      <c r="CY47" s="62">
        <f ca="1">AVERAGE(OFFSET($CX$3,0,0,'Données projet'!$E$13+1,1))-AVERAGE(OFFSET($H$3,0,0,'Données projet'!$E$13+1,1))</f>
        <v>89.800041997398182</v>
      </c>
      <c r="CZ47" s="62">
        <f t="shared" si="42"/>
        <v>286.94570078060917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37.214362947088155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2.7035777826104734E-3</v>
      </c>
      <c r="DI47" s="24">
        <f t="shared" si="15"/>
        <v>37.217066524870766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653.81012428716633</v>
      </c>
      <c r="S48" s="62">
        <f ca="1">AVERAGE(OFFSET($R$3,0,0,'Données projet'!$E$9+1,1))-AVERAGE(OFFSET($H$3,0,0,'Données projet'!$E$9+1,1))</f>
        <v>367.51466260429623</v>
      </c>
      <c r="T48" s="62">
        <f t="shared" si="34"/>
        <v>297.32483725004136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6.4491910497762636E-2</v>
      </c>
      <c r="AC48" s="24">
        <f t="shared" si="3"/>
        <v>6.4491910497762636E-2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11.857142857142858</v>
      </c>
      <c r="AI48" s="14">
        <f>IF('Données projet'!$A$62&gt;35,AI47+AH48-AQ47,IF(A48&lt;'Données projet'!$A$62,$AF$205^A48,IF(A48='Données projet'!$A$62,'Données projet'!$B$62,AI47+AH48-AQ47)))</f>
        <v>177.85714285714278</v>
      </c>
      <c r="AJ48" s="14">
        <f>AI48*VLOOKUP('Données projet'!$B$10,Paramètres!$A$1:$I$89,3,0)*VLOOKUP('Données projet'!$B$10,Paramètres!$A$1:$I$89,5,0)</f>
        <v>83.237142857142814</v>
      </c>
      <c r="AK48" s="14">
        <f t="shared" si="35"/>
        <v>22.926845872875649</v>
      </c>
      <c r="AL48" s="22">
        <f t="shared" si="4"/>
        <v>184.9022803714488</v>
      </c>
      <c r="AM48" s="62">
        <f t="shared" si="5"/>
        <v>436.5290379222829</v>
      </c>
      <c r="AN48" s="62">
        <f ca="1">AVERAGE(OFFSET($AM$3,0,0,'Données projet'!$E$10+1,1))-AVERAGE(OFFSET($H$3,0,0,'Données projet'!$E$10+1,1))</f>
        <v>188.94867378904664</v>
      </c>
      <c r="AO48" s="62">
        <f t="shared" si="36"/>
        <v>242.84781402593833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11.418495566465806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8.5703214233573993E-2</v>
      </c>
      <c r="AX48" s="23">
        <f t="shared" si="6"/>
        <v>11.50419878069938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384</v>
      </c>
      <c r="BB48" s="13">
        <f>VLOOKUP(A48,'Données projet'!$A$87:$I$107,9,0)</f>
        <v>20</v>
      </c>
      <c r="BC48" s="13">
        <f t="array" ref="BC48">INDEX(BB:BB,MIN(IF(ISNUMBER(BB48:BB244),ROW(BB48:BB244),"")))</f>
        <v>20</v>
      </c>
      <c r="BD48" s="13">
        <f>IF('Données projet'!$A$88&gt;35,BD47+BC48-BL47,IF(A48&lt;'Données projet'!$A$88,$BA$205^A48,IF(A48='Données projet'!$A$88,'Données projet'!$B$88,BD47+BC48-BL47)))</f>
        <v>384.00000000000017</v>
      </c>
      <c r="BE48" s="14">
        <f>BD48*VLOOKUP('Données projet'!$B$11,Paramètres!$A$1:$I$89,3,0)*VLOOKUP('Données projet'!$B$11,Paramètres!$A$1:$I$89,5,0)</f>
        <v>229.63200000000015</v>
      </c>
      <c r="BF48" s="14">
        <f t="shared" si="37"/>
        <v>56.20310391330672</v>
      </c>
      <c r="BG48" s="22">
        <f t="shared" si="7"/>
        <v>497.8294726490094</v>
      </c>
      <c r="BH48" s="62">
        <f t="shared" si="8"/>
        <v>749.4562301998435</v>
      </c>
      <c r="BI48" s="62">
        <f ca="1">AVERAGE(OFFSET($BH$3,0,0,'Données projet'!$E$11+1,1))-AVERAGE(OFFSET($H$3,0,0,'Données projet'!$E$11+1,1))</f>
        <v>367.11994336501527</v>
      </c>
      <c r="BJ48" s="62">
        <f t="shared" si="38"/>
        <v>390.81417197867484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57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11.705765698497855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0.11548384462271973</v>
      </c>
      <c r="BS48" s="24">
        <f t="shared" si="9"/>
        <v>11.821249543120574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9.0750000000000028</v>
      </c>
      <c r="BY48" s="13">
        <f>IF('Données projet'!$A$114&gt;35,BY47+BX48-CG47,IF(A48&lt;'Données projet'!$A$114,$BV$205^A48,IF(A48='Données projet'!$A$114,'Données projet'!$B$114,BY47+BX48-CG47)))</f>
        <v>419.77499999999992</v>
      </c>
      <c r="BZ48" s="14">
        <f>BY48*VLOOKUP('Données projet'!$B$12,Paramètres!$A$1:$I$89,3,0)*VLOOKUP('Données projet'!$B$12,Paramètres!$A$1:$I$89,5,0)</f>
        <v>251.02544999999995</v>
      </c>
      <c r="CA48" s="14">
        <f t="shared" si="39"/>
        <v>60.805473195695257</v>
      </c>
      <c r="CB48" s="22">
        <f t="shared" si="10"/>
        <v>543.10552456583571</v>
      </c>
      <c r="CC48" s="62">
        <f t="shared" si="11"/>
        <v>794.73228211666981</v>
      </c>
      <c r="CD48" s="62">
        <f ca="1">AVERAGE(OFFSET($CC$3,0,0,'Données projet'!$E$12+1,1))-AVERAGE(OFFSET($H$3,0,0,'Données projet'!$E$12+1,1))</f>
        <v>396.15172163885632</v>
      </c>
      <c r="CE48" s="62">
        <f t="shared" si="40"/>
        <v>624.94568617205198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17.498848515946136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0.23766157243218433</v>
      </c>
      <c r="CN48" s="24">
        <f t="shared" si="12"/>
        <v>17.736510088378321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>
        <f>CT48*VLOOKUP('Données projet'!$B$13,Paramètres!$A$1:$I$89,3,0)*VLOOKUP('Données projet'!$B$13,Paramètres!$A$1:$I$89,5,0)</f>
        <v>0</v>
      </c>
      <c r="CV48" s="14" t="e">
        <f t="shared" si="41"/>
        <v>#NUM!</v>
      </c>
      <c r="CW48" s="22" t="e">
        <f t="shared" si="13"/>
        <v>#NUM!</v>
      </c>
      <c r="CX48" s="62" t="e">
        <f t="shared" si="14"/>
        <v>#NUM!</v>
      </c>
      <c r="CY48" s="62">
        <f ca="1">AVERAGE(OFFSET($CX$3,0,0,'Données projet'!$E$13+1,1))-AVERAGE(OFFSET($H$3,0,0,'Données projet'!$E$13+1,1))</f>
        <v>89.800041997398182</v>
      </c>
      <c r="CZ48" s="62">
        <f t="shared" si="42"/>
        <v>286.94570078060917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36.48461198821586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1.9117181835491554E-3</v>
      </c>
      <c r="DI48" s="24">
        <f t="shared" si="15"/>
        <v>36.48652370639941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621.77146851287125</v>
      </c>
      <c r="S49" s="62">
        <f ca="1">AVERAGE(OFFSET($R$3,0,0,'Données projet'!$E$9+1,1))-AVERAGE(OFFSET($H$3,0,0,'Données projet'!$E$9+1,1))</f>
        <v>367.51466260429623</v>
      </c>
      <c r="T49" s="62">
        <f t="shared" si="34"/>
        <v>297.32483725004136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4.5602667244643853E-2</v>
      </c>
      <c r="AC49" s="24">
        <f t="shared" si="3"/>
        <v>4.5602667244643853E-2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11.857142857142858</v>
      </c>
      <c r="AI49" s="14">
        <f>IF('Données projet'!$A$62&gt;35,AI48+AH49-AQ48,IF(A49&lt;'Données projet'!$A$62,$AF$205^A49,IF(A49='Données projet'!$A$62,'Données projet'!$B$62,AI48+AH49-AQ48)))</f>
        <v>189.71428571428564</v>
      </c>
      <c r="AJ49" s="14">
        <f>AI49*VLOOKUP('Données projet'!$B$10,Paramètres!$A$1:$I$89,3,0)*VLOOKUP('Données projet'!$B$10,Paramètres!$A$1:$I$89,5,0)</f>
        <v>88.786285714285683</v>
      </c>
      <c r="AK49" s="14">
        <f t="shared" si="35"/>
        <v>24.27227542742515</v>
      </c>
      <c r="AL49" s="22">
        <f t="shared" si="4"/>
        <v>196.91032732181304</v>
      </c>
      <c r="AM49" s="62">
        <f t="shared" si="5"/>
        <v>449.26060072053872</v>
      </c>
      <c r="AN49" s="62">
        <f ca="1">AVERAGE(OFFSET($AM$3,0,0,'Données projet'!$E$10+1,1))-AVERAGE(OFFSET($H$3,0,0,'Données projet'!$E$10+1,1))</f>
        <v>188.94867378904664</v>
      </c>
      <c r="AO49" s="62">
        <f t="shared" si="36"/>
        <v>242.84781402593833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11.19458583300201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6.0601323954043614E-2</v>
      </c>
      <c r="AX49" s="23">
        <f t="shared" si="6"/>
        <v>11.255187156956055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344.40000000000015</v>
      </c>
      <c r="BE49" s="14">
        <f>BD49*VLOOKUP('Données projet'!$B$11,Paramètres!$A$1:$I$89,3,0)*VLOOKUP('Données projet'!$B$11,Paramètres!$A$1:$I$89,5,0)</f>
        <v>205.95120000000009</v>
      </c>
      <c r="BF49" s="14">
        <f t="shared" si="37"/>
        <v>51.049821044529857</v>
      </c>
      <c r="BG49" s="22">
        <f t="shared" si="7"/>
        <v>447.61011165255627</v>
      </c>
      <c r="BH49" s="62">
        <f t="shared" si="8"/>
        <v>699.96038505128195</v>
      </c>
      <c r="BI49" s="62">
        <f ca="1">AVERAGE(OFFSET($BH$3,0,0,'Données projet'!$E$11+1,1))-AVERAGE(OFFSET($H$3,0,0,'Données projet'!$E$11+1,1))</f>
        <v>367.11994336501527</v>
      </c>
      <c r="BJ49" s="62">
        <f t="shared" si="38"/>
        <v>390.81417197867484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11.476222772962389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8.1659409650218728E-2</v>
      </c>
      <c r="BS49" s="24">
        <f t="shared" si="9"/>
        <v>11.557882182612607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9.0750000000000028</v>
      </c>
      <c r="BY49" s="13">
        <f>IF('Données projet'!$A$114&gt;35,BY48+BX49-CG48,IF(A49&lt;'Données projet'!$A$114,$BV$205^A49,IF(A49='Données projet'!$A$114,'Données projet'!$B$114,BY48+BX49-CG48)))</f>
        <v>428.84999999999991</v>
      </c>
      <c r="BZ49" s="14">
        <f>BY49*VLOOKUP('Données projet'!$B$12,Paramètres!$A$1:$I$89,3,0)*VLOOKUP('Données projet'!$B$12,Paramètres!$A$1:$I$89,5,0)</f>
        <v>256.45229999999998</v>
      </c>
      <c r="CA49" s="14">
        <f t="shared" si="39"/>
        <v>61.965548061542329</v>
      </c>
      <c r="CB49" s="22">
        <f t="shared" si="10"/>
        <v>554.5777520405195</v>
      </c>
      <c r="CC49" s="62">
        <f t="shared" si="11"/>
        <v>806.92802543924518</v>
      </c>
      <c r="CD49" s="62">
        <f ca="1">AVERAGE(OFFSET($CC$3,0,0,'Données projet'!$E$12+1,1))-AVERAGE(OFFSET($H$3,0,0,'Données projet'!$E$12+1,1))</f>
        <v>396.15172163885632</v>
      </c>
      <c r="CE49" s="62">
        <f t="shared" si="40"/>
        <v>624.94568617205198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17.155706769792133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0.16805210949425539</v>
      </c>
      <c r="CN49" s="24">
        <f t="shared" si="12"/>
        <v>17.323758879286387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>
        <f>CT49*VLOOKUP('Données projet'!$B$13,Paramètres!$A$1:$I$89,3,0)*VLOOKUP('Données projet'!$B$13,Paramètres!$A$1:$I$89,5,0)</f>
        <v>0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89.800041997398182</v>
      </c>
      <c r="CZ49" s="62">
        <f t="shared" si="42"/>
        <v>286.94570078060917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35.769171000542919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1.3517888913052369E-3</v>
      </c>
      <c r="DI49" s="24">
        <f t="shared" si="15"/>
        <v>35.770522789434224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643.68835773851538</v>
      </c>
      <c r="S50" s="62">
        <f ca="1">AVERAGE(OFFSET($R$3,0,0,'Données projet'!$E$9+1,1))-AVERAGE(OFFSET($H$3,0,0,'Données projet'!$E$9+1,1))</f>
        <v>367.51466260429623</v>
      </c>
      <c r="T50" s="62">
        <f t="shared" si="34"/>
        <v>297.32483725004136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3.2245955248881318E-2</v>
      </c>
      <c r="AC50" s="24">
        <f t="shared" si="3"/>
        <v>3.2245955248881318E-2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11.857142857142858</v>
      </c>
      <c r="AI50" s="14">
        <f>IF('Données projet'!$A$62&gt;35,AI49+AH50-AQ49,IF(A50&lt;'Données projet'!$A$62,$AF$205^A50,IF(A50='Données projet'!$A$62,'Données projet'!$B$62,AI49+AH50-AQ49)))</f>
        <v>201.5714285714285</v>
      </c>
      <c r="AJ50" s="14">
        <f>AI50*VLOOKUP('Données projet'!$B$10,Paramètres!$A$1:$I$89,3,0)*VLOOKUP('Données projet'!$B$10,Paramètres!$A$1:$I$89,5,0)</f>
        <v>94.335428571428523</v>
      </c>
      <c r="AK50" s="14">
        <f t="shared" si="35"/>
        <v>25.607945794285612</v>
      </c>
      <c r="AL50" s="22">
        <f t="shared" si="4"/>
        <v>208.90137702028542</v>
      </c>
      <c r="AM50" s="62">
        <f t="shared" si="5"/>
        <v>461.96261488448079</v>
      </c>
      <c r="AN50" s="62">
        <f ca="1">AVERAGE(OFFSET($AM$3,0,0,'Données projet'!$E$10+1,1))-AVERAGE(OFFSET($H$3,0,0,'Données projet'!$E$10+1,1))</f>
        <v>188.94867378904664</v>
      </c>
      <c r="AO50" s="62">
        <f t="shared" si="36"/>
        <v>242.84781402593833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10.975066832839987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4.2851607116787004E-2</v>
      </c>
      <c r="AX50" s="23">
        <f t="shared" si="6"/>
        <v>11.017918439956775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361.80000000000013</v>
      </c>
      <c r="BE50" s="14">
        <f>BD50*VLOOKUP('Données projet'!$B$11,Paramètres!$A$1:$I$89,3,0)*VLOOKUP('Données projet'!$B$11,Paramètres!$A$1:$I$89,5,0)</f>
        <v>216.35640000000006</v>
      </c>
      <c r="BF50" s="14">
        <f t="shared" si="37"/>
        <v>53.322199188237285</v>
      </c>
      <c r="BG50" s="22">
        <f t="shared" si="7"/>
        <v>469.69022691951341</v>
      </c>
      <c r="BH50" s="62">
        <f t="shared" si="8"/>
        <v>722.7514647837088</v>
      </c>
      <c r="BI50" s="62">
        <f ca="1">AVERAGE(OFFSET($BH$3,0,0,'Données projet'!$E$11+1,1))-AVERAGE(OFFSET($H$3,0,0,'Données projet'!$E$11+1,1))</f>
        <v>367.11994336501527</v>
      </c>
      <c r="BJ50" s="62">
        <f t="shared" si="38"/>
        <v>390.81417197867484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11.251181044189314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5.7741922311359863E-2</v>
      </c>
      <c r="BS50" s="24">
        <f t="shared" si="9"/>
        <v>11.308922966500674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9.0750000000000028</v>
      </c>
      <c r="BY50" s="13">
        <f>IF('Données projet'!$A$114&gt;35,BY49+BX50-CG49,IF(A50&lt;'Données projet'!$A$114,$BV$205^A50,IF(A50='Données projet'!$A$114,'Données projet'!$B$114,BY49+BX50-CG49)))</f>
        <v>437.9249999999999</v>
      </c>
      <c r="BZ50" s="14">
        <f>BY50*VLOOKUP('Données projet'!$B$12,Paramètres!$A$1:$I$89,3,0)*VLOOKUP('Données projet'!$B$12,Paramètres!$A$1:$I$89,5,0)</f>
        <v>261.87914999999992</v>
      </c>
      <c r="CA50" s="14">
        <f t="shared" si="39"/>
        <v>63.122768758167851</v>
      </c>
      <c r="CB50" s="22">
        <f t="shared" si="10"/>
        <v>566.04500850380884</v>
      </c>
      <c r="CC50" s="62">
        <f t="shared" si="11"/>
        <v>819.10624636800424</v>
      </c>
      <c r="CD50" s="62">
        <f ca="1">AVERAGE(OFFSET($CC$3,0,0,'Données projet'!$E$12+1,1))-AVERAGE(OFFSET($H$3,0,0,'Données projet'!$E$12+1,1))</f>
        <v>396.15172163885632</v>
      </c>
      <c r="CE50" s="62">
        <f t="shared" si="40"/>
        <v>624.94568617205198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16.81929382398441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0.11883078621609218</v>
      </c>
      <c r="CN50" s="24">
        <f t="shared" si="12"/>
        <v>16.9381246102005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>
        <f>CT50*VLOOKUP('Données projet'!$B$13,Paramètres!$A$1:$I$89,3,0)*VLOOKUP('Données projet'!$B$13,Paramètres!$A$1:$I$89,5,0)</f>
        <v>0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89.800041997398182</v>
      </c>
      <c r="CZ50" s="62">
        <f t="shared" si="42"/>
        <v>286.94570078060917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35.06775937426233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9.5585909177457794E-4</v>
      </c>
      <c r="DI50" s="24">
        <f t="shared" si="15"/>
        <v>35.068715233354105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665.5679450643554</v>
      </c>
      <c r="S51" s="62">
        <f ca="1">AVERAGE(OFFSET($R$3,0,0,'Données projet'!$E$9+1,1))-AVERAGE(OFFSET($H$3,0,0,'Données projet'!$E$9+1,1))</f>
        <v>367.51466260429623</v>
      </c>
      <c r="T51" s="62">
        <f t="shared" si="34"/>
        <v>297.32483725004136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2.2801333622321927E-2</v>
      </c>
      <c r="AC51" s="24">
        <f t="shared" si="3"/>
        <v>2.2801333622321927E-2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11.857142857142858</v>
      </c>
      <c r="AI51" s="14">
        <f>IF('Données projet'!$A$62&gt;35,AI50+AH51-AQ50,IF(A51&lt;'Données projet'!$A$62,$AF$205^A51,IF(A51='Données projet'!$A$62,'Données projet'!$B$62,AI50+AH51-AQ50)))</f>
        <v>213.42857142857136</v>
      </c>
      <c r="AJ51" s="14">
        <f>AI51*VLOOKUP('Données projet'!$B$10,Paramètres!$A$1:$I$89,3,0)*VLOOKUP('Données projet'!$B$10,Paramètres!$A$1:$I$89,5,0)</f>
        <v>99.884571428571391</v>
      </c>
      <c r="AK51" s="14">
        <f t="shared" si="35"/>
        <v>26.934496434750237</v>
      </c>
      <c r="AL51" s="22">
        <f t="shared" si="4"/>
        <v>220.87654319528517</v>
      </c>
      <c r="AM51" s="62">
        <f t="shared" si="5"/>
        <v>474.63641188095289</v>
      </c>
      <c r="AN51" s="62">
        <f ca="1">AVERAGE(OFFSET($AM$3,0,0,'Données projet'!$E$10+1,1))-AVERAGE(OFFSET($H$3,0,0,'Données projet'!$E$10+1,1))</f>
        <v>188.94867378904664</v>
      </c>
      <c r="AO51" s="62">
        <f t="shared" si="36"/>
        <v>242.84781402593833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10.759852466377772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3.0300661977021814E-2</v>
      </c>
      <c r="AX51" s="23">
        <f t="shared" si="6"/>
        <v>10.790153128354794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379.2000000000001</v>
      </c>
      <c r="BE51" s="14">
        <f>BD51*VLOOKUP('Données projet'!$B$11,Paramètres!$A$1:$I$89,3,0)*VLOOKUP('Données projet'!$B$11,Paramètres!$A$1:$I$89,5,0)</f>
        <v>226.76160000000007</v>
      </c>
      <c r="BF51" s="14">
        <f t="shared" si="37"/>
        <v>55.581886910575967</v>
      </c>
      <c r="BG51" s="22">
        <f t="shared" si="7"/>
        <v>491.74823970258649</v>
      </c>
      <c r="BH51" s="62">
        <f t="shared" si="8"/>
        <v>745.50810838825419</v>
      </c>
      <c r="BI51" s="62">
        <f ca="1">AVERAGE(OFFSET($BH$3,0,0,'Données projet'!$E$11+1,1))-AVERAGE(OFFSET($H$3,0,0,'Données projet'!$E$11+1,1))</f>
        <v>367.11994336501527</v>
      </c>
      <c r="BJ51" s="62">
        <f t="shared" si="38"/>
        <v>390.81417197867484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11.03055224645558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4.0829704825109364E-2</v>
      </c>
      <c r="BS51" s="24">
        <f t="shared" si="9"/>
        <v>11.071381951280689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>
        <f>VLOOKUP(A51,'Données projet'!$A$113:$I$133,2,0)</f>
        <v>447</v>
      </c>
      <c r="BW51" s="13">
        <f>VLOOKUP(A51,'Données projet'!$A$113:$I$133,9,0)</f>
        <v>9.0750000000000028</v>
      </c>
      <c r="BX51" s="13">
        <f t="array" ref="BX51">INDEX(BW:BW,MIN(IF(ISNUMBER(BW51:BW247),ROW(BW51:BW247),"")))</f>
        <v>9.0750000000000028</v>
      </c>
      <c r="BY51" s="13">
        <f>IF('Données projet'!$A$114&gt;35,BY50+BX51-CG50,IF(A51&lt;'Données projet'!$A$114,$BV$205^A51,IF(A51='Données projet'!$A$114,'Données projet'!$B$114,BY50+BX51-CG50)))</f>
        <v>446.99999999999989</v>
      </c>
      <c r="BZ51" s="14">
        <f>BY51*VLOOKUP('Données projet'!$B$12,Paramètres!$A$1:$I$89,3,0)*VLOOKUP('Données projet'!$B$12,Paramètres!$A$1:$I$89,5,0)</f>
        <v>267.30599999999993</v>
      </c>
      <c r="CA51" s="14">
        <f t="shared" si="39"/>
        <v>64.277201246312003</v>
      </c>
      <c r="CB51" s="22">
        <f t="shared" si="10"/>
        <v>577.50740883732658</v>
      </c>
      <c r="CC51" s="62">
        <f t="shared" si="11"/>
        <v>831.26727752299428</v>
      </c>
      <c r="CD51" s="62">
        <f ca="1">AVERAGE(OFFSET($CC$3,0,0,'Données projet'!$E$12+1,1))-AVERAGE(OFFSET($H$3,0,0,'Données projet'!$E$12+1,1))</f>
        <v>396.15172163885632</v>
      </c>
      <c r="CE51" s="62">
        <f t="shared" si="40"/>
        <v>624.94568617205198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16.489477730852339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8.402605474712771E-2</v>
      </c>
      <c r="CN51" s="24">
        <f t="shared" si="12"/>
        <v>16.573503785599467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>
        <f>CT51*VLOOKUP('Données projet'!$B$13,Paramètres!$A$1:$I$89,3,0)*VLOOKUP('Données projet'!$B$13,Paramètres!$A$1:$I$89,5,0)</f>
        <v>0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89.800041997398182</v>
      </c>
      <c r="CZ51" s="62">
        <f t="shared" si="42"/>
        <v>286.94570078060917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34.380102002154253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6.7589444565261856E-4</v>
      </c>
      <c r="DI51" s="24">
        <f t="shared" si="15"/>
        <v>34.380777896599902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687.41190843518427</v>
      </c>
      <c r="S52" s="62">
        <f ca="1">AVERAGE(OFFSET($R$3,0,0,'Données projet'!$E$9+1,1))-AVERAGE(OFFSET($H$3,0,0,'Données projet'!$E$9+1,1))</f>
        <v>367.51466260429623</v>
      </c>
      <c r="T52" s="62">
        <f t="shared" si="34"/>
        <v>297.32483725004136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1.6122977624440659E-2</v>
      </c>
      <c r="AC52" s="24">
        <f t="shared" si="3"/>
        <v>1.6122977624440659E-2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11.857142857142858</v>
      </c>
      <c r="AI52" s="14">
        <f>IF('Données projet'!$A$62&gt;35,AI51+AH52-AQ51,IF(A52&lt;'Données projet'!$A$62,$AF$205^A52,IF(A52='Données projet'!$A$62,'Données projet'!$B$62,AI51+AH52-AQ51)))</f>
        <v>225.28571428571422</v>
      </c>
      <c r="AJ52" s="14">
        <f>AI52*VLOOKUP('Données projet'!$B$10,Paramètres!$A$1:$I$89,3,0)*VLOOKUP('Données projet'!$B$10,Paramètres!$A$1:$I$89,5,0)</f>
        <v>105.43371428571426</v>
      </c>
      <c r="AK52" s="14">
        <f t="shared" si="35"/>
        <v>28.252491745957425</v>
      </c>
      <c r="AL52" s="22">
        <f t="shared" si="4"/>
        <v>232.83680883849482</v>
      </c>
      <c r="AM52" s="62">
        <f t="shared" si="5"/>
        <v>487.28318866278676</v>
      </c>
      <c r="AN52" s="62">
        <f ca="1">AVERAGE(OFFSET($AM$3,0,0,'Données projet'!$E$10+1,1))-AVERAGE(OFFSET($H$3,0,0,'Données projet'!$E$10+1,1))</f>
        <v>188.94867378904664</v>
      </c>
      <c r="AO52" s="62">
        <f t="shared" si="36"/>
        <v>242.84781402593833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10.54885832237408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2.1425803558393505E-2</v>
      </c>
      <c r="AX52" s="23">
        <f t="shared" si="6"/>
        <v>10.570284125932474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396.60000000000008</v>
      </c>
      <c r="BE52" s="14">
        <f>BD52*VLOOKUP('Données projet'!$B$11,Paramètres!$A$1:$I$89,3,0)*VLOOKUP('Données projet'!$B$11,Paramètres!$A$1:$I$89,5,0)</f>
        <v>237.16680000000005</v>
      </c>
      <c r="BF52" s="14">
        <f t="shared" si="37"/>
        <v>57.829533038824259</v>
      </c>
      <c r="BG52" s="22">
        <f t="shared" si="7"/>
        <v>513.78528004261909</v>
      </c>
      <c r="BH52" s="62">
        <f t="shared" si="8"/>
        <v>768.23165986691106</v>
      </c>
      <c r="BI52" s="62">
        <f ca="1">AVERAGE(OFFSET($BH$3,0,0,'Données projet'!$E$11+1,1))-AVERAGE(OFFSET($H$3,0,0,'Données projet'!$E$11+1,1))</f>
        <v>367.11994336501527</v>
      </c>
      <c r="BJ52" s="62">
        <f t="shared" si="38"/>
        <v>390.81417197867484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10.814249844875125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2.8870961155679931E-2</v>
      </c>
      <c r="BS52" s="24">
        <f t="shared" si="9"/>
        <v>10.843120806030806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8.0999999999999943</v>
      </c>
      <c r="BY52" s="13">
        <f>IF('Données projet'!$A$114&gt;35,BY51+BX52-CG51,IF(A52&lt;'Données projet'!$A$114,$BV$205^A52,IF(A52='Données projet'!$A$114,'Données projet'!$B$114,BY51+BX52-CG51)))</f>
        <v>455.09999999999991</v>
      </c>
      <c r="BZ52" s="14">
        <f>BY52*VLOOKUP('Données projet'!$B$12,Paramètres!$A$1:$I$89,3,0)*VLOOKUP('Données projet'!$B$12,Paramètres!$A$1:$I$89,5,0)</f>
        <v>272.14979999999997</v>
      </c>
      <c r="CA52" s="14">
        <f t="shared" si="39"/>
        <v>65.30530030590559</v>
      </c>
      <c r="CB52" s="22">
        <f t="shared" si="10"/>
        <v>587.73429969945209</v>
      </c>
      <c r="CC52" s="62">
        <f t="shared" si="11"/>
        <v>842.18067952374406</v>
      </c>
      <c r="CD52" s="62">
        <f ca="1">AVERAGE(OFFSET($CC$3,0,0,'Données projet'!$E$12+1,1))-AVERAGE(OFFSET($H$3,0,0,'Données projet'!$E$12+1,1))</f>
        <v>396.15172163885632</v>
      </c>
      <c r="CE52" s="62">
        <f t="shared" si="40"/>
        <v>624.94568617205198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16.166129130138636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5.9415393108046104E-2</v>
      </c>
      <c r="CN52" s="24">
        <f t="shared" si="12"/>
        <v>16.225544523246683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>
        <f>CT52*VLOOKUP('Données projet'!$B$13,Paramètres!$A$1:$I$89,3,0)*VLOOKUP('Données projet'!$B$13,Paramètres!$A$1:$I$89,5,0)</f>
        <v>0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89.800041997398182</v>
      </c>
      <c r="CZ52" s="62">
        <f t="shared" si="42"/>
        <v>286.94570078060917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33.705929171683636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4.7792954588728902E-4</v>
      </c>
      <c r="DI52" s="24">
        <f t="shared" si="15"/>
        <v>33.706407101229523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709.22176741571411</v>
      </c>
      <c r="S53" s="62">
        <f ca="1">AVERAGE(OFFSET($R$3,0,0,'Données projet'!$E$9+1,1))-AVERAGE(OFFSET($H$3,0,0,'Données projet'!$E$9+1,1))</f>
        <v>367.51466260429623</v>
      </c>
      <c r="T53" s="62">
        <f t="shared" si="34"/>
        <v>297.32483725004136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1.1400666811160963E-2</v>
      </c>
      <c r="AC53" s="24">
        <f t="shared" si="3"/>
        <v>1.1400666811160963E-2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11.857142857142858</v>
      </c>
      <c r="AI53" s="14">
        <f>IF('Données projet'!$A$62&gt;35,AI52+AH53-AQ52,IF(A53&lt;'Données projet'!$A$62,$AF$205^A53,IF(A53='Données projet'!$A$62,'Données projet'!$B$62,AI52+AH53-AQ52)))</f>
        <v>237.14285714285708</v>
      </c>
      <c r="AJ53" s="14">
        <f>AI53*VLOOKUP('Données projet'!$B$10,Paramètres!$A$1:$I$89,3,0)*VLOOKUP('Données projet'!$B$10,Paramètres!$A$1:$I$89,5,0)</f>
        <v>110.98285714285713</v>
      </c>
      <c r="AK53" s="14">
        <f t="shared" si="35"/>
        <v>29.562433359346652</v>
      </c>
      <c r="AL53" s="22">
        <f t="shared" si="4"/>
        <v>244.78304762467158</v>
      </c>
      <c r="AM53" s="62">
        <f t="shared" si="5"/>
        <v>499.90402915414165</v>
      </c>
      <c r="AN53" s="62">
        <f ca="1">AVERAGE(OFFSET($AM$3,0,0,'Données projet'!$E$10+1,1))-AVERAGE(OFFSET($H$3,0,0,'Données projet'!$E$10+1,1))</f>
        <v>188.94867378904664</v>
      </c>
      <c r="AO53" s="62">
        <f t="shared" si="36"/>
        <v>242.84781402593833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10.342001644840581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1.5150330988510909E-2</v>
      </c>
      <c r="AX53" s="23">
        <f t="shared" si="6"/>
        <v>10.357151975829092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414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414.00000000000006</v>
      </c>
      <c r="BE53" s="14">
        <f>BD53*VLOOKUP('Données projet'!$B$11,Paramètres!$A$1:$I$89,3,0)*VLOOKUP('Données projet'!$B$11,Paramètres!$A$1:$I$89,5,0)</f>
        <v>247.57200000000003</v>
      </c>
      <c r="BF53" s="14">
        <f t="shared" si="37"/>
        <v>60.065726249156576</v>
      </c>
      <c r="BG53" s="22">
        <f t="shared" si="7"/>
        <v>535.80237321728112</v>
      </c>
      <c r="BH53" s="62">
        <f t="shared" si="8"/>
        <v>790.92335474675122</v>
      </c>
      <c r="BI53" s="62">
        <f ca="1">AVERAGE(OFFSET($BH$3,0,0,'Données projet'!$E$11+1,1))-AVERAGE(OFFSET($H$3,0,0,'Données projet'!$E$11+1,1))</f>
        <v>367.11994336501527</v>
      </c>
      <c r="BJ53" s="62">
        <f t="shared" si="38"/>
        <v>390.81417197867484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47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10.602189001458225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2.0414852412554682E-2</v>
      </c>
      <c r="BS53" s="24">
        <f t="shared" si="9"/>
        <v>10.62260385387078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463.2</v>
      </c>
      <c r="BW53" s="13">
        <f>VLOOKUP(A53,'Données projet'!$A$113:$I$133,9,0)</f>
        <v>8.0999999999999943</v>
      </c>
      <c r="BX53" s="13">
        <f t="array" ref="BX53">INDEX(BW:BW,MIN(IF(ISNUMBER(BW53:BW249),ROW(BW53:BW249),"")))</f>
        <v>8.0999999999999943</v>
      </c>
      <c r="BY53" s="13">
        <f>IF('Données projet'!$A$114&gt;35,BY52+BX53-CG52,IF(A53&lt;'Données projet'!$A$114,$BV$205^A53,IF(A53='Données projet'!$A$114,'Données projet'!$B$114,BY52+BX53-CG52)))</f>
        <v>463.19999999999993</v>
      </c>
      <c r="BZ53" s="14">
        <f>BY53*VLOOKUP('Données projet'!$B$12,Paramètres!$A$1:$I$89,3,0)*VLOOKUP('Données projet'!$B$12,Paramètres!$A$1:$I$89,5,0)</f>
        <v>276.99359999999996</v>
      </c>
      <c r="CA53" s="14">
        <f t="shared" si="39"/>
        <v>66.33127151762416</v>
      </c>
      <c r="CB53" s="22">
        <f t="shared" si="10"/>
        <v>597.957484559862</v>
      </c>
      <c r="CC53" s="62">
        <f t="shared" si="11"/>
        <v>853.0784660893321</v>
      </c>
      <c r="CD53" s="62">
        <f ca="1">AVERAGE(OFFSET($CC$3,0,0,'Données projet'!$E$12+1,1))-AVERAGE(OFFSET($H$3,0,0,'Données projet'!$E$12+1,1))</f>
        <v>396.15172163885632</v>
      </c>
      <c r="CE53" s="62">
        <f t="shared" si="40"/>
        <v>624.94568617205198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463.2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15.849121198261756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4.2013027373563862E-2</v>
      </c>
      <c r="CN53" s="24">
        <f t="shared" si="12"/>
        <v>15.891134225635319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>
        <f>CT53*VLOOKUP('Données projet'!$B$13,Paramètres!$A$1:$I$89,3,0)*VLOOKUP('Données projet'!$B$13,Paramètres!$A$1:$I$89,5,0)</f>
        <v>0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89.800041997398182</v>
      </c>
      <c r="CZ53" s="62">
        <f t="shared" si="42"/>
        <v>286.94570078060917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33.044976459213721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3.3794722282630933E-4</v>
      </c>
      <c r="DI53" s="24">
        <f t="shared" si="15"/>
        <v>33.045314406436546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675.67295630565468</v>
      </c>
      <c r="S54" s="62">
        <f ca="1">AVERAGE(OFFSET($R$3,0,0,'Données projet'!$E$9+1,1))-AVERAGE(OFFSET($H$3,0,0,'Données projet'!$E$9+1,1))</f>
        <v>367.51466260429623</v>
      </c>
      <c r="T54" s="62">
        <f t="shared" si="34"/>
        <v>297.32483725004136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8.0614888122203295E-3</v>
      </c>
      <c r="AC54" s="24">
        <f t="shared" si="3"/>
        <v>8.0614888122203295E-3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>
        <f>VLOOKUP(A54,'Données projet'!$A$61:$I$81,2,0)</f>
        <v>249</v>
      </c>
      <c r="AG54" s="13">
        <f>VLOOKUP(A54,'Données projet'!$A$61:$I$81,9,0)</f>
        <v>11.857142857142858</v>
      </c>
      <c r="AH54" s="13">
        <f t="array" ref="AH54">INDEX(AG:AG,MIN(IF(ISNUMBER(AG54:AG250),ROW(AG54:AG250),"")))</f>
        <v>11.857142857142858</v>
      </c>
      <c r="AI54" s="14">
        <f>IF('Données projet'!$A$62&gt;35,AI53+AH54-AQ53,IF(A54&lt;'Données projet'!$A$62,$AF$205^A54,IF(A54='Données projet'!$A$62,'Données projet'!$B$62,AI53+AH54-AQ53)))</f>
        <v>248.99999999999994</v>
      </c>
      <c r="AJ54" s="14">
        <f>AI54*VLOOKUP('Données projet'!$B$10,Paramètres!$A$1:$I$89,3,0)*VLOOKUP('Données projet'!$B$10,Paramètres!$A$1:$I$89,5,0)</f>
        <v>116.53199999999997</v>
      </c>
      <c r="AK54" s="14">
        <f t="shared" si="35"/>
        <v>30.864769909522728</v>
      </c>
      <c r="AL54" s="22">
        <f t="shared" si="4"/>
        <v>256.71604092575205</v>
      </c>
      <c r="AM54" s="62">
        <f t="shared" si="5"/>
        <v>512.49992132899888</v>
      </c>
      <c r="AN54" s="62">
        <f ca="1">AVERAGE(OFFSET($AM$3,0,0,'Données projet'!$E$10+1,1))-AVERAGE(OFFSET($H$3,0,0,'Données projet'!$E$10+1,1))</f>
        <v>188.94867378904664</v>
      </c>
      <c r="AO54" s="62">
        <f t="shared" si="36"/>
        <v>242.84781402593833</v>
      </c>
      <c r="AP54" s="16">
        <f>IF(ISNA(VLOOKUP(A54,'Données projet'!$A$61:$I$81,3,0)),0,VLOOKUP(A54,'Données projet'!$A$61:$I$81,3,0))</f>
        <v>6</v>
      </c>
      <c r="AQ54" s="16">
        <f>IF(ISNA(VLOOKUP(A54,'Données projet'!$A$61:$I$81,4,0)),0,VLOOKUP(A54,'Données projet'!$A$61:$I$81,4,0))</f>
        <v>70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10.139201300583398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1.0712901779196754E-2</v>
      </c>
      <c r="AX54" s="23">
        <f t="shared" si="6"/>
        <v>10.149914202362595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19.2</v>
      </c>
      <c r="BD54" s="13">
        <f>IF('Données projet'!$A$88&gt;35,BD53+BC54-BL53,IF(A54&lt;'Données projet'!$A$88,$BA$205^A54,IF(A54='Données projet'!$A$88,'Données projet'!$B$88,BD53+BC54-BL53)))</f>
        <v>386.20000000000005</v>
      </c>
      <c r="BE54" s="14">
        <f>BD54*VLOOKUP('Données projet'!$B$11,Paramètres!$A$1:$I$89,3,0)*VLOOKUP('Données projet'!$B$11,Paramètres!$A$1:$I$89,5,0)</f>
        <v>230.94760000000002</v>
      </c>
      <c r="BF54" s="14">
        <f t="shared" si="37"/>
        <v>56.487525751065782</v>
      </c>
      <c r="BG54" s="22">
        <f t="shared" si="7"/>
        <v>500.61617734977295</v>
      </c>
      <c r="BH54" s="62">
        <f t="shared" si="8"/>
        <v>756.40005775301984</v>
      </c>
      <c r="BI54" s="62">
        <f ca="1">AVERAGE(OFFSET($BH$3,0,0,'Données projet'!$E$11+1,1))-AVERAGE(OFFSET($H$3,0,0,'Données projet'!$E$11+1,1))</f>
        <v>367.11994336501527</v>
      </c>
      <c r="BJ54" s="62">
        <f t="shared" si="38"/>
        <v>390.81417197867484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10.394286541836387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1.4435480577839966E-2</v>
      </c>
      <c r="BS54" s="24">
        <f t="shared" si="9"/>
        <v>10.408722022414226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-5.6843418860808015E-14</v>
      </c>
      <c r="BZ54" s="14">
        <f>BY54*VLOOKUP('Données projet'!$B$12,Paramètres!$A$1:$I$89,3,0)*VLOOKUP('Données projet'!$B$12,Paramètres!$A$1:$I$89,5,0)</f>
        <v>-3.3992364478763198E-14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396.15172163885632</v>
      </c>
      <c r="CE54" s="62">
        <f t="shared" si="40"/>
        <v>624.94568617205198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15.538329598573236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2.9707696554023055E-2</v>
      </c>
      <c r="CN54" s="24">
        <f t="shared" si="12"/>
        <v>15.56803729512726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>
        <f>CT54*VLOOKUP('Données projet'!$B$13,Paramètres!$A$1:$I$89,3,0)*VLOOKUP('Données projet'!$B$13,Paramètres!$A$1:$I$89,5,0)</f>
        <v>0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89.800041997398182</v>
      </c>
      <c r="CZ54" s="62">
        <f t="shared" si="42"/>
        <v>286.94570078060917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32.396984626293992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2.3896477294364454E-4</v>
      </c>
      <c r="DI54" s="24">
        <f t="shared" si="15"/>
        <v>32.397223591066933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695.93583659018805</v>
      </c>
      <c r="S55" s="62">
        <f ca="1">AVERAGE(OFFSET($R$3,0,0,'Données projet'!$E$9+1,1))-AVERAGE(OFFSET($H$3,0,0,'Données projet'!$E$9+1,1))</f>
        <v>367.51466260429623</v>
      </c>
      <c r="T55" s="62">
        <f t="shared" si="34"/>
        <v>297.32483725004136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5.7003334055804817E-3</v>
      </c>
      <c r="AC55" s="24">
        <f t="shared" si="3"/>
        <v>5.7003334055804817E-3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13.444444444444445</v>
      </c>
      <c r="AI55" s="14">
        <f>IF('Données projet'!$A$62&gt;35,AI54+AH55-AQ54,IF(A55&lt;'Données projet'!$A$62,$AF$205^A55,IF(A55='Données projet'!$A$62,'Données projet'!$B$62,AI54+AH55-AQ54)))</f>
        <v>192.4444444444444</v>
      </c>
      <c r="AJ55" s="14">
        <f>AI55*VLOOKUP('Données projet'!$B$10,Paramètres!$A$1:$I$89,3,0)*VLOOKUP('Données projet'!$B$10,Paramètres!$A$1:$I$89,5,0)</f>
        <v>90.063999999999993</v>
      </c>
      <c r="AK55" s="14">
        <f t="shared" si="35"/>
        <v>24.580659614147791</v>
      </c>
      <c r="AL55" s="22">
        <f t="shared" si="4"/>
        <v>199.6727821613074</v>
      </c>
      <c r="AM55" s="62">
        <f t="shared" si="5"/>
        <v>456.10806162489075</v>
      </c>
      <c r="AN55" s="62">
        <f ca="1">AVERAGE(OFFSET($AM$3,0,0,'Données projet'!$E$10+1,1))-AVERAGE(OFFSET($H$3,0,0,'Données projet'!$E$10+1,1))</f>
        <v>188.94867378904664</v>
      </c>
      <c r="AO55" s="62">
        <f t="shared" si="36"/>
        <v>242.84781402593833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9.9403777473811026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7.5751654942554552E-3</v>
      </c>
      <c r="AX55" s="23">
        <f t="shared" si="6"/>
        <v>9.9479529128753583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19.2</v>
      </c>
      <c r="BD55" s="13">
        <f>IF('Données projet'!$A$88&gt;35,BD54+BC55-BL54,IF(A55&lt;'Données projet'!$A$88,$BA$205^A55,IF(A55='Données projet'!$A$88,'Données projet'!$B$88,BD54+BC55-BL54)))</f>
        <v>405.40000000000003</v>
      </c>
      <c r="BE55" s="14">
        <f>BD55*VLOOKUP('Données projet'!$B$11,Paramètres!$A$1:$I$89,3,0)*VLOOKUP('Données projet'!$B$11,Paramètres!$A$1:$I$89,5,0)</f>
        <v>242.42920000000007</v>
      </c>
      <c r="BF55" s="14">
        <f t="shared" si="37"/>
        <v>58.961877963646693</v>
      </c>
      <c r="BG55" s="22">
        <f t="shared" si="7"/>
        <v>524.92279412001812</v>
      </c>
      <c r="BH55" s="62">
        <f t="shared" si="8"/>
        <v>781.35807358360148</v>
      </c>
      <c r="BI55" s="62">
        <f ca="1">AVERAGE(OFFSET($BH$3,0,0,'Données projet'!$E$11+1,1))-AVERAGE(OFFSET($H$3,0,0,'Données projet'!$E$11+1,1))</f>
        <v>367.11994336501527</v>
      </c>
      <c r="BJ55" s="62">
        <f t="shared" si="38"/>
        <v>390.81417197867484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10.190460922639753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1.0207426206277341E-2</v>
      </c>
      <c r="BS55" s="24">
        <f t="shared" si="9"/>
        <v>10.20066834884603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-5.6843418860808015E-14</v>
      </c>
      <c r="BZ55" s="14">
        <f>BY55*VLOOKUP('Données projet'!$B$12,Paramètres!$A$1:$I$89,3,0)*VLOOKUP('Données projet'!$B$12,Paramètres!$A$1:$I$89,5,0)</f>
        <v>-3.3992364478763198E-14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396.15172163885632</v>
      </c>
      <c r="CE55" s="62">
        <f t="shared" si="40"/>
        <v>624.94568617205198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15.233632432590451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2.1006513686781934E-2</v>
      </c>
      <c r="CN55" s="24">
        <f t="shared" si="12"/>
        <v>15.254638946277232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>
        <f>CT55*VLOOKUP('Données projet'!$B$13,Paramètres!$A$1:$I$89,3,0)*VLOOKUP('Données projet'!$B$13,Paramètres!$A$1:$I$89,5,0)</f>
        <v>0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89.800041997398182</v>
      </c>
      <c r="CZ55" s="62">
        <f t="shared" si="42"/>
        <v>286.94570078060917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31.761699517981832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1.6897361141315469E-4</v>
      </c>
      <c r="DI55" s="24">
        <f t="shared" si="15"/>
        <v>31.761868491593244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716.16865806460385</v>
      </c>
      <c r="S56" s="62">
        <f ca="1">AVERAGE(OFFSET($R$3,0,0,'Données projet'!$E$9+1,1))-AVERAGE(OFFSET($H$3,0,0,'Données projet'!$E$9+1,1))</f>
        <v>367.51466260429623</v>
      </c>
      <c r="T56" s="62">
        <f t="shared" si="34"/>
        <v>297.32483725004136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4.0307444061101648E-3</v>
      </c>
      <c r="AC56" s="24">
        <f t="shared" si="3"/>
        <v>4.0307444061101648E-3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13.444444444444445</v>
      </c>
      <c r="AI56" s="14">
        <f>IF('Données projet'!$A$62&gt;35,AI55+AH56-AQ55,IF(A56&lt;'Données projet'!$A$62,$AF$205^A56,IF(A56='Données projet'!$A$62,'Données projet'!$B$62,AI55+AH56-AQ55)))</f>
        <v>205.88888888888886</v>
      </c>
      <c r="AJ56" s="14">
        <f>AI56*VLOOKUP('Données projet'!$B$10,Paramètres!$A$1:$I$89,3,0)*VLOOKUP('Données projet'!$B$10,Paramètres!$A$1:$I$89,5,0)</f>
        <v>96.355999999999995</v>
      </c>
      <c r="AK56" s="14">
        <f t="shared" si="35"/>
        <v>26.091998195525026</v>
      </c>
      <c r="AL56" s="22">
        <f t="shared" si="4"/>
        <v>213.26359685720604</v>
      </c>
      <c r="AM56" s="62">
        <f t="shared" si="5"/>
        <v>470.33897506373927</v>
      </c>
      <c r="AN56" s="62">
        <f ca="1">AVERAGE(OFFSET($AM$3,0,0,'Données projet'!$E$10+1,1))-AVERAGE(OFFSET($H$3,0,0,'Données projet'!$E$10+1,1))</f>
        <v>188.94867378904664</v>
      </c>
      <c r="AO56" s="62">
        <f t="shared" si="36"/>
        <v>242.84781402593833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9.7454530027867108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5.356450889598378E-3</v>
      </c>
      <c r="AX56" s="23">
        <f t="shared" si="6"/>
        <v>9.7508094536763092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19.2</v>
      </c>
      <c r="BD56" s="13">
        <f>IF('Données projet'!$A$88&gt;35,BD55+BC56-BL55,IF(A56&lt;'Données projet'!$A$88,$BA$205^A56,IF(A56='Données projet'!$A$88,'Données projet'!$B$88,BD55+BC56-BL55)))</f>
        <v>424.6</v>
      </c>
      <c r="BE56" s="14">
        <f>BD56*VLOOKUP('Données projet'!$B$11,Paramètres!$A$1:$I$89,3,0)*VLOOKUP('Données projet'!$B$11,Paramètres!$A$1:$I$89,5,0)</f>
        <v>253.91080000000005</v>
      </c>
      <c r="BF56" s="14">
        <f t="shared" si="37"/>
        <v>61.422621781167194</v>
      </c>
      <c r="BG56" s="22">
        <f t="shared" si="7"/>
        <v>549.20570960219959</v>
      </c>
      <c r="BH56" s="62">
        <f t="shared" si="8"/>
        <v>806.28108780873276</v>
      </c>
      <c r="BI56" s="62">
        <f ca="1">AVERAGE(OFFSET($BH$3,0,0,'Données projet'!$E$11+1,1))-AVERAGE(OFFSET($H$3,0,0,'Données projet'!$E$11+1,1))</f>
        <v>367.11994336501527</v>
      </c>
      <c r="BJ56" s="62">
        <f t="shared" si="38"/>
        <v>390.81417197867484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9.9906321995142147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7.2177402889199828E-3</v>
      </c>
      <c r="BS56" s="24">
        <f t="shared" si="9"/>
        <v>9.9978499398031353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-5.6843418860808015E-14</v>
      </c>
      <c r="BZ56" s="14">
        <f>BY56*VLOOKUP('Données projet'!$B$12,Paramètres!$A$1:$I$89,3,0)*VLOOKUP('Données projet'!$B$12,Paramètres!$A$1:$I$89,5,0)</f>
        <v>-3.3992364478763198E-14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396.15172163885632</v>
      </c>
      <c r="CE56" s="62">
        <f t="shared" si="40"/>
        <v>624.94568617205198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14.934910192185667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1.4853848277011529E-2</v>
      </c>
      <c r="CN56" s="24">
        <f t="shared" si="12"/>
        <v>14.949764040462679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>
        <f>CT56*VLOOKUP('Données projet'!$B$13,Paramètres!$A$1:$I$89,3,0)*VLOOKUP('Données projet'!$B$13,Paramètres!$A$1:$I$89,5,0)</f>
        <v>0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89.800041997398182</v>
      </c>
      <c r="CZ56" s="62">
        <f t="shared" si="42"/>
        <v>286.94570078060917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31.138871963158017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1.194823864718223E-4</v>
      </c>
      <c r="DI56" s="24">
        <f t="shared" si="15"/>
        <v>31.138991445544487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736.37252945510068</v>
      </c>
      <c r="S57" s="62">
        <f ca="1">AVERAGE(OFFSET($R$3,0,0,'Données projet'!$E$9+1,1))-AVERAGE(OFFSET($H$3,0,0,'Données projet'!$E$9+1,1))</f>
        <v>367.51466260429623</v>
      </c>
      <c r="T57" s="62">
        <f t="shared" si="34"/>
        <v>297.32483725004136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2.8501667027902408E-3</v>
      </c>
      <c r="AC57" s="24">
        <f t="shared" si="3"/>
        <v>2.8501667027902408E-3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13.444444444444445</v>
      </c>
      <c r="AI57" s="14">
        <f>IF('Données projet'!$A$62&gt;35,AI56+AH57-AQ56,IF(A57&lt;'Données projet'!$A$62,$AF$205^A57,IF(A57='Données projet'!$A$62,'Données projet'!$B$62,AI56+AH57-AQ56)))</f>
        <v>219.33333333333331</v>
      </c>
      <c r="AJ57" s="14">
        <f>AI57*VLOOKUP('Données projet'!$B$10,Paramètres!$A$1:$I$89,3,0)*VLOOKUP('Données projet'!$B$10,Paramètres!$A$1:$I$89,5,0)</f>
        <v>102.648</v>
      </c>
      <c r="AK57" s="14">
        <f t="shared" si="35"/>
        <v>27.591884256813071</v>
      </c>
      <c r="AL57" s="22">
        <f t="shared" si="4"/>
        <v>226.83446508061607</v>
      </c>
      <c r="AM57" s="62">
        <f t="shared" si="5"/>
        <v>484.53883774795543</v>
      </c>
      <c r="AN57" s="62">
        <f ca="1">AVERAGE(OFFSET($AM$3,0,0,'Données projet'!$E$10+1,1))-AVERAGE(OFFSET($H$3,0,0,'Données projet'!$E$10+1,1))</f>
        <v>188.94867378904664</v>
      </c>
      <c r="AO57" s="62">
        <f t="shared" si="36"/>
        <v>242.84781402593833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9.5543506135414606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3.7875827471277284E-3</v>
      </c>
      <c r="AX57" s="23">
        <f t="shared" si="6"/>
        <v>9.5581381962885885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19.2</v>
      </c>
      <c r="BD57" s="13">
        <f>IF('Données projet'!$A$88&gt;35,BD56+BC57-BL56,IF(A57&lt;'Données projet'!$A$88,$BA$205^A57,IF(A57='Données projet'!$A$88,'Données projet'!$B$88,BD56+BC57-BL56)))</f>
        <v>443.8</v>
      </c>
      <c r="BE57" s="14">
        <f>BD57*VLOOKUP('Données projet'!$B$11,Paramètres!$A$1:$I$89,3,0)*VLOOKUP('Données projet'!$B$11,Paramètres!$A$1:$I$89,5,0)</f>
        <v>265.39240000000007</v>
      </c>
      <c r="BF57" s="14">
        <f t="shared" si="37"/>
        <v>63.870442862391819</v>
      </c>
      <c r="BG57" s="22">
        <f t="shared" si="7"/>
        <v>573.46611798533252</v>
      </c>
      <c r="BH57" s="62">
        <f t="shared" si="8"/>
        <v>831.17049065267179</v>
      </c>
      <c r="BI57" s="62">
        <f ca="1">AVERAGE(OFFSET($BH$3,0,0,'Données projet'!$E$11+1,1))-AVERAGE(OFFSET($H$3,0,0,'Données projet'!$E$11+1,1))</f>
        <v>367.11994336501527</v>
      </c>
      <c r="BJ57" s="62">
        <f t="shared" si="38"/>
        <v>390.81417197867484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9.7947219957656806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5.1037131031386705E-3</v>
      </c>
      <c r="BS57" s="24">
        <f t="shared" si="9"/>
        <v>9.7998257088688199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-5.6843418860808015E-14</v>
      </c>
      <c r="BZ57" s="14">
        <f>BY57*VLOOKUP('Données projet'!$B$12,Paramètres!$A$1:$I$89,3,0)*VLOOKUP('Données projet'!$B$12,Paramètres!$A$1:$I$89,5,0)</f>
        <v>-3.3992364478763198E-14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396.15172163885632</v>
      </c>
      <c r="CE57" s="62">
        <f t="shared" si="40"/>
        <v>624.94568617205198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14.642045712712646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1.0503256843390969E-2</v>
      </c>
      <c r="CN57" s="24">
        <f t="shared" si="12"/>
        <v>14.652548969556037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>
        <f>CT57*VLOOKUP('Données projet'!$B$13,Paramètres!$A$1:$I$89,3,0)*VLOOKUP('Données projet'!$B$13,Paramètres!$A$1:$I$89,5,0)</f>
        <v>0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89.800041997398182</v>
      </c>
      <c r="CZ57" s="62">
        <f t="shared" si="42"/>
        <v>286.94570078060917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30.528257676797001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8.448680570657736E-5</v>
      </c>
      <c r="DI57" s="24">
        <f t="shared" si="15"/>
        <v>30.528342163602709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756.54847539707771</v>
      </c>
      <c r="S58" s="62">
        <f ca="1">AVERAGE(OFFSET($R$3,0,0,'Données projet'!$E$9+1,1))-AVERAGE(OFFSET($H$3,0,0,'Données projet'!$E$9+1,1))</f>
        <v>367.51466260429623</v>
      </c>
      <c r="T58" s="62">
        <f t="shared" si="34"/>
        <v>297.32483725004136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2.0153722030550824E-3</v>
      </c>
      <c r="AC58" s="24">
        <f t="shared" si="3"/>
        <v>2.0153722030550824E-3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13.444444444444445</v>
      </c>
      <c r="AI58" s="14">
        <f>IF('Données projet'!$A$62&gt;35,AI57+AH58-AQ57,IF(A58&lt;'Données projet'!$A$62,$AF$205^A58,IF(A58='Données projet'!$A$62,'Données projet'!$B$62,AI57+AH58-AQ57)))</f>
        <v>232.77777777777777</v>
      </c>
      <c r="AJ58" s="14">
        <f>AI58*VLOOKUP('Données projet'!$B$10,Paramètres!$A$1:$I$89,3,0)*VLOOKUP('Données projet'!$B$10,Paramètres!$A$1:$I$89,5,0)</f>
        <v>108.94</v>
      </c>
      <c r="AK58" s="14">
        <f t="shared" si="35"/>
        <v>29.081099734343869</v>
      </c>
      <c r="AL58" s="22">
        <f t="shared" si="4"/>
        <v>240.38674870398219</v>
      </c>
      <c r="AM58" s="62">
        <f t="shared" si="5"/>
        <v>498.7092041844536</v>
      </c>
      <c r="AN58" s="62">
        <f ca="1">AVERAGE(OFFSET($AM$3,0,0,'Données projet'!$E$10+1,1))-AVERAGE(OFFSET($H$3,0,0,'Données projet'!$E$10+1,1))</f>
        <v>188.94867378904664</v>
      </c>
      <c r="AO58" s="62">
        <f t="shared" si="36"/>
        <v>242.84781402593833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9.3669956255883609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2.6782254447991895E-3</v>
      </c>
      <c r="AX58" s="23">
        <f t="shared" si="6"/>
        <v>9.3696738510331592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463</v>
      </c>
      <c r="BB58" s="13">
        <f>VLOOKUP(A58,'Données projet'!$A$87:$I$107,9,0)</f>
        <v>19.2</v>
      </c>
      <c r="BC58" s="13">
        <f t="array" ref="BC58">INDEX(BB:BB,MIN(IF(ISNUMBER(BB58:BB254),ROW(BB58:BB254),"")))</f>
        <v>19.2</v>
      </c>
      <c r="BD58" s="13">
        <f>IF('Données projet'!$A$88&gt;35,BD57+BC58-BL57,IF(A58&lt;'Données projet'!$A$88,$BA$205^A58,IF(A58='Données projet'!$A$88,'Données projet'!$B$88,BD57+BC58-BL57)))</f>
        <v>463</v>
      </c>
      <c r="BE58" s="14">
        <f>BD58*VLOOKUP('Données projet'!$B$11,Paramètres!$A$1:$I$89,3,0)*VLOOKUP('Données projet'!$B$11,Paramètres!$A$1:$I$89,5,0)</f>
        <v>276.87400000000002</v>
      </c>
      <c r="BF58" s="14">
        <f t="shared" si="37"/>
        <v>66.305964184031993</v>
      </c>
      <c r="BG58" s="22">
        <f t="shared" si="7"/>
        <v>597.7051042871891</v>
      </c>
      <c r="BH58" s="62">
        <f t="shared" si="8"/>
        <v>856.02755976766048</v>
      </c>
      <c r="BI58" s="62">
        <f ca="1">AVERAGE(OFFSET($BH$3,0,0,'Données projet'!$E$11+1,1))-AVERAGE(OFFSET($H$3,0,0,'Données projet'!$E$11+1,1))</f>
        <v>367.11994336501527</v>
      </c>
      <c r="BJ58" s="62">
        <f t="shared" si="38"/>
        <v>390.81417197867484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48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9.6026534716192309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3.6088701444599914E-3</v>
      </c>
      <c r="BS58" s="24">
        <f t="shared" si="9"/>
        <v>9.6062623417636903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-5.6843418860808015E-14</v>
      </c>
      <c r="BZ58" s="14">
        <f>BY58*VLOOKUP('Données projet'!$B$12,Paramètres!$A$1:$I$89,3,0)*VLOOKUP('Données projet'!$B$12,Paramètres!$A$1:$I$89,5,0)</f>
        <v>-3.3992364478763198E-14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396.15172163885632</v>
      </c>
      <c r="CE58" s="62">
        <f t="shared" si="40"/>
        <v>624.94568617205198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14.354924127052396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7.4269241385057664E-3</v>
      </c>
      <c r="CN58" s="24">
        <f t="shared" si="12"/>
        <v>14.362351051190901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>
        <f>CT58*VLOOKUP('Données projet'!$B$13,Paramètres!$A$1:$I$89,3,0)*VLOOKUP('Données projet'!$B$13,Paramètres!$A$1:$I$89,5,0)</f>
        <v>0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89.800041997398182</v>
      </c>
      <c r="CZ58" s="62">
        <f t="shared" si="42"/>
        <v>286.94570078060917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29.929617164153584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5.9741193235911155E-5</v>
      </c>
      <c r="DI58" s="24">
        <f t="shared" si="15"/>
        <v>29.92967690534682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721.47875790189846</v>
      </c>
      <c r="S59" s="62">
        <f ca="1">AVERAGE(OFFSET($R$3,0,0,'Données projet'!$E$9+1,1))-AVERAGE(OFFSET($H$3,0,0,'Données projet'!$E$9+1,1))</f>
        <v>367.51466260429623</v>
      </c>
      <c r="T59" s="62">
        <f t="shared" si="34"/>
        <v>297.32483725004136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1.4250833513951204E-3</v>
      </c>
      <c r="AC59" s="24">
        <f t="shared" si="3"/>
        <v>1.4250833513951204E-3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13.444444444444445</v>
      </c>
      <c r="AI59" s="14">
        <f>IF('Données projet'!$A$62&gt;35,AI58+AH59-AQ58,IF(A59&lt;'Données projet'!$A$62,$AF$205^A59,IF(A59='Données projet'!$A$62,'Données projet'!$B$62,AI58+AH59-AQ58)))</f>
        <v>246.22222222222223</v>
      </c>
      <c r="AJ59" s="14">
        <f>AI59*VLOOKUP('Données projet'!$B$10,Paramètres!$A$1:$I$89,3,0)*VLOOKUP('Données projet'!$B$10,Paramètres!$A$1:$I$89,5,0)</f>
        <v>115.232</v>
      </c>
      <c r="AK59" s="14">
        <f t="shared" si="35"/>
        <v>30.560331138556659</v>
      </c>
      <c r="AL59" s="22">
        <f t="shared" si="4"/>
        <v>253.92164339965282</v>
      </c>
      <c r="AM59" s="62">
        <f t="shared" si="5"/>
        <v>512.85145933827459</v>
      </c>
      <c r="AN59" s="62">
        <f ca="1">AVERAGE(OFFSET($AM$3,0,0,'Données projet'!$E$10+1,1))-AVERAGE(OFFSET($H$3,0,0,'Données projet'!$E$10+1,1))</f>
        <v>188.94867378904664</v>
      </c>
      <c r="AO59" s="62">
        <f t="shared" si="36"/>
        <v>242.84781402593833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9.1833145546737622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1.8937913735638644E-3</v>
      </c>
      <c r="AX59" s="23">
        <f t="shared" si="6"/>
        <v>9.1852083460473253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</v>
      </c>
      <c r="BD59" s="13">
        <f>IF('Données projet'!$A$88&gt;35,BD58+BC59-BL58,IF(A59&lt;'Données projet'!$A$88,$BA$205^A59,IF(A59='Données projet'!$A$88,'Données projet'!$B$88,BD58+BC59-BL58)))</f>
        <v>432</v>
      </c>
      <c r="BE59" s="14">
        <f>BD59*VLOOKUP('Données projet'!$B$11,Paramètres!$A$1:$I$89,3,0)*VLOOKUP('Données projet'!$B$11,Paramètres!$A$1:$I$89,5,0)</f>
        <v>258.33600000000001</v>
      </c>
      <c r="BF59" s="14">
        <f t="shared" si="37"/>
        <v>62.367547966451262</v>
      </c>
      <c r="BG59" s="22">
        <f t="shared" si="7"/>
        <v>558.55867937490257</v>
      </c>
      <c r="BH59" s="62">
        <f t="shared" si="8"/>
        <v>817.48849531352425</v>
      </c>
      <c r="BI59" s="62">
        <f ca="1">AVERAGE(OFFSET($BH$3,0,0,'Données projet'!$E$11+1,1))-AVERAGE(OFFSET($H$3,0,0,'Données projet'!$E$11+1,1))</f>
        <v>367.11994336501527</v>
      </c>
      <c r="BJ59" s="62">
        <f t="shared" si="38"/>
        <v>390.81417197867484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9.4143512940810616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2.5518565515693353E-3</v>
      </c>
      <c r="BS59" s="24">
        <f t="shared" si="9"/>
        <v>9.4169031506326313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-5.6843418860808015E-14</v>
      </c>
      <c r="BZ59" s="14">
        <f>BY59*VLOOKUP('Données projet'!$B$12,Paramètres!$A$1:$I$89,3,0)*VLOOKUP('Données projet'!$B$12,Paramètres!$A$1:$I$89,5,0)</f>
        <v>-3.3992364478763198E-14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396.15172163885632</v>
      </c>
      <c r="CE59" s="62">
        <f t="shared" si="40"/>
        <v>624.94568617205198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14.073432820560068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5.2516284216954853E-3</v>
      </c>
      <c r="CN59" s="24">
        <f t="shared" si="12"/>
        <v>14.078684448981765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>
        <f>CT59*VLOOKUP('Données projet'!$B$13,Paramètres!$A$1:$I$89,3,0)*VLOOKUP('Données projet'!$B$13,Paramètres!$A$1:$I$89,5,0)</f>
        <v>0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89.800041997398182</v>
      </c>
      <c r="CZ59" s="62">
        <f t="shared" si="42"/>
        <v>286.94570078060917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29.342715626828443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4.2243402853288687E-5</v>
      </c>
      <c r="DI59" s="24">
        <f t="shared" si="15"/>
        <v>29.342757870231296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740.11297380909809</v>
      </c>
      <c r="S60" s="62">
        <f ca="1">AVERAGE(OFFSET($R$3,0,0,'Données projet'!$E$9+1,1))-AVERAGE(OFFSET($H$3,0,0,'Données projet'!$E$9+1,1))</f>
        <v>367.51466260429623</v>
      </c>
      <c r="T60" s="62">
        <f t="shared" si="34"/>
        <v>297.32483725004136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1.0076861015275412E-3</v>
      </c>
      <c r="AC60" s="24">
        <f t="shared" si="3"/>
        <v>1.0076861015275412E-3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13.444444444444445</v>
      </c>
      <c r="AI60" s="14">
        <f>IF('Données projet'!$A$62&gt;35,AI59+AH60-AQ59,IF(A60&lt;'Données projet'!$A$62,$AF$205^A60,IF(A60='Données projet'!$A$62,'Données projet'!$B$62,AI59+AH60-AQ59)))</f>
        <v>259.66666666666669</v>
      </c>
      <c r="AJ60" s="14">
        <f>AI60*VLOOKUP('Données projet'!$B$10,Paramètres!$A$1:$I$89,3,0)*VLOOKUP('Données projet'!$B$10,Paramètres!$A$1:$I$89,5,0)</f>
        <v>121.52400000000002</v>
      </c>
      <c r="AK60" s="14">
        <f t="shared" si="35"/>
        <v>32.030185774775809</v>
      </c>
      <c r="AL60" s="22">
        <f t="shared" si="4"/>
        <v>267.44020689106782</v>
      </c>
      <c r="AM60" s="62">
        <f t="shared" si="5"/>
        <v>526.96684694174553</v>
      </c>
      <c r="AN60" s="62">
        <f ca="1">AVERAGE(OFFSET($AM$3,0,0,'Données projet'!$E$10+1,1))-AVERAGE(OFFSET($H$3,0,0,'Données projet'!$E$10+1,1))</f>
        <v>188.94867378904664</v>
      </c>
      <c r="AO60" s="62">
        <f t="shared" si="36"/>
        <v>242.84781402593833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9.0032353575254085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1.3391127223995949E-3</v>
      </c>
      <c r="AX60" s="23">
        <f t="shared" si="6"/>
        <v>9.0045744702478085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</v>
      </c>
      <c r="BD60" s="13">
        <f>IF('Données projet'!$A$88&gt;35,BD59+BC60-BL59,IF(A60&lt;'Données projet'!$A$88,$BA$205^A60,IF(A60='Données projet'!$A$88,'Données projet'!$B$88,BD59+BC60-BL59)))</f>
        <v>449</v>
      </c>
      <c r="BE60" s="14">
        <f>BD60*VLOOKUP('Données projet'!$B$11,Paramètres!$A$1:$I$89,3,0)*VLOOKUP('Données projet'!$B$11,Paramètres!$A$1:$I$89,5,0)</f>
        <v>268.50200000000001</v>
      </c>
      <c r="BF60" s="14">
        <f t="shared" si="37"/>
        <v>64.531253013339168</v>
      </c>
      <c r="BG60" s="22">
        <f t="shared" si="7"/>
        <v>580.03291566489895</v>
      </c>
      <c r="BH60" s="62">
        <f t="shared" si="8"/>
        <v>839.55955571557661</v>
      </c>
      <c r="BI60" s="62">
        <f ca="1">AVERAGE(OFFSET($BH$3,0,0,'Données projet'!$E$11+1,1))-AVERAGE(OFFSET($H$3,0,0,'Données projet'!$E$11+1,1))</f>
        <v>367.11994336501527</v>
      </c>
      <c r="BJ60" s="62">
        <f t="shared" si="38"/>
        <v>390.81417197867484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9.2297416073914267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1.8044350722299957E-3</v>
      </c>
      <c r="BS60" s="24">
        <f t="shared" si="9"/>
        <v>9.2315460424636573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-5.6843418860808015E-14</v>
      </c>
      <c r="BZ60" s="14">
        <f>BY60*VLOOKUP('Données projet'!$B$12,Paramètres!$A$1:$I$89,3,0)*VLOOKUP('Données projet'!$B$12,Paramètres!$A$1:$I$89,5,0)</f>
        <v>-3.3992364478763198E-14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396.15172163885632</v>
      </c>
      <c r="CE60" s="62">
        <f t="shared" si="40"/>
        <v>624.94568617205198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13.797461386895312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3.7134620692528836E-3</v>
      </c>
      <c r="CN60" s="24">
        <f t="shared" si="12"/>
        <v>13.801174848964566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>
        <f>CT60*VLOOKUP('Données projet'!$B$13,Paramètres!$A$1:$I$89,3,0)*VLOOKUP('Données projet'!$B$13,Paramètres!$A$1:$I$89,5,0)</f>
        <v>0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89.800041997398182</v>
      </c>
      <c r="CZ60" s="62">
        <f t="shared" si="42"/>
        <v>286.94570078060917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28.76732287067566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2.9870596617955584E-5</v>
      </c>
      <c r="DI60" s="24">
        <f t="shared" si="15"/>
        <v>28.767352741272276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758.7224531863385</v>
      </c>
      <c r="S61" s="62">
        <f ca="1">AVERAGE(OFFSET($R$3,0,0,'Données projet'!$E$9+1,1))-AVERAGE(OFFSET($H$3,0,0,'Données projet'!$E$9+1,1))</f>
        <v>367.51466260429623</v>
      </c>
      <c r="T61" s="62">
        <f t="shared" si="34"/>
        <v>297.32483725004136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7.1254167569756021E-4</v>
      </c>
      <c r="AC61" s="24">
        <f t="shared" si="3"/>
        <v>7.1254167569756021E-4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13.444444444444445</v>
      </c>
      <c r="AI61" s="14">
        <f>IF('Données projet'!$A$62&gt;35,AI60+AH61-AQ60,IF(A61&lt;'Données projet'!$A$62,$AF$205^A61,IF(A61='Données projet'!$A$62,'Données projet'!$B$62,AI60+AH61-AQ60)))</f>
        <v>273.11111111111114</v>
      </c>
      <c r="AJ61" s="14">
        <f>AI61*VLOOKUP('Données projet'!$B$10,Paramètres!$A$1:$I$89,3,0)*VLOOKUP('Données projet'!$B$10,Paramètres!$A$1:$I$89,5,0)</f>
        <v>127.81600000000002</v>
      </c>
      <c r="AK61" s="14">
        <f t="shared" si="35"/>
        <v>33.491204508905589</v>
      </c>
      <c r="AL61" s="22">
        <f t="shared" si="4"/>
        <v>280.94338118634391</v>
      </c>
      <c r="AM61" s="62">
        <f t="shared" si="5"/>
        <v>541.05649178503234</v>
      </c>
      <c r="AN61" s="62">
        <f ca="1">AVERAGE(OFFSET($AM$3,0,0,'Données projet'!$E$10+1,1))-AVERAGE(OFFSET($H$3,0,0,'Données projet'!$E$10+1,1))</f>
        <v>188.94867378904664</v>
      </c>
      <c r="AO61" s="62">
        <f t="shared" si="36"/>
        <v>242.84781402593833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8.8266874035956704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9.4689568678193244E-4</v>
      </c>
      <c r="AX61" s="23">
        <f t="shared" si="6"/>
        <v>8.8276342992824528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17</v>
      </c>
      <c r="BD61" s="13">
        <f>IF('Données projet'!$A$88&gt;35,BD60+BC61-BL60,IF(A61&lt;'Données projet'!$A$88,$BA$205^A61,IF(A61='Données projet'!$A$88,'Données projet'!$B$88,BD60+BC61-BL60)))</f>
        <v>466</v>
      </c>
      <c r="BE61" s="14">
        <f>BD61*VLOOKUP('Données projet'!$B$11,Paramètres!$A$1:$I$89,3,0)*VLOOKUP('Données projet'!$B$11,Paramètres!$A$1:$I$89,5,0)</f>
        <v>278.66800000000001</v>
      </c>
      <c r="BF61" s="14">
        <f t="shared" si="37"/>
        <v>66.685440917424543</v>
      </c>
      <c r="BG61" s="22">
        <f t="shared" si="7"/>
        <v>601.49057626451452</v>
      </c>
      <c r="BH61" s="62">
        <f t="shared" si="8"/>
        <v>861.60368686320294</v>
      </c>
      <c r="BI61" s="62">
        <f ca="1">AVERAGE(OFFSET($BH$3,0,0,'Données projet'!$E$11+1,1))-AVERAGE(OFFSET($H$3,0,0,'Données projet'!$E$11+1,1))</f>
        <v>367.11994336501527</v>
      </c>
      <c r="BJ61" s="62">
        <f t="shared" si="38"/>
        <v>390.81417197867484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9.0487520040569862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1.2759282757846676E-3</v>
      </c>
      <c r="BS61" s="24">
        <f t="shared" si="9"/>
        <v>9.050027932332771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-5.6843418860808015E-14</v>
      </c>
      <c r="BZ61" s="14">
        <f>BY61*VLOOKUP('Données projet'!$B$12,Paramètres!$A$1:$I$89,3,0)*VLOOKUP('Données projet'!$B$12,Paramètres!$A$1:$I$89,5,0)</f>
        <v>-3.3992364478763198E-14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396.15172163885632</v>
      </c>
      <c r="CE61" s="62">
        <f t="shared" si="40"/>
        <v>624.94568617205198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13.526901584718768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2.6258142108477431E-3</v>
      </c>
      <c r="CN61" s="24">
        <f t="shared" si="12"/>
        <v>13.529527398929616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>
        <f>CT61*VLOOKUP('Données projet'!$B$13,Paramètres!$A$1:$I$89,3,0)*VLOOKUP('Données projet'!$B$13,Paramètres!$A$1:$I$89,5,0)</f>
        <v>0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89.800041997398182</v>
      </c>
      <c r="CZ61" s="62">
        <f t="shared" si="42"/>
        <v>286.94570078060917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28.203213215516104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2.1121701426644347E-5</v>
      </c>
      <c r="DI61" s="24">
        <f t="shared" si="15"/>
        <v>28.20323433721753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777.30796841682741</v>
      </c>
      <c r="S62" s="62">
        <f ca="1">AVERAGE(OFFSET($R$3,0,0,'Données projet'!$E$9+1,1))-AVERAGE(OFFSET($H$3,0,0,'Données projet'!$E$9+1,1))</f>
        <v>367.51466260429623</v>
      </c>
      <c r="T62" s="62">
        <f t="shared" si="34"/>
        <v>297.32483725004136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5.038430507637706E-4</v>
      </c>
      <c r="AC62" s="24">
        <f t="shared" si="3"/>
        <v>5.038430507637706E-4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13.444444444444445</v>
      </c>
      <c r="AI62" s="14">
        <f>IF('Données projet'!$A$62&gt;35,AI61+AH62-AQ61,IF(A62&lt;'Données projet'!$A$62,$AF$205^A62,IF(A62='Données projet'!$A$62,'Données projet'!$B$62,AI61+AH62-AQ61)))</f>
        <v>286.5555555555556</v>
      </c>
      <c r="AJ62" s="14">
        <f>AI62*VLOOKUP('Données projet'!$B$10,Paramètres!$A$1:$I$89,3,0)*VLOOKUP('Données projet'!$B$10,Paramètres!$A$1:$I$89,5,0)</f>
        <v>134.10800000000003</v>
      </c>
      <c r="AK62" s="14">
        <f t="shared" si="35"/>
        <v>34.943871948095122</v>
      </c>
      <c r="AL62" s="22">
        <f t="shared" si="4"/>
        <v>294.43201030959904</v>
      </c>
      <c r="AM62" s="62">
        <f t="shared" si="5"/>
        <v>555.12141750344176</v>
      </c>
      <c r="AN62" s="62">
        <f ca="1">AVERAGE(OFFSET($AM$3,0,0,'Données projet'!$E$10+1,1))-AVERAGE(OFFSET($H$3,0,0,'Données projet'!$E$10+1,1))</f>
        <v>188.94867378904664</v>
      </c>
      <c r="AO62" s="62">
        <f t="shared" si="36"/>
        <v>242.84781402593833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8.6536014473588754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6.6955636119979758E-4</v>
      </c>
      <c r="AX62" s="23">
        <f t="shared" si="6"/>
        <v>8.6542710037200745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17</v>
      </c>
      <c r="BD62" s="13">
        <f>IF('Données projet'!$A$88&gt;35,BD61+BC62-BL61,IF(A62&lt;'Données projet'!$A$88,$BA$205^A62,IF(A62='Données projet'!$A$88,'Données projet'!$B$88,BD61+BC62-BL61)))</f>
        <v>483</v>
      </c>
      <c r="BE62" s="14">
        <f>BD62*VLOOKUP('Données projet'!$B$11,Paramètres!$A$1:$I$89,3,0)*VLOOKUP('Données projet'!$B$11,Paramètres!$A$1:$I$89,5,0)</f>
        <v>288.834</v>
      </c>
      <c r="BF62" s="14">
        <f t="shared" si="37"/>
        <v>68.830498636563377</v>
      </c>
      <c r="BG62" s="22">
        <f t="shared" si="7"/>
        <v>622.93233512534789</v>
      </c>
      <c r="BH62" s="62">
        <f t="shared" si="8"/>
        <v>883.62174231919062</v>
      </c>
      <c r="BI62" s="62">
        <f ca="1">AVERAGE(OFFSET($BH$3,0,0,'Données projet'!$E$11+1,1))-AVERAGE(OFFSET($H$3,0,0,'Données projet'!$E$11+1,1))</f>
        <v>367.11994336501527</v>
      </c>
      <c r="BJ62" s="62">
        <f t="shared" si="38"/>
        <v>390.81417197867484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8.8713114964511757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9.0221753611499785E-4</v>
      </c>
      <c r="BS62" s="24">
        <f t="shared" si="9"/>
        <v>8.872213713987291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-5.6843418860808015E-14</v>
      </c>
      <c r="BZ62" s="14">
        <f>BY62*VLOOKUP('Données projet'!$B$12,Paramètres!$A$1:$I$89,3,0)*VLOOKUP('Données projet'!$B$12,Paramètres!$A$1:$I$89,5,0)</f>
        <v>-3.3992364478763198E-14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396.15172163885632</v>
      </c>
      <c r="CE62" s="62">
        <f t="shared" si="40"/>
        <v>624.94568617205198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13.26164729523772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1.8567310346264423E-3</v>
      </c>
      <c r="CN62" s="24">
        <f t="shared" si="12"/>
        <v>13.263504026272347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>
        <f>CT62*VLOOKUP('Données projet'!$B$13,Paramètres!$A$1:$I$89,3,0)*VLOOKUP('Données projet'!$B$13,Paramètres!$A$1:$I$89,5,0)</f>
        <v>0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89.800041997398182</v>
      </c>
      <c r="CZ62" s="62">
        <f t="shared" si="42"/>
        <v>286.94570078060917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27.650165406621312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1.4935298308977794E-5</v>
      </c>
      <c r="DI62" s="24">
        <f t="shared" si="15"/>
        <v>27.650180341919622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795.87024409467267</v>
      </c>
      <c r="S63" s="62">
        <f ca="1">AVERAGE(OFFSET($R$3,0,0,'Données projet'!$E$9+1,1))-AVERAGE(OFFSET($H$3,0,0,'Données projet'!$E$9+1,1))</f>
        <v>367.51466260429623</v>
      </c>
      <c r="T63" s="62">
        <f t="shared" si="34"/>
        <v>297.32483725004136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3.562708378487801E-4</v>
      </c>
      <c r="AC63" s="24">
        <f t="shared" si="3"/>
        <v>3.562708378487801E-4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300</v>
      </c>
      <c r="AG63" s="13">
        <f>VLOOKUP(A63,'Données projet'!$A$61:$I$81,9,0)</f>
        <v>13.444444444444445</v>
      </c>
      <c r="AH63" s="13">
        <f t="array" ref="AH63">INDEX(AG:AG,MIN(IF(ISNUMBER(AG63:AG259),ROW(AG63:AG259),"")))</f>
        <v>13.444444444444445</v>
      </c>
      <c r="AI63" s="14">
        <f>IF('Données projet'!$A$62&gt;35,AI62+AH63-AQ62,IF(A63&lt;'Données projet'!$A$62,$AF$205^A63,IF(A63='Données projet'!$A$62,'Données projet'!$B$62,AI62+AH63-AQ62)))</f>
        <v>300.00000000000006</v>
      </c>
      <c r="AJ63" s="14">
        <f>AI63*VLOOKUP('Données projet'!$B$10,Paramètres!$A$1:$I$89,3,0)*VLOOKUP('Données projet'!$B$10,Paramètres!$A$1:$I$89,5,0)</f>
        <v>140.40000000000003</v>
      </c>
      <c r="AK63" s="14">
        <f t="shared" si="35"/>
        <v>36.388624656711201</v>
      </c>
      <c r="AL63" s="22">
        <f t="shared" si="4"/>
        <v>307.90685461043876</v>
      </c>
      <c r="AM63" s="62">
        <f t="shared" si="5"/>
        <v>569.16256094191624</v>
      </c>
      <c r="AN63" s="62">
        <f ca="1">AVERAGE(OFFSET($AM$3,0,0,'Données projet'!$E$10+1,1))-AVERAGE(OFFSET($H$3,0,0,'Données projet'!$E$10+1,1))</f>
        <v>188.94867378904664</v>
      </c>
      <c r="AO63" s="62">
        <f t="shared" si="36"/>
        <v>242.84781402593833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300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8.4839096011518738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4.7344784339096627E-4</v>
      </c>
      <c r="AX63" s="23">
        <f t="shared" si="6"/>
        <v>8.4843830489952641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500</v>
      </c>
      <c r="BB63" s="13">
        <f>VLOOKUP(A63,'Données projet'!$A$87:$I$107,9,0)</f>
        <v>17</v>
      </c>
      <c r="BC63" s="13">
        <f t="array" ref="BC63">INDEX(BB:BB,MIN(IF(ISNUMBER(BB63:BB259),ROW(BB63:BB259),"")))</f>
        <v>17</v>
      </c>
      <c r="BD63" s="13">
        <f>IF('Données projet'!$A$88&gt;35,BD62+BC63-BL62,IF(A63&lt;'Données projet'!$A$88,$BA$205^A63,IF(A63='Données projet'!$A$88,'Données projet'!$B$88,BD62+BC63-BL62)))</f>
        <v>500</v>
      </c>
      <c r="BE63" s="14">
        <f>BD63*VLOOKUP('Données projet'!$B$11,Paramètres!$A$1:$I$89,3,0)*VLOOKUP('Données projet'!$B$11,Paramètres!$A$1:$I$89,5,0)</f>
        <v>299</v>
      </c>
      <c r="BF63" s="14">
        <f t="shared" si="37"/>
        <v>70.966784344875109</v>
      </c>
      <c r="BG63" s="22">
        <f t="shared" si="7"/>
        <v>644.35881606732414</v>
      </c>
      <c r="BH63" s="62">
        <f t="shared" si="8"/>
        <v>905.61452239880168</v>
      </c>
      <c r="BI63" s="62">
        <f ca="1">AVERAGE(OFFSET($BH$3,0,0,'Données projet'!$E$11+1,1))-AVERAGE(OFFSET($H$3,0,0,'Données projet'!$E$11+1,1))</f>
        <v>367.11994336501527</v>
      </c>
      <c r="BJ63" s="62">
        <f t="shared" si="38"/>
        <v>390.81417197867484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32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8.6973504889714928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6.3796413789233382E-4</v>
      </c>
      <c r="BS63" s="24">
        <f t="shared" si="9"/>
        <v>8.6979884531093852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-5.6843418860808015E-14</v>
      </c>
      <c r="BZ63" s="14">
        <f>BY63*VLOOKUP('Données projet'!$B$12,Paramètres!$A$1:$I$89,3,0)*VLOOKUP('Données projet'!$B$12,Paramètres!$A$1:$I$89,5,0)</f>
        <v>-3.3992364478763198E-14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396.15172163885632</v>
      </c>
      <c r="CE63" s="62">
        <f t="shared" si="40"/>
        <v>624.94568617205198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13.001594480584256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1.3129071054238718E-3</v>
      </c>
      <c r="CN63" s="24">
        <f t="shared" si="12"/>
        <v>13.00290738768968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>
        <f>CT63*VLOOKUP('Données projet'!$B$13,Paramètres!$A$1:$I$89,3,0)*VLOOKUP('Données projet'!$B$13,Paramètres!$A$1:$I$89,5,0)</f>
        <v>0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89.800041997398182</v>
      </c>
      <c r="CZ63" s="62">
        <f t="shared" si="42"/>
        <v>286.94570078060917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27.107962527933093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1.0560850713322175E-5</v>
      </c>
      <c r="DI63" s="24">
        <f t="shared" si="15"/>
        <v>27.107973088783808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759.65487244415465</v>
      </c>
      <c r="S64" s="62">
        <f ca="1">AVERAGE(OFFSET($R$3,0,0,'Données projet'!$E$9+1,1))-AVERAGE(OFFSET($H$3,0,0,'Données projet'!$E$9+1,1))</f>
        <v>367.51466260429623</v>
      </c>
      <c r="T64" s="62">
        <f t="shared" si="34"/>
        <v>297.32483725004136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2.519215253818853E-4</v>
      </c>
      <c r="AC64" s="24">
        <f t="shared" si="3"/>
        <v>2.519215253818853E-4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2.6602720026858149E-14</v>
      </c>
      <c r="AK64" s="14">
        <f t="shared" si="35"/>
        <v>4.6624771586320878E-13</v>
      </c>
      <c r="AL64" s="22">
        <f t="shared" si="4"/>
        <v>8.583811758418665E-13</v>
      </c>
      <c r="AM64" s="62">
        <f t="shared" si="5"/>
        <v>261.81218144513019</v>
      </c>
      <c r="AN64" s="62">
        <f ca="1">AVERAGE(OFFSET($AM$3,0,0,'Données projet'!$E$10+1,1))-AVERAGE(OFFSET($H$3,0,0,'Données projet'!$E$10+1,1))</f>
        <v>188.94867378904664</v>
      </c>
      <c r="AO64" s="62">
        <f t="shared" si="36"/>
        <v>242.84781402593833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8.3175453085471851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3.3477818059989884E-4</v>
      </c>
      <c r="AX64" s="23">
        <f t="shared" si="6"/>
        <v>8.3178800867277847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17.399999999999999</v>
      </c>
      <c r="BD64" s="13">
        <f>IF('Données projet'!$A$88&gt;35,BD63+BC64-BL63,IF(A64&lt;'Données projet'!$A$88,$BA$205^A64,IF(A64='Données projet'!$A$88,'Données projet'!$B$88,BD63+BC64-BL63)))</f>
        <v>485.4</v>
      </c>
      <c r="BE64" s="14">
        <f>BD64*VLOOKUP('Données projet'!$B$11,Paramètres!$A$1:$I$89,3,0)*VLOOKUP('Données projet'!$B$11,Paramètres!$A$1:$I$89,5,0)</f>
        <v>290.26920000000001</v>
      </c>
      <c r="BF64" s="14">
        <f t="shared" si="37"/>
        <v>69.13261576818384</v>
      </c>
      <c r="BG64" s="22">
        <f t="shared" si="7"/>
        <v>625.95816246292009</v>
      </c>
      <c r="BH64" s="62">
        <f t="shared" si="8"/>
        <v>887.77034390804943</v>
      </c>
      <c r="BI64" s="62">
        <f ca="1">AVERAGE(OFFSET($BH$3,0,0,'Données projet'!$E$11+1,1))-AVERAGE(OFFSET($H$3,0,0,'Données projet'!$E$11+1,1))</f>
        <v>367.11994336501527</v>
      </c>
      <c r="BJ64" s="62">
        <f t="shared" si="38"/>
        <v>390.81417197867484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8.5268007507427495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4.5110876805749893E-4</v>
      </c>
      <c r="BS64" s="24">
        <f t="shared" si="9"/>
        <v>8.5272518595108071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-5.6843418860808015E-14</v>
      </c>
      <c r="BZ64" s="14">
        <f>BY64*VLOOKUP('Données projet'!$B$12,Paramètres!$A$1:$I$89,3,0)*VLOOKUP('Données projet'!$B$12,Paramètres!$A$1:$I$89,5,0)</f>
        <v>-3.3992364478763198E-14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396.15172163885632</v>
      </c>
      <c r="CE64" s="62">
        <f t="shared" si="40"/>
        <v>624.94568617205198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12.74664114300959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9.2836551731322124E-4</v>
      </c>
      <c r="CN64" s="24">
        <f t="shared" si="12"/>
        <v>12.747569508526903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>
        <f>CT64*VLOOKUP('Données projet'!$B$13,Paramètres!$A$1:$I$89,3,0)*VLOOKUP('Données projet'!$B$13,Paramètres!$A$1:$I$89,5,0)</f>
        <v>0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89.800041997398182</v>
      </c>
      <c r="CZ64" s="62">
        <f t="shared" si="42"/>
        <v>286.94570078060917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26.57639191698485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7.4676491544888978E-6</v>
      </c>
      <c r="DI64" s="24">
        <f t="shared" si="15"/>
        <v>26.576399384634005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777.06232855539611</v>
      </c>
      <c r="S65" s="62">
        <f ca="1">AVERAGE(OFFSET($R$3,0,0,'Données projet'!$E$9+1,1))-AVERAGE(OFFSET($H$3,0,0,'Données projet'!$E$9+1,1))</f>
        <v>367.51466260429623</v>
      </c>
      <c r="T65" s="62">
        <f t="shared" si="34"/>
        <v>297.32483725004136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1.7813541892439005E-4</v>
      </c>
      <c r="AC65" s="24">
        <f t="shared" si="3"/>
        <v>1.7813541892439005E-4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2.6602720026858149E-14</v>
      </c>
      <c r="AK65" s="14">
        <f t="shared" si="35"/>
        <v>4.6624771586320878E-13</v>
      </c>
      <c r="AL65" s="22">
        <f t="shared" si="4"/>
        <v>8.583811758418665E-13</v>
      </c>
      <c r="AM65" s="62">
        <f t="shared" si="5"/>
        <v>262.35900295965217</v>
      </c>
      <c r="AN65" s="62">
        <f ca="1">AVERAGE(OFFSET($AM$3,0,0,'Données projet'!$E$10+1,1))-AVERAGE(OFFSET($H$3,0,0,'Données projet'!$E$10+1,1))</f>
        <v>188.94867378904664</v>
      </c>
      <c r="AO65" s="62">
        <f t="shared" si="36"/>
        <v>242.84781402593833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8.1544433182482763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2.3672392169548319E-4</v>
      </c>
      <c r="AX65" s="23">
        <f t="shared" si="6"/>
        <v>8.1546800421699714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17.399999999999999</v>
      </c>
      <c r="BD65" s="13">
        <f>IF('Données projet'!$A$88&gt;35,BD64+BC65-BL64,IF(A65&lt;'Données projet'!$A$88,$BA$205^A65,IF(A65='Données projet'!$A$88,'Données projet'!$B$88,BD64+BC65-BL64)))</f>
        <v>502.79999999999995</v>
      </c>
      <c r="BE65" s="14">
        <f>BD65*VLOOKUP('Données projet'!$B$11,Paramètres!$A$1:$I$89,3,0)*VLOOKUP('Données projet'!$B$11,Paramètres!$A$1:$I$89,5,0)</f>
        <v>300.67439999999999</v>
      </c>
      <c r="BF65" s="14">
        <f t="shared" si="37"/>
        <v>71.317825137860439</v>
      </c>
      <c r="BG65" s="22">
        <f t="shared" si="7"/>
        <v>647.88645878177363</v>
      </c>
      <c r="BH65" s="62">
        <f t="shared" si="8"/>
        <v>910.24546174142495</v>
      </c>
      <c r="BI65" s="62">
        <f ca="1">AVERAGE(OFFSET($BH$3,0,0,'Données projet'!$E$11+1,1))-AVERAGE(OFFSET($H$3,0,0,'Données projet'!$E$11+1,1))</f>
        <v>367.11994336501527</v>
      </c>
      <c r="BJ65" s="62">
        <f t="shared" si="38"/>
        <v>390.81417197867484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8.3595953888556025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3.1898206894616691E-4</v>
      </c>
      <c r="BS65" s="24">
        <f t="shared" si="9"/>
        <v>8.3599143709245478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-5.6843418860808015E-14</v>
      </c>
      <c r="BZ65" s="14">
        <f>BY65*VLOOKUP('Données projet'!$B$12,Paramètres!$A$1:$I$89,3,0)*VLOOKUP('Données projet'!$B$12,Paramètres!$A$1:$I$89,5,0)</f>
        <v>-3.3992364478763198E-14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396.15172163885632</v>
      </c>
      <c r="CE65" s="62">
        <f t="shared" si="40"/>
        <v>624.94568617205198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12.496687284878583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6.5645355271193599E-4</v>
      </c>
      <c r="CN65" s="24">
        <f t="shared" si="12"/>
        <v>12.497343738431294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>
        <f>CT65*VLOOKUP('Données projet'!$B$13,Paramètres!$A$1:$I$89,3,0)*VLOOKUP('Données projet'!$B$13,Paramètres!$A$1:$I$89,5,0)</f>
        <v>0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89.800041997398182</v>
      </c>
      <c r="CZ65" s="62">
        <f t="shared" si="42"/>
        <v>286.94570078060917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26.055245081491243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5.2804253566610884E-6</v>
      </c>
      <c r="DI65" s="24">
        <f t="shared" si="15"/>
        <v>26.055250361916599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794.44864396082176</v>
      </c>
      <c r="S66" s="62">
        <f ca="1">AVERAGE(OFFSET($R$3,0,0,'Données projet'!$E$9+1,1))-AVERAGE(OFFSET($H$3,0,0,'Données projet'!$E$9+1,1))</f>
        <v>367.51466260429623</v>
      </c>
      <c r="T66" s="62">
        <f t="shared" si="34"/>
        <v>297.32483725004136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1.2596076269094265E-4</v>
      </c>
      <c r="AC66" s="24">
        <f t="shared" si="3"/>
        <v>1.2596076269094265E-4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2.6602720026858149E-14</v>
      </c>
      <c r="AK66" s="14">
        <f t="shared" si="35"/>
        <v>4.6624771586320878E-13</v>
      </c>
      <c r="AL66" s="22">
        <f t="shared" si="4"/>
        <v>8.583811758418665E-13</v>
      </c>
      <c r="AM66" s="62">
        <f t="shared" si="5"/>
        <v>262.89633834340697</v>
      </c>
      <c r="AN66" s="62">
        <f ca="1">AVERAGE(OFFSET($AM$3,0,0,'Données projet'!$E$10+1,1))-AVERAGE(OFFSET($H$3,0,0,'Données projet'!$E$10+1,1))</f>
        <v>188.94867378904664</v>
      </c>
      <c r="AO66" s="62">
        <f t="shared" si="36"/>
        <v>242.84781402593833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7.9945396584967376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1.6738909029994945E-4</v>
      </c>
      <c r="AX66" s="23">
        <f t="shared" si="6"/>
        <v>7.9947070475870374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17.399999999999999</v>
      </c>
      <c r="BD66" s="13">
        <f>IF('Données projet'!$A$88&gt;35,BD65+BC66-BL65,IF(A66&lt;'Données projet'!$A$88,$BA$205^A66,IF(A66='Données projet'!$A$88,'Données projet'!$B$88,BD65+BC66-BL65)))</f>
        <v>520.19999999999993</v>
      </c>
      <c r="BE66" s="14">
        <f>BD66*VLOOKUP('Données projet'!$B$11,Paramètres!$A$1:$I$89,3,0)*VLOOKUP('Données projet'!$B$11,Paramètres!$A$1:$I$89,5,0)</f>
        <v>311.07959999999997</v>
      </c>
      <c r="BF66" s="14">
        <f t="shared" si="37"/>
        <v>73.49424798183118</v>
      </c>
      <c r="BG66" s="22">
        <f t="shared" si="7"/>
        <v>669.79945190168917</v>
      </c>
      <c r="BH66" s="62">
        <f t="shared" si="8"/>
        <v>932.69579024509528</v>
      </c>
      <c r="BI66" s="62">
        <f ca="1">AVERAGE(OFFSET($BH$3,0,0,'Données projet'!$E$11+1,1))-AVERAGE(OFFSET($H$3,0,0,'Données projet'!$E$11+1,1))</f>
        <v>367.11994336501527</v>
      </c>
      <c r="BJ66" s="62">
        <f t="shared" si="38"/>
        <v>390.81417197867484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8.1956688221298624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2.2555438402874946E-4</v>
      </c>
      <c r="BS66" s="24">
        <f t="shared" si="9"/>
        <v>8.1958943765138912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-5.6843418860808015E-14</v>
      </c>
      <c r="BZ66" s="14">
        <f>BY66*VLOOKUP('Données projet'!$B$12,Paramètres!$A$1:$I$89,3,0)*VLOOKUP('Données projet'!$B$12,Paramètres!$A$1:$I$89,5,0)</f>
        <v>-3.3992364478763198E-14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396.15172163885632</v>
      </c>
      <c r="CE66" s="62">
        <f t="shared" si="40"/>
        <v>624.94568617205198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12.251634869448726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4.6418275865661067E-4</v>
      </c>
      <c r="CN66" s="24">
        <f t="shared" si="12"/>
        <v>12.252099052207383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>
        <f>CT66*VLOOKUP('Données projet'!$B$13,Paramètres!$A$1:$I$89,3,0)*VLOOKUP('Données projet'!$B$13,Paramètres!$A$1:$I$89,5,0)</f>
        <v>0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89.800041997398182</v>
      </c>
      <c r="CZ66" s="62">
        <f t="shared" si="42"/>
        <v>286.94570078060917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25.544317617573483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3.7338245772444497E-6</v>
      </c>
      <c r="DI66" s="24">
        <f t="shared" si="15"/>
        <v>25.544321351398061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811.81440445847329</v>
      </c>
      <c r="S67" s="62">
        <f ca="1">AVERAGE(OFFSET($R$3,0,0,'Données projet'!$E$9+1,1))-AVERAGE(OFFSET($H$3,0,0,'Données projet'!$E$9+1,1))</f>
        <v>367.51466260429623</v>
      </c>
      <c r="T67" s="62">
        <f t="shared" si="34"/>
        <v>297.32483725004136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8.9067709462195026E-5</v>
      </c>
      <c r="AC67" s="24">
        <f t="shared" si="3"/>
        <v>8.9067709462195026E-5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2.6602720026858149E-14</v>
      </c>
      <c r="AK67" s="14">
        <f t="shared" si="35"/>
        <v>4.6624771586320878E-13</v>
      </c>
      <c r="AL67" s="22">
        <f t="shared" si="4"/>
        <v>8.583811758418665E-13</v>
      </c>
      <c r="AM67" s="62">
        <f t="shared" si="5"/>
        <v>263.42435215955561</v>
      </c>
      <c r="AN67" s="62">
        <f ca="1">AVERAGE(OFFSET($AM$3,0,0,'Données projet'!$E$10+1,1))-AVERAGE(OFFSET($H$3,0,0,'Données projet'!$E$10+1,1))</f>
        <v>188.94867378904664</v>
      </c>
      <c r="AO67" s="62">
        <f t="shared" si="36"/>
        <v>242.84781402593833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7.8377716119813243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1.1836196084774161E-4</v>
      </c>
      <c r="AX67" s="23">
        <f t="shared" si="6"/>
        <v>7.8378899739421719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17.399999999999999</v>
      </c>
      <c r="BD67" s="13">
        <f>IF('Données projet'!$A$88&gt;35,BD66+BC67-BL66,IF(A67&lt;'Données projet'!$A$88,$BA$205^A67,IF(A67='Données projet'!$A$88,'Données projet'!$B$88,BD66+BC67-BL66)))</f>
        <v>537.59999999999991</v>
      </c>
      <c r="BE67" s="14">
        <f>BD67*VLOOKUP('Données projet'!$B$11,Paramètres!$A$1:$I$89,3,0)*VLOOKUP('Données projet'!$B$11,Paramètres!$A$1:$I$89,5,0)</f>
        <v>321.48479999999995</v>
      </c>
      <c r="BF67" s="14">
        <f t="shared" si="37"/>
        <v>75.662211893590367</v>
      </c>
      <c r="BG67" s="22">
        <f t="shared" si="7"/>
        <v>691.69771238133637</v>
      </c>
      <c r="BH67" s="62">
        <f t="shared" si="8"/>
        <v>955.12206454089119</v>
      </c>
      <c r="BI67" s="62">
        <f ca="1">AVERAGE(OFFSET($BH$3,0,0,'Données projet'!$E$11+1,1))-AVERAGE(OFFSET($H$3,0,0,'Données projet'!$E$11+1,1))</f>
        <v>367.11994336501527</v>
      </c>
      <c r="BJ67" s="62">
        <f t="shared" si="38"/>
        <v>390.81417197867484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8.0349567553922796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1.5949103447308345E-4</v>
      </c>
      <c r="BS67" s="24">
        <f t="shared" si="9"/>
        <v>8.0351162464267532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-5.6843418860808015E-14</v>
      </c>
      <c r="BZ67" s="14">
        <f>BY67*VLOOKUP('Données projet'!$B$12,Paramètres!$A$1:$I$89,3,0)*VLOOKUP('Données projet'!$B$12,Paramètres!$A$1:$I$89,5,0)</f>
        <v>-3.3992364478763198E-14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396.15172163885632</v>
      </c>
      <c r="CE67" s="62">
        <f t="shared" si="40"/>
        <v>624.94568617205198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12.011387782418232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3.2822677635596805E-4</v>
      </c>
      <c r="CN67" s="24">
        <f t="shared" si="12"/>
        <v>12.011716009194588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>
        <f>CT67*VLOOKUP('Données projet'!$B$13,Paramètres!$A$1:$I$89,3,0)*VLOOKUP('Données projet'!$B$13,Paramètres!$A$1:$I$89,5,0)</f>
        <v>0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89.800041997398182</v>
      </c>
      <c r="CZ67" s="62">
        <f t="shared" si="42"/>
        <v>286.94570078060917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25.043409129588166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2.6402126783305446E-6</v>
      </c>
      <c r="DI67" s="24">
        <f t="shared" si="15"/>
        <v>25.043411769800844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829.16016503013611</v>
      </c>
      <c r="S68" s="62">
        <f ca="1">AVERAGE(OFFSET($R$3,0,0,'Données projet'!$E$9+1,1))-AVERAGE(OFFSET($H$3,0,0,'Données projet'!$E$9+1,1))</f>
        <v>367.51466260429623</v>
      </c>
      <c r="T68" s="62">
        <f t="shared" si="34"/>
        <v>297.32483725004136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6.2980381345471324E-5</v>
      </c>
      <c r="AC68" s="24">
        <f t="shared" ref="AC68:AC131" si="57">SUM(Z68:AB68)</f>
        <v>6.2980381345471324E-5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2.6602720026858149E-14</v>
      </c>
      <c r="AK68" s="14">
        <f t="shared" si="35"/>
        <v>4.6624771586320878E-13</v>
      </c>
      <c r="AL68" s="22">
        <f t="shared" ref="AL68:AL131" si="58">(AJ68+AK68)*0.475*44/12</f>
        <v>8.583811758418665E-13</v>
      </c>
      <c r="AM68" s="62">
        <f t="shared" ref="AM68:AM131" si="59">AL68+(AD68+AE68)*44/12</f>
        <v>263.94320611645605</v>
      </c>
      <c r="AN68" s="62">
        <f ca="1">AVERAGE(OFFSET($AM$3,0,0,'Données projet'!$E$10+1,1))-AVERAGE(OFFSET($H$3,0,0,'Données projet'!$E$10+1,1))</f>
        <v>188.94867378904664</v>
      </c>
      <c r="AO68" s="62">
        <f t="shared" si="36"/>
        <v>242.84781402593833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7.6840776912390121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8.3694545149974738E-5</v>
      </c>
      <c r="AX68" s="23">
        <f t="shared" ref="AX68:AX131" si="60">SUM(AU68:AW68)</f>
        <v>7.6841613857841624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555</v>
      </c>
      <c r="BB68" s="13">
        <f>VLOOKUP(A68,'Données projet'!$A$87:$I$107,9,0)</f>
        <v>17.399999999999999</v>
      </c>
      <c r="BC68" s="13">
        <f t="array" ref="BC68">INDEX(BB:BB,MIN(IF(ISNUMBER(BB68:BB264),ROW(BB68:BB264),"")))</f>
        <v>17.399999999999999</v>
      </c>
      <c r="BD68" s="13">
        <f>IF('Données projet'!$A$88&gt;35,BD67+BC68-BL67,IF(A68&lt;'Données projet'!$A$88,$BA$205^A68,IF(A68='Données projet'!$A$88,'Données projet'!$B$88,BD67+BC68-BL67)))</f>
        <v>554.99999999999989</v>
      </c>
      <c r="BE68" s="14">
        <f>BD68*VLOOKUP('Données projet'!$B$11,Paramètres!$A$1:$I$89,3,0)*VLOOKUP('Données projet'!$B$11,Paramètres!$A$1:$I$89,5,0)</f>
        <v>331.88999999999993</v>
      </c>
      <c r="BF68" s="14">
        <f t="shared" si="37"/>
        <v>77.822022056956186</v>
      </c>
      <c r="BG68" s="22">
        <f t="shared" ref="BG68:BG131" si="61">(BE68+BF68)*0.475*44/12</f>
        <v>713.58177174919854</v>
      </c>
      <c r="BH68" s="62">
        <f t="shared" ref="BH68:BH131" si="62">BG68+(AY68+AZ68)*44/12</f>
        <v>977.52497786565368</v>
      </c>
      <c r="BI68" s="62">
        <f ca="1">AVERAGE(OFFSET($BH$3,0,0,'Données projet'!$E$11+1,1))-AVERAGE(OFFSET($H$3,0,0,'Données projet'!$E$11+1,1))</f>
        <v>367.11994336501527</v>
      </c>
      <c r="BJ68" s="62">
        <f t="shared" si="38"/>
        <v>390.81417197867484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555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7.8773961542587401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1.1277719201437473E-4</v>
      </c>
      <c r="BS68" s="24">
        <f t="shared" ref="BS68:BS131" si="63">SUM(BP68:BR68)</f>
        <v>7.8775089314507545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-5.6843418860808015E-14</v>
      </c>
      <c r="BZ68" s="14">
        <f>BY68*VLOOKUP('Données projet'!$B$12,Paramètres!$A$1:$I$89,3,0)*VLOOKUP('Données projet'!$B$12,Paramètres!$A$1:$I$89,5,0)</f>
        <v>-3.3992364478763198E-14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396.15172163885632</v>
      </c>
      <c r="CE68" s="62">
        <f t="shared" si="40"/>
        <v>624.94568617205198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11.775851794228153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2.3209137932830539E-4</v>
      </c>
      <c r="CN68" s="24">
        <f t="shared" ref="CN68:CN131" si="66">SUM(CK68:CM68)</f>
        <v>11.776083885607481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>
        <f>CT68*VLOOKUP('Données projet'!$B$13,Paramètres!$A$1:$I$89,3,0)*VLOOKUP('Données projet'!$B$13,Paramètres!$A$1:$I$89,5,0)</f>
        <v>0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89.800041997398182</v>
      </c>
      <c r="CZ68" s="62">
        <f t="shared" si="42"/>
        <v>286.94570078060917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24.552323151528235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1.8669122886222251E-6</v>
      </c>
      <c r="DI68" s="24">
        <f t="shared" ref="DI68:DI131" si="69">SUM(DF68:DH68)</f>
        <v>24.552325018440524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791.79418880959736</v>
      </c>
      <c r="S69" s="62">
        <f ca="1">AVERAGE(OFFSET($R$3,0,0,'Données projet'!$E$9+1,1))-AVERAGE(OFFSET($H$3,0,0,'Données projet'!$E$9+1,1))</f>
        <v>367.51466260429623</v>
      </c>
      <c r="T69" s="62">
        <f t="shared" ref="T69:T132" si="88">$T$3</f>
        <v>297.32483725004136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4.4533854731097513E-5</v>
      </c>
      <c r="AC69" s="24">
        <f t="shared" si="57"/>
        <v>4.4533854731097513E-5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2.6602720026858149E-14</v>
      </c>
      <c r="AK69" s="14">
        <f t="shared" ref="AK69:AK132" si="89">EXP(-1.0587+0.8836*LN(AJ69)+0.284)</f>
        <v>4.6624771586320878E-13</v>
      </c>
      <c r="AL69" s="22">
        <f t="shared" si="58"/>
        <v>8.583811758418665E-13</v>
      </c>
      <c r="AM69" s="62">
        <f t="shared" si="59"/>
        <v>264.45305911718793</v>
      </c>
      <c r="AN69" s="62">
        <f ca="1">AVERAGE(OFFSET($AM$3,0,0,'Données projet'!$E$10+1,1))-AVERAGE(OFFSET($H$3,0,0,'Données projet'!$E$10+1,1))</f>
        <v>188.94867378904664</v>
      </c>
      <c r="AO69" s="62">
        <f t="shared" ref="AO69:AO132" si="90">$AO$3</f>
        <v>242.84781402593833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7.5333976145384209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5.9180980423870811E-5</v>
      </c>
      <c r="AX69" s="23">
        <f t="shared" si="60"/>
        <v>7.5334567955188447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-1.1368683772161603E-13</v>
      </c>
      <c r="BE69" s="14">
        <f>BD69*VLOOKUP('Données projet'!$B$11,Paramètres!$A$1:$I$89,3,0)*VLOOKUP('Données projet'!$B$11,Paramètres!$A$1:$I$89,5,0)</f>
        <v>-6.7984728957526396E-14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367.11994336501527</v>
      </c>
      <c r="BJ69" s="62">
        <f t="shared" ref="BJ69:BJ132" si="92">$BJ$3</f>
        <v>390.81417197867484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7.7229252204109518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7.9745517236541727E-5</v>
      </c>
      <c r="BS69" s="24">
        <f t="shared" si="63"/>
        <v>7.7230049659281885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-5.6843418860808015E-14</v>
      </c>
      <c r="BZ69" s="14">
        <f>BY69*VLOOKUP('Données projet'!$B$12,Paramètres!$A$1:$I$89,3,0)*VLOOKUP('Données projet'!$B$12,Paramètres!$A$1:$I$89,5,0)</f>
        <v>-3.3992364478763198E-14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396.15172163885632</v>
      </c>
      <c r="CE69" s="62">
        <f t="shared" ref="CE69:CE132" si="94">$CE$3</f>
        <v>624.94568617205198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11.544934523103715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1.6411338817798405E-4</v>
      </c>
      <c r="CN69" s="24">
        <f t="shared" si="66"/>
        <v>11.545098636491893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>
        <f>CT69*VLOOKUP('Données projet'!$B$13,Paramètres!$A$1:$I$89,3,0)*VLOOKUP('Données projet'!$B$13,Paramètres!$A$1:$I$89,5,0)</f>
        <v>0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89.800041997398182</v>
      </c>
      <c r="CZ69" s="62">
        <f t="shared" ref="CZ69:CZ132" si="96">$CZ$3</f>
        <v>286.94570078060917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24.070867069965185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1.3201063391652725E-6</v>
      </c>
      <c r="DI69" s="24">
        <f t="shared" si="69"/>
        <v>24.070868390071524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807.98784880122344</v>
      </c>
      <c r="S70" s="62">
        <f ca="1">AVERAGE(OFFSET($R$3,0,0,'Données projet'!$E$9+1,1))-AVERAGE(OFFSET($H$3,0,0,'Données projet'!$E$9+1,1))</f>
        <v>367.51466260429623</v>
      </c>
      <c r="T70" s="62">
        <f t="shared" si="88"/>
        <v>297.32483725004136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3.1490190672735662E-5</v>
      </c>
      <c r="AC70" s="24">
        <f t="shared" si="57"/>
        <v>3.1490190672735662E-5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2.6602720026858149E-14</v>
      </c>
      <c r="AK70" s="14">
        <f t="shared" si="89"/>
        <v>4.6624771586320878E-13</v>
      </c>
      <c r="AL70" s="22">
        <f t="shared" si="58"/>
        <v>8.583811758418665E-13</v>
      </c>
      <c r="AM70" s="62">
        <f t="shared" si="59"/>
        <v>264.95406730821776</v>
      </c>
      <c r="AN70" s="62">
        <f ca="1">AVERAGE(OFFSET($AM$3,0,0,'Données projet'!$E$10+1,1))-AVERAGE(OFFSET($H$3,0,0,'Données projet'!$E$10+1,1))</f>
        <v>188.94867378904664</v>
      </c>
      <c r="AO70" s="62">
        <f t="shared" si="90"/>
        <v>242.84781402593833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7.3856722822361567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4.1847272574987376E-5</v>
      </c>
      <c r="AX70" s="23">
        <f t="shared" si="60"/>
        <v>7.3857141295087319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-1.1368683772161603E-13</v>
      </c>
      <c r="BE70" s="14">
        <f>BD70*VLOOKUP('Données projet'!$B$11,Paramètres!$A$1:$I$89,3,0)*VLOOKUP('Données projet'!$B$11,Paramètres!$A$1:$I$89,5,0)</f>
        <v>-6.7984728957526396E-14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367.11994336501527</v>
      </c>
      <c r="BJ70" s="62">
        <f t="shared" si="92"/>
        <v>390.81417197867484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7.5714833673579527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5.6388596007187366E-5</v>
      </c>
      <c r="BS70" s="24">
        <f t="shared" si="63"/>
        <v>7.5715397559539594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-5.6843418860808015E-14</v>
      </c>
      <c r="BZ70" s="14">
        <f>BY70*VLOOKUP('Données projet'!$B$12,Paramètres!$A$1:$I$89,3,0)*VLOOKUP('Données projet'!$B$12,Paramètres!$A$1:$I$89,5,0)</f>
        <v>-3.3992364478763198E-14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396.15172163885632</v>
      </c>
      <c r="CE70" s="62">
        <f t="shared" si="94"/>
        <v>624.94568617205198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11.318545398820397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1.1604568966415271E-4</v>
      </c>
      <c r="CN70" s="24">
        <f t="shared" si="66"/>
        <v>11.318661444510061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>
        <f>CT70*VLOOKUP('Données projet'!$B$13,Paramètres!$A$1:$I$89,3,0)*VLOOKUP('Données projet'!$B$13,Paramètres!$A$1:$I$89,5,0)</f>
        <v>0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89.800041997398182</v>
      </c>
      <c r="CZ70" s="62">
        <f t="shared" si="96"/>
        <v>286.94570078060917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23.598852048502376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9.3345614431111275E-7</v>
      </c>
      <c r="DI70" s="24">
        <f t="shared" si="69"/>
        <v>23.598852981958519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824.16329923760372</v>
      </c>
      <c r="S71" s="62">
        <f ca="1">AVERAGE(OFFSET($R$3,0,0,'Données projet'!$E$9+1,1))-AVERAGE(OFFSET($H$3,0,0,'Données projet'!$E$9+1,1))</f>
        <v>367.51466260429623</v>
      </c>
      <c r="T71" s="62">
        <f t="shared" si="88"/>
        <v>297.32483725004136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2.2266927365548756E-5</v>
      </c>
      <c r="AC71" s="24">
        <f t="shared" si="57"/>
        <v>2.2266927365548756E-5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2.6602720026858149E-14</v>
      </c>
      <c r="AK71" s="14">
        <f t="shared" si="89"/>
        <v>4.6624771586320878E-13</v>
      </c>
      <c r="AL71" s="22">
        <f t="shared" si="58"/>
        <v>8.583811758418665E-13</v>
      </c>
      <c r="AM71" s="62">
        <f t="shared" si="59"/>
        <v>265.44638412721969</v>
      </c>
      <c r="AN71" s="62">
        <f ca="1">AVERAGE(OFFSET($AM$3,0,0,'Données projet'!$E$10+1,1))-AVERAGE(OFFSET($H$3,0,0,'Données projet'!$E$10+1,1))</f>
        <v>188.94867378904664</v>
      </c>
      <c r="AO71" s="62">
        <f t="shared" si="90"/>
        <v>242.84781402593833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7.240843753596784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2.9590490211935412E-5</v>
      </c>
      <c r="AX71" s="23">
        <f t="shared" si="60"/>
        <v>7.2408733440869959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-1.1368683772161603E-13</v>
      </c>
      <c r="BE71" s="14">
        <f>BD71*VLOOKUP('Données projet'!$B$11,Paramètres!$A$1:$I$89,3,0)*VLOOKUP('Données projet'!$B$11,Paramètres!$A$1:$I$89,5,0)</f>
        <v>-6.7984728957526396E-14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367.11994336501527</v>
      </c>
      <c r="BJ71" s="62">
        <f t="shared" si="92"/>
        <v>390.81417197867484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7.4230111966729133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3.9872758618270863E-5</v>
      </c>
      <c r="BS71" s="24">
        <f t="shared" si="63"/>
        <v>7.4230510694315317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-5.6843418860808015E-14</v>
      </c>
      <c r="BZ71" s="14">
        <f>BY71*VLOOKUP('Données projet'!$B$12,Paramètres!$A$1:$I$89,3,0)*VLOOKUP('Données projet'!$B$12,Paramètres!$A$1:$I$89,5,0)</f>
        <v>-3.3992364478763198E-14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396.15172163885632</v>
      </c>
      <c r="CE71" s="62">
        <f t="shared" si="94"/>
        <v>624.94568617205198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11.096595627180546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8.205669408899204E-5</v>
      </c>
      <c r="CN71" s="24">
        <f t="shared" si="66"/>
        <v>11.096677683874635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>
        <f>CT71*VLOOKUP('Données projet'!$B$13,Paramètres!$A$1:$I$89,3,0)*VLOOKUP('Données projet'!$B$13,Paramètres!$A$1:$I$89,5,0)</f>
        <v>0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89.800041997398182</v>
      </c>
      <c r="CZ71" s="62">
        <f t="shared" si="96"/>
        <v>286.94570078060917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23.136092953709717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6.6005316958263637E-7</v>
      </c>
      <c r="DI71" s="24">
        <f t="shared" si="69"/>
        <v>23.136093613762888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840.32099556130004</v>
      </c>
      <c r="S72" s="62">
        <f ca="1">AVERAGE(OFFSET($R$3,0,0,'Données projet'!$E$9+1,1))-AVERAGE(OFFSET($H$3,0,0,'Données projet'!$E$9+1,1))</f>
        <v>367.51466260429623</v>
      </c>
      <c r="T72" s="62">
        <f t="shared" si="88"/>
        <v>297.32483725004136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1.5745095336367831E-5</v>
      </c>
      <c r="AC72" s="24">
        <f t="shared" si="57"/>
        <v>1.5745095336367831E-5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2.6602720026858149E-14</v>
      </c>
      <c r="AK72" s="14">
        <f t="shared" si="89"/>
        <v>4.6624771586320878E-13</v>
      </c>
      <c r="AL72" s="22">
        <f t="shared" si="58"/>
        <v>8.583811758418665E-13</v>
      </c>
      <c r="AM72" s="62">
        <f t="shared" si="59"/>
        <v>265.93016035006741</v>
      </c>
      <c r="AN72" s="62">
        <f ca="1">AVERAGE(OFFSET($AM$3,0,0,'Données projet'!$E$10+1,1))-AVERAGE(OFFSET($H$3,0,0,'Données projet'!$E$10+1,1))</f>
        <v>188.94867378904664</v>
      </c>
      <c r="AO72" s="62">
        <f t="shared" si="90"/>
        <v>242.84781402593833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7.0988552240673499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2.0923636287493691E-5</v>
      </c>
      <c r="AX72" s="23">
        <f t="shared" si="60"/>
        <v>7.0988761477036375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-1.1368683772161603E-13</v>
      </c>
      <c r="BE72" s="14">
        <f>BD72*VLOOKUP('Données projet'!$B$11,Paramètres!$A$1:$I$89,3,0)*VLOOKUP('Données projet'!$B$11,Paramètres!$A$1:$I$89,5,0)</f>
        <v>-6.7984728957526396E-14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367.11994336501527</v>
      </c>
      <c r="BJ72" s="62">
        <f t="shared" si="92"/>
        <v>390.81417197867484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7.2774504746959252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2.8194298003593683E-5</v>
      </c>
      <c r="BS72" s="24">
        <f t="shared" si="63"/>
        <v>7.277478668993929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-5.6843418860808015E-14</v>
      </c>
      <c r="BZ72" s="14">
        <f>BY72*VLOOKUP('Données projet'!$B$12,Paramètres!$A$1:$I$89,3,0)*VLOOKUP('Données projet'!$B$12,Paramètres!$A$1:$I$89,5,0)</f>
        <v>-3.3992364478763198E-14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396.15172163885632</v>
      </c>
      <c r="CE72" s="62">
        <f t="shared" si="94"/>
        <v>624.94568617205198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10.878998155186558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5.8022844832076368E-5</v>
      </c>
      <c r="CN72" s="24">
        <f t="shared" si="66"/>
        <v>10.879056178031391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>
        <f>CT72*VLOOKUP('Données projet'!$B$13,Paramètres!$A$1:$I$89,3,0)*VLOOKUP('Données projet'!$B$13,Paramètres!$A$1:$I$89,5,0)</f>
        <v>0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89.800041997398182</v>
      </c>
      <c r="CZ72" s="62">
        <f t="shared" si="96"/>
        <v>286.94570078060917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22.682408282510764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4.6672807215555643E-7</v>
      </c>
      <c r="DI72" s="24">
        <f t="shared" si="69"/>
        <v>22.682408749238835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856.46137262503021</v>
      </c>
      <c r="S73" s="62">
        <f ca="1">AVERAGE(OFFSET($R$3,0,0,'Données projet'!$E$9+1,1))-AVERAGE(OFFSET($H$3,0,0,'Données projet'!$E$9+1,1))</f>
        <v>367.51466260429623</v>
      </c>
      <c r="T73" s="62">
        <f t="shared" si="88"/>
        <v>297.32483725004136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1.1133463682774378E-5</v>
      </c>
      <c r="AC73" s="24">
        <f t="shared" si="57"/>
        <v>1.1133463682774378E-5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2.6602720026858149E-14</v>
      </c>
      <c r="AK73" s="14">
        <f t="shared" si="89"/>
        <v>4.6624771586320878E-13</v>
      </c>
      <c r="AL73" s="22">
        <f t="shared" si="58"/>
        <v>8.583811758418665E-13</v>
      </c>
      <c r="AM73" s="62">
        <f t="shared" si="59"/>
        <v>266.40554413701034</v>
      </c>
      <c r="AN73" s="62">
        <f ca="1">AVERAGE(OFFSET($AM$3,0,0,'Données projet'!$E$10+1,1))-AVERAGE(OFFSET($H$3,0,0,'Données projet'!$E$10+1,1))</f>
        <v>188.94867378904664</v>
      </c>
      <c r="AO73" s="62">
        <f t="shared" si="90"/>
        <v>242.84781402593833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6.9596510029975365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1.4795245105967708E-5</v>
      </c>
      <c r="AX73" s="23">
        <f t="shared" si="60"/>
        <v>6.9596657982426429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-1.1368683772161603E-13</v>
      </c>
      <c r="BE73" s="14">
        <f>BD73*VLOOKUP('Données projet'!$B$11,Paramètres!$A$1:$I$89,3,0)*VLOOKUP('Données projet'!$B$11,Paramètres!$A$1:$I$89,5,0)</f>
        <v>-6.7984728957526396E-14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367.11994336501527</v>
      </c>
      <c r="BJ73" s="62">
        <f t="shared" si="92"/>
        <v>390.81417197867484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7.1347441096936324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1.9936379309135432E-5</v>
      </c>
      <c r="BS73" s="24">
        <f t="shared" si="63"/>
        <v>7.1347640460729416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-5.6843418860808015E-14</v>
      </c>
      <c r="BZ73" s="14">
        <f>BY73*VLOOKUP('Données projet'!$B$12,Paramètres!$A$1:$I$89,3,0)*VLOOKUP('Données projet'!$B$12,Paramètres!$A$1:$I$89,5,0)</f>
        <v>-3.3992364478763198E-14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396.15172163885632</v>
      </c>
      <c r="CE73" s="62">
        <f t="shared" si="94"/>
        <v>624.94568617205198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10.66566763689702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4.1028347044496027E-5</v>
      </c>
      <c r="CN73" s="24">
        <f t="shared" si="66"/>
        <v>10.665708665244065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>
        <f>CT73*VLOOKUP('Données projet'!$B$13,Paramètres!$A$1:$I$89,3,0)*VLOOKUP('Données projet'!$B$13,Paramètres!$A$1:$I$89,5,0)</f>
        <v>0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89.800041997398182</v>
      </c>
      <c r="CZ73" s="62">
        <f t="shared" si="96"/>
        <v>286.94570078060917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22.237620090993698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3.3002658479131824E-7</v>
      </c>
      <c r="DI73" s="24">
        <f t="shared" si="69"/>
        <v>22.237620421020281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817.940456546929</v>
      </c>
      <c r="S74" s="62">
        <f ca="1">AVERAGE(OFFSET($R$3,0,0,'Données projet'!$E$9+1,1))-AVERAGE(OFFSET($H$3,0,0,'Données projet'!$E$9+1,1))</f>
        <v>367.51466260429623</v>
      </c>
      <c r="T74" s="62">
        <f t="shared" si="88"/>
        <v>297.32483725004136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7.8725476681839155E-6</v>
      </c>
      <c r="AC74" s="24">
        <f t="shared" si="57"/>
        <v>7.8725476681839155E-6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2.6602720026858149E-14</v>
      </c>
      <c r="AK74" s="14">
        <f t="shared" si="89"/>
        <v>4.6624771586320878E-13</v>
      </c>
      <c r="AL74" s="22">
        <f t="shared" si="58"/>
        <v>8.583811758418665E-13</v>
      </c>
      <c r="AM74" s="62">
        <f t="shared" si="59"/>
        <v>266.8726810780488</v>
      </c>
      <c r="AN74" s="62">
        <f ca="1">AVERAGE(OFFSET($AM$3,0,0,'Données projet'!$E$10+1,1))-AVERAGE(OFFSET($H$3,0,0,'Données projet'!$E$10+1,1))</f>
        <v>188.94867378904664</v>
      </c>
      <c r="AO74" s="62">
        <f t="shared" si="90"/>
        <v>242.84781402593833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6.823176491796711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1.0461818143746847E-5</v>
      </c>
      <c r="AX74" s="23">
        <f t="shared" si="60"/>
        <v>6.8231869536148544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-1.1368683772161603E-13</v>
      </c>
      <c r="BE74" s="14">
        <f>BD74*VLOOKUP('Données projet'!$B$11,Paramètres!$A$1:$I$89,3,0)*VLOOKUP('Données projet'!$B$11,Paramètres!$A$1:$I$89,5,0)</f>
        <v>-6.7984728957526396E-14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367.11994336501527</v>
      </c>
      <c r="BJ74" s="62">
        <f t="shared" si="92"/>
        <v>390.81417197867484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6.994836129466746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1.4097149001796841E-5</v>
      </c>
      <c r="BS74" s="24">
        <f t="shared" si="63"/>
        <v>6.994850226615748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-5.6843418860808015E-14</v>
      </c>
      <c r="BZ74" s="14">
        <f>BY74*VLOOKUP('Données projet'!$B$12,Paramètres!$A$1:$I$89,3,0)*VLOOKUP('Données projet'!$B$12,Paramètres!$A$1:$I$89,5,0)</f>
        <v>-3.3992364478763198E-14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396.15172163885632</v>
      </c>
      <c r="CE74" s="62">
        <f t="shared" si="94"/>
        <v>624.94568617205198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10.456520399952371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2.9011422416038187E-5</v>
      </c>
      <c r="CN74" s="24">
        <f t="shared" si="66"/>
        <v>10.456549411374787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>
        <f>CT74*VLOOKUP('Données projet'!$B$13,Paramètres!$A$1:$I$89,3,0)*VLOOKUP('Données projet'!$B$13,Paramètres!$A$1:$I$89,5,0)</f>
        <v>0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89.800041997398182</v>
      </c>
      <c r="CZ74" s="62">
        <f t="shared" si="96"/>
        <v>286.94570078060917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21.801553924618272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2.3336403607777827E-7</v>
      </c>
      <c r="DI74" s="24">
        <f t="shared" si="69"/>
        <v>21.801554157982309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832.93097979380696</v>
      </c>
      <c r="S75" s="62">
        <f ca="1">AVERAGE(OFFSET($R$3,0,0,'Données projet'!$E$9+1,1))-AVERAGE(OFFSET($H$3,0,0,'Données projet'!$E$9+1,1))</f>
        <v>367.51466260429623</v>
      </c>
      <c r="T75" s="62">
        <f t="shared" si="88"/>
        <v>297.32483725004136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5.5667318413871891E-6</v>
      </c>
      <c r="AC75" s="24">
        <f t="shared" si="57"/>
        <v>5.5667318413871891E-6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2.6602720026858149E-14</v>
      </c>
      <c r="AK75" s="14">
        <f t="shared" si="89"/>
        <v>4.6624771586320878E-13</v>
      </c>
      <c r="AL75" s="22">
        <f t="shared" si="58"/>
        <v>8.583811758418665E-13</v>
      </c>
      <c r="AM75" s="62">
        <f t="shared" si="59"/>
        <v>267.33171423752196</v>
      </c>
      <c r="AN75" s="62">
        <f ca="1">AVERAGE(OFFSET($AM$3,0,0,'Données projet'!$E$10+1,1))-AVERAGE(OFFSET($H$3,0,0,'Données projet'!$E$10+1,1))</f>
        <v>188.94867378904664</v>
      </c>
      <c r="AO75" s="62">
        <f t="shared" si="90"/>
        <v>242.84781402593833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6.6893781625193007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7.3976225529838556E-6</v>
      </c>
      <c r="AX75" s="23">
        <f t="shared" si="60"/>
        <v>6.6893855601418535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-1.1368683772161603E-13</v>
      </c>
      <c r="BE75" s="14">
        <f>BD75*VLOOKUP('Données projet'!$B$11,Paramètres!$A$1:$I$89,3,0)*VLOOKUP('Données projet'!$B$11,Paramètres!$A$1:$I$89,5,0)</f>
        <v>-6.7984728957526396E-14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367.11994336501527</v>
      </c>
      <c r="BJ75" s="62">
        <f t="shared" si="92"/>
        <v>390.81417197867484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6.8576716593966669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9.9681896545677159E-6</v>
      </c>
      <c r="BS75" s="24">
        <f t="shared" si="63"/>
        <v>6.857681627586321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-5.6843418860808015E-14</v>
      </c>
      <c r="BZ75" s="14">
        <f>BY75*VLOOKUP('Données projet'!$B$12,Paramètres!$A$1:$I$89,3,0)*VLOOKUP('Données projet'!$B$12,Paramètres!$A$1:$I$89,5,0)</f>
        <v>-3.3992364478763198E-14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396.15172163885632</v>
      </c>
      <c r="CE75" s="62">
        <f t="shared" si="94"/>
        <v>624.94568617205198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10.251474412756989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2.0514173522248017E-5</v>
      </c>
      <c r="CN75" s="24">
        <f t="shared" si="66"/>
        <v>10.251494926930512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>
        <f>CT75*VLOOKUP('Données projet'!$B$13,Paramètres!$A$1:$I$89,3,0)*VLOOKUP('Données projet'!$B$13,Paramètres!$A$1:$I$89,5,0)</f>
        <v>0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89.800041997398182</v>
      </c>
      <c r="CZ75" s="62">
        <f t="shared" si="96"/>
        <v>286.94570078060917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21.374038749791371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1.6501329239565915E-7</v>
      </c>
      <c r="DI75" s="24">
        <f t="shared" si="69"/>
        <v>21.374038914804665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847.90573543037658</v>
      </c>
      <c r="S76" s="62">
        <f ca="1">AVERAGE(OFFSET($R$3,0,0,'Données projet'!$E$9+1,1))-AVERAGE(OFFSET($H$3,0,0,'Données projet'!$E$9+1,1))</f>
        <v>367.51466260429623</v>
      </c>
      <c r="T76" s="62">
        <f t="shared" si="88"/>
        <v>297.32483725004136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3.9362738340919578E-6</v>
      </c>
      <c r="AC76" s="24">
        <f t="shared" si="57"/>
        <v>3.9362738340919578E-6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2.6602720026858149E-14</v>
      </c>
      <c r="AK76" s="14">
        <f t="shared" si="89"/>
        <v>4.6624771586320878E-13</v>
      </c>
      <c r="AL76" s="22">
        <f t="shared" si="58"/>
        <v>8.583811758418665E-13</v>
      </c>
      <c r="AM76" s="62">
        <f t="shared" si="59"/>
        <v>267.78278419792264</v>
      </c>
      <c r="AN76" s="62">
        <f ca="1">AVERAGE(OFFSET($AM$3,0,0,'Données projet'!$E$10+1,1))-AVERAGE(OFFSET($H$3,0,0,'Données projet'!$E$10+1,1))</f>
        <v>188.94867378904664</v>
      </c>
      <c r="AO76" s="62">
        <f t="shared" si="90"/>
        <v>242.84781402593833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6.5582035368700984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5.2309090718734245E-6</v>
      </c>
      <c r="AX76" s="23">
        <f t="shared" si="60"/>
        <v>6.5582087677791705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-1.1368683772161603E-13</v>
      </c>
      <c r="BE76" s="14">
        <f>BD76*VLOOKUP('Données projet'!$B$11,Paramètres!$A$1:$I$89,3,0)*VLOOKUP('Données projet'!$B$11,Paramètres!$A$1:$I$89,5,0)</f>
        <v>-6.7984728957526396E-14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367.11994336501527</v>
      </c>
      <c r="BJ76" s="62">
        <f t="shared" si="92"/>
        <v>390.81417197867484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6.7231969009225967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7.0485745008984207E-6</v>
      </c>
      <c r="BS76" s="24">
        <f t="shared" si="63"/>
        <v>6.7232039494970977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-5.6843418860808015E-14</v>
      </c>
      <c r="BZ76" s="14">
        <f>BY76*VLOOKUP('Données projet'!$B$12,Paramètres!$A$1:$I$89,3,0)*VLOOKUP('Données projet'!$B$12,Paramètres!$A$1:$I$89,5,0)</f>
        <v>-3.3992364478763198E-14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396.15172163885632</v>
      </c>
      <c r="CE76" s="62">
        <f t="shared" si="94"/>
        <v>624.94568617205198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10.050449252304805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1.4505711208019095E-5</v>
      </c>
      <c r="CN76" s="24">
        <f t="shared" si="66"/>
        <v>10.050463758016013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>
        <f>CT76*VLOOKUP('Données projet'!$B$13,Paramètres!$A$1:$I$89,3,0)*VLOOKUP('Données projet'!$B$13,Paramètres!$A$1:$I$89,5,0)</f>
        <v>0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89.800041997398182</v>
      </c>
      <c r="CZ76" s="62">
        <f t="shared" si="96"/>
        <v>286.94570078060917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20.954906886784315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1.1668201803888915E-7</v>
      </c>
      <c r="DI76" s="24">
        <f t="shared" si="69"/>
        <v>20.954907003466332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862.86508442263937</v>
      </c>
      <c r="S77" s="62">
        <f ca="1">AVERAGE(OFFSET($R$3,0,0,'Données projet'!$E$9+1,1))-AVERAGE(OFFSET($H$3,0,0,'Données projet'!$E$9+1,1))</f>
        <v>367.51466260429623</v>
      </c>
      <c r="T77" s="62">
        <f t="shared" si="88"/>
        <v>297.32483725004136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2.7833659206935946E-6</v>
      </c>
      <c r="AC77" s="24">
        <f t="shared" si="57"/>
        <v>2.7833659206935946E-6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2.6602720026858149E-14</v>
      </c>
      <c r="AK77" s="14">
        <f t="shared" si="89"/>
        <v>4.6624771586320878E-13</v>
      </c>
      <c r="AL77" s="22">
        <f t="shared" si="58"/>
        <v>8.583811758418665E-13</v>
      </c>
      <c r="AM77" s="62">
        <f t="shared" si="59"/>
        <v>268.22602910295171</v>
      </c>
      <c r="AN77" s="62">
        <f ca="1">AVERAGE(OFFSET($AM$3,0,0,'Données projet'!$E$10+1,1))-AVERAGE(OFFSET($H$3,0,0,'Données projet'!$E$10+1,1))</f>
        <v>188.94867378904664</v>
      </c>
      <c r="AO77" s="62">
        <f t="shared" si="90"/>
        <v>242.84781402593833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6.4296011656212553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3.6988112764919282E-6</v>
      </c>
      <c r="AX77" s="23">
        <f t="shared" si="60"/>
        <v>6.4296048644325321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-1.1368683772161603E-13</v>
      </c>
      <c r="BE77" s="14">
        <f>BD77*VLOOKUP('Données projet'!$B$11,Paramètres!$A$1:$I$89,3,0)*VLOOKUP('Données projet'!$B$11,Paramètres!$A$1:$I$89,5,0)</f>
        <v>-6.7984728957526396E-14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367.11994336501527</v>
      </c>
      <c r="BJ77" s="62">
        <f t="shared" si="92"/>
        <v>390.81417197867484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6.591359110440699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4.9840948272838579E-6</v>
      </c>
      <c r="BS77" s="24">
        <f t="shared" si="63"/>
        <v>6.5913640945355265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-5.6843418860808015E-14</v>
      </c>
      <c r="BZ77" s="14">
        <f>BY77*VLOOKUP('Données projet'!$B$12,Paramètres!$A$1:$I$89,3,0)*VLOOKUP('Données projet'!$B$12,Paramètres!$A$1:$I$89,5,0)</f>
        <v>-3.3992364478763198E-14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396.15172163885632</v>
      </c>
      <c r="CE77" s="62">
        <f t="shared" si="94"/>
        <v>624.94568617205198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9.853366072635847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1.0257086761124008E-5</v>
      </c>
      <c r="CN77" s="24">
        <f t="shared" si="66"/>
        <v>9.8533763297226074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>
        <f>CT77*VLOOKUP('Données projet'!$B$13,Paramètres!$A$1:$I$89,3,0)*VLOOKUP('Données projet'!$B$13,Paramètres!$A$1:$I$89,5,0)</f>
        <v>0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89.800041997398182</v>
      </c>
      <c r="CZ77" s="62">
        <f t="shared" si="96"/>
        <v>286.94570078060917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20.543993943965635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8.2506646197829586E-8</v>
      </c>
      <c r="DI77" s="24">
        <f t="shared" si="69"/>
        <v>20.54399402647228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877.80937357948528</v>
      </c>
      <c r="S78" s="62">
        <f ca="1">AVERAGE(OFFSET($R$3,0,0,'Données projet'!$E$9+1,1))-AVERAGE(OFFSET($H$3,0,0,'Données projet'!$E$9+1,1))</f>
        <v>367.51466260429623</v>
      </c>
      <c r="T78" s="62">
        <f t="shared" si="88"/>
        <v>297.32483725004136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1.9681369170459789E-6</v>
      </c>
      <c r="AC78" s="24">
        <f t="shared" si="57"/>
        <v>1.9681369170459789E-6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2.6602720026858149E-14</v>
      </c>
      <c r="AK78" s="14">
        <f t="shared" si="89"/>
        <v>4.6624771586320878E-13</v>
      </c>
      <c r="AL78" s="22">
        <f t="shared" si="58"/>
        <v>8.583811758418665E-13</v>
      </c>
      <c r="AM78" s="62">
        <f t="shared" si="59"/>
        <v>268.66158469982565</v>
      </c>
      <c r="AN78" s="62">
        <f ca="1">AVERAGE(OFFSET($AM$3,0,0,'Données projet'!$E$10+1,1))-AVERAGE(OFFSET($H$3,0,0,'Données projet'!$E$10+1,1))</f>
        <v>188.94867378904664</v>
      </c>
      <c r="AO78" s="62">
        <f t="shared" si="90"/>
        <v>242.84781402593833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6.3035206084329012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2.6154545359367127E-6</v>
      </c>
      <c r="AX78" s="23">
        <f t="shared" si="60"/>
        <v>6.3035232238874368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-1.1368683772161603E-13</v>
      </c>
      <c r="BE78" s="14">
        <f>BD78*VLOOKUP('Données projet'!$B$11,Paramètres!$A$1:$I$89,3,0)*VLOOKUP('Données projet'!$B$11,Paramètres!$A$1:$I$89,5,0)</f>
        <v>-6.7984728957526396E-14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367.11994336501527</v>
      </c>
      <c r="BJ78" s="62">
        <f t="shared" si="92"/>
        <v>390.81417197867484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6.4621065786170391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3.5242872504492104E-6</v>
      </c>
      <c r="BS78" s="24">
        <f t="shared" si="63"/>
        <v>6.4621101029042896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-5.6843418860808015E-14</v>
      </c>
      <c r="BZ78" s="14">
        <f>BY78*VLOOKUP('Données projet'!$B$12,Paramètres!$A$1:$I$89,3,0)*VLOOKUP('Données projet'!$B$12,Paramètres!$A$1:$I$89,5,0)</f>
        <v>-3.3992364478763198E-14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396.15172163885632</v>
      </c>
      <c r="CE78" s="62">
        <f t="shared" si="94"/>
        <v>624.94568617205198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9.6601475739113276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7.2528556040095477E-6</v>
      </c>
      <c r="CN78" s="24">
        <f t="shared" si="66"/>
        <v>9.6601548267669308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>
        <f>CT78*VLOOKUP('Données projet'!$B$13,Paramètres!$A$1:$I$89,3,0)*VLOOKUP('Données projet'!$B$13,Paramètres!$A$1:$I$89,5,0)</f>
        <v>0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89.800041997398182</v>
      </c>
      <c r="CZ78" s="62">
        <f t="shared" si="96"/>
        <v>286.94570078060917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20.141138753323482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5.834100901944458E-8</v>
      </c>
      <c r="DI78" s="24">
        <f t="shared" si="69"/>
        <v>20.14113881166449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838.51161983006114</v>
      </c>
      <c r="S79" s="62">
        <f ca="1">AVERAGE(OFFSET($R$3,0,0,'Données projet'!$E$9+1,1))-AVERAGE(OFFSET($H$3,0,0,'Données projet'!$E$9+1,1))</f>
        <v>367.51466260429623</v>
      </c>
      <c r="T79" s="62">
        <f t="shared" si="88"/>
        <v>297.32483725004136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1.3916829603467973E-6</v>
      </c>
      <c r="AC79" s="24">
        <f t="shared" si="57"/>
        <v>1.3916829603467973E-6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2.6602720026858149E-14</v>
      </c>
      <c r="AK79" s="14">
        <f t="shared" si="89"/>
        <v>4.6624771586320878E-13</v>
      </c>
      <c r="AL79" s="22">
        <f t="shared" si="58"/>
        <v>8.583811758418665E-13</v>
      </c>
      <c r="AM79" s="62">
        <f t="shared" si="59"/>
        <v>269.08958438085028</v>
      </c>
      <c r="AN79" s="62">
        <f ca="1">AVERAGE(OFFSET($AM$3,0,0,'Données projet'!$E$10+1,1))-AVERAGE(OFFSET($H$3,0,0,'Données projet'!$E$10+1,1))</f>
        <v>188.94867378904664</v>
      </c>
      <c r="AO79" s="62">
        <f t="shared" si="90"/>
        <v>242.84781402593833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6.1799124140694639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1.8494056382459643E-6</v>
      </c>
      <c r="AX79" s="23">
        <f t="shared" si="60"/>
        <v>6.1799142634751023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-1.1368683772161603E-13</v>
      </c>
      <c r="BE79" s="14">
        <f>BD79*VLOOKUP('Données projet'!$B$11,Paramètres!$A$1:$I$89,3,0)*VLOOKUP('Données projet'!$B$11,Paramètres!$A$1:$I$89,5,0)</f>
        <v>-6.7984728957526396E-14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367.11994336501527</v>
      </c>
      <c r="BJ79" s="62">
        <f t="shared" si="92"/>
        <v>390.81417197867484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6.3353886101061816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2.492047413641929E-6</v>
      </c>
      <c r="BS79" s="24">
        <f t="shared" si="63"/>
        <v>6.3353911021535954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-5.6843418860808015E-14</v>
      </c>
      <c r="BZ79" s="14">
        <f>BY79*VLOOKUP('Données projet'!$B$12,Paramètres!$A$1:$I$89,3,0)*VLOOKUP('Données projet'!$B$12,Paramètres!$A$1:$I$89,5,0)</f>
        <v>-3.3992364478763198E-14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396.15172163885632</v>
      </c>
      <c r="CE79" s="62">
        <f t="shared" si="94"/>
        <v>624.94568617205198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9.4707179720951498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5.1285433805620042E-6</v>
      </c>
      <c r="CN79" s="24">
        <f t="shared" si="66"/>
        <v>9.47072310063853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>
        <f>CT79*VLOOKUP('Données projet'!$B$13,Paramètres!$A$1:$I$89,3,0)*VLOOKUP('Données projet'!$B$13,Paramètres!$A$1:$I$89,5,0)</f>
        <v>0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89.800041997398182</v>
      </c>
      <c r="CZ79" s="62">
        <f t="shared" si="96"/>
        <v>286.94570078060917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19.746183307252416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4.12533230989148E-8</v>
      </c>
      <c r="DI79" s="24">
        <f t="shared" si="69"/>
        <v>19.746183348505738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852.68975517110448</v>
      </c>
      <c r="S80" s="62">
        <f ca="1">AVERAGE(OFFSET($R$3,0,0,'Données projet'!$E$9+1,1))-AVERAGE(OFFSET($H$3,0,0,'Données projet'!$E$9+1,1))</f>
        <v>367.51466260429623</v>
      </c>
      <c r="T80" s="62">
        <f t="shared" si="88"/>
        <v>297.32483725004136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9.8406845852298944E-7</v>
      </c>
      <c r="AC80" s="24">
        <f t="shared" si="57"/>
        <v>9.8406845852298944E-7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2.6602720026858149E-14</v>
      </c>
      <c r="AK80" s="14">
        <f t="shared" si="89"/>
        <v>4.6624771586320878E-13</v>
      </c>
      <c r="AL80" s="22">
        <f t="shared" si="58"/>
        <v>8.583811758418665E-13</v>
      </c>
      <c r="AM80" s="62">
        <f t="shared" si="59"/>
        <v>269.51015922427314</v>
      </c>
      <c r="AN80" s="62">
        <f ca="1">AVERAGE(OFFSET($AM$3,0,0,'Données projet'!$E$10+1,1))-AVERAGE(OFFSET($H$3,0,0,'Données projet'!$E$10+1,1))</f>
        <v>188.94867378904664</v>
      </c>
      <c r="AO80" s="62">
        <f t="shared" si="90"/>
        <v>242.84781402593833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6.0587281010039398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1.3077272679683566E-6</v>
      </c>
      <c r="AX80" s="23">
        <f t="shared" si="60"/>
        <v>6.0587294087312076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-1.1368683772161603E-13</v>
      </c>
      <c r="BE80" s="14">
        <f>BD80*VLOOKUP('Données projet'!$B$11,Paramètres!$A$1:$I$89,3,0)*VLOOKUP('Données projet'!$B$11,Paramètres!$A$1:$I$89,5,0)</f>
        <v>-6.7984728957526396E-14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367.11994336501527</v>
      </c>
      <c r="BJ80" s="62">
        <f t="shared" si="92"/>
        <v>390.81417197867484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6.2111555036674932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1.7621436252246052E-6</v>
      </c>
      <c r="BS80" s="24">
        <f t="shared" si="63"/>
        <v>6.211157265811118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-5.6843418860808015E-14</v>
      </c>
      <c r="BZ80" s="14">
        <f>BY80*VLOOKUP('Données projet'!$B$12,Paramètres!$A$1:$I$89,3,0)*VLOOKUP('Données projet'!$B$12,Paramètres!$A$1:$I$89,5,0)</f>
        <v>-3.3992364478763198E-14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396.15172163885632</v>
      </c>
      <c r="CE80" s="62">
        <f t="shared" si="94"/>
        <v>624.94568617205198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9.2850029692299376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3.6264278020047738E-6</v>
      </c>
      <c r="CN80" s="24">
        <f t="shared" si="66"/>
        <v>9.2850065956577392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>
        <f>CT80*VLOOKUP('Données projet'!$B$13,Paramètres!$A$1:$I$89,3,0)*VLOOKUP('Données projet'!$B$13,Paramètres!$A$1:$I$89,5,0)</f>
        <v>0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89.800041997398182</v>
      </c>
      <c r="CZ80" s="62">
        <f t="shared" si="96"/>
        <v>286.94570078060917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19.358972696579769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2.9170504509722297E-8</v>
      </c>
      <c r="DI80" s="24">
        <f t="shared" si="69"/>
        <v>19.358972725750274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866.8538307678042</v>
      </c>
      <c r="S81" s="62">
        <f ca="1">AVERAGE(OFFSET($R$3,0,0,'Données projet'!$E$9+1,1))-AVERAGE(OFFSET($H$3,0,0,'Données projet'!$E$9+1,1))</f>
        <v>367.51466260429623</v>
      </c>
      <c r="T81" s="62">
        <f t="shared" si="88"/>
        <v>297.32483725004136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6.9584148017339864E-7</v>
      </c>
      <c r="AC81" s="24">
        <f t="shared" si="57"/>
        <v>6.9584148017339864E-7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2.6602720026858149E-14</v>
      </c>
      <c r="AK81" s="14">
        <f t="shared" si="89"/>
        <v>4.6624771586320878E-13</v>
      </c>
      <c r="AL81" s="22">
        <f t="shared" si="58"/>
        <v>8.583811758418665E-13</v>
      </c>
      <c r="AM81" s="62">
        <f t="shared" si="59"/>
        <v>269.92343803442708</v>
      </c>
      <c r="AN81" s="62">
        <f ca="1">AVERAGE(OFFSET($AM$3,0,0,'Données projet'!$E$10+1,1))-AVERAGE(OFFSET($H$3,0,0,'Données projet'!$E$10+1,1))</f>
        <v>188.94867378904664</v>
      </c>
      <c r="AO81" s="62">
        <f t="shared" si="90"/>
        <v>242.84781402593833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5.9399201384024982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9.2470281912298238E-7</v>
      </c>
      <c r="AX81" s="23">
        <f t="shared" si="60"/>
        <v>5.9399210631053174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-1.1368683772161603E-13</v>
      </c>
      <c r="BE81" s="14">
        <f>BD81*VLOOKUP('Données projet'!$B$11,Paramètres!$A$1:$I$89,3,0)*VLOOKUP('Données projet'!$B$11,Paramètres!$A$1:$I$89,5,0)</f>
        <v>-6.7984728957526396E-14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367.11994336501527</v>
      </c>
      <c r="BJ81" s="62">
        <f t="shared" si="92"/>
        <v>390.81417197867484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6.0893585326713549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1.2460237068209645E-6</v>
      </c>
      <c r="BS81" s="24">
        <f t="shared" si="63"/>
        <v>6.0893597786950613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-5.6843418860808015E-14</v>
      </c>
      <c r="BZ81" s="14">
        <f>BY81*VLOOKUP('Données projet'!$B$12,Paramètres!$A$1:$I$89,3,0)*VLOOKUP('Données projet'!$B$12,Paramètres!$A$1:$I$89,5,0)</f>
        <v>-3.3992364478763198E-14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396.15172163885632</v>
      </c>
      <c r="CE81" s="62">
        <f t="shared" si="94"/>
        <v>624.94568617205198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9.1029297242959455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2.5642716902810021E-6</v>
      </c>
      <c r="CN81" s="24">
        <f t="shared" si="66"/>
        <v>9.1029322885676365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>
        <f>CT81*VLOOKUP('Données projet'!$B$13,Paramètres!$A$1:$I$89,3,0)*VLOOKUP('Données projet'!$B$13,Paramètres!$A$1:$I$89,5,0)</f>
        <v>0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89.800041997398182</v>
      </c>
      <c r="CZ81" s="62">
        <f t="shared" si="96"/>
        <v>286.94570078060917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18.979355049807261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2.0626661549457403E-8</v>
      </c>
      <c r="DI81" s="24">
        <f t="shared" si="69"/>
        <v>18.979355070433922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881.00415088284853</v>
      </c>
      <c r="S82" s="62">
        <f ca="1">AVERAGE(OFFSET($R$3,0,0,'Données projet'!$E$9+1,1))-AVERAGE(OFFSET($H$3,0,0,'Données projet'!$E$9+1,1))</f>
        <v>367.51466260429623</v>
      </c>
      <c r="T82" s="62">
        <f t="shared" si="88"/>
        <v>297.32483725004136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4.9203422926149472E-7</v>
      </c>
      <c r="AC82" s="24">
        <f t="shared" si="57"/>
        <v>4.9203422926149472E-7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2.6602720026858149E-14</v>
      </c>
      <c r="AK82" s="14">
        <f t="shared" si="89"/>
        <v>4.6624771586320878E-13</v>
      </c>
      <c r="AL82" s="22">
        <f t="shared" si="58"/>
        <v>8.583811758418665E-13</v>
      </c>
      <c r="AM82" s="62">
        <f t="shared" si="59"/>
        <v>270.3295473811778</v>
      </c>
      <c r="AN82" s="62">
        <f ca="1">AVERAGE(OFFSET($AM$3,0,0,'Données projet'!$E$10+1,1))-AVERAGE(OFFSET($H$3,0,0,'Données projet'!$E$10+1,1))</f>
        <v>188.94867378904664</v>
      </c>
      <c r="AO82" s="62">
        <f t="shared" si="90"/>
        <v>242.84781402593833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5.8234419274819684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6.5386363398417838E-7</v>
      </c>
      <c r="AX82" s="23">
        <f t="shared" si="60"/>
        <v>5.8234425813456028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-1.1368683772161603E-13</v>
      </c>
      <c r="BE82" s="14">
        <f>BD82*VLOOKUP('Données projet'!$B$11,Paramètres!$A$1:$I$89,3,0)*VLOOKUP('Données projet'!$B$11,Paramètres!$A$1:$I$89,5,0)</f>
        <v>-6.7984728957526396E-14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367.11994336501527</v>
      </c>
      <c r="BJ82" s="62">
        <f t="shared" si="92"/>
        <v>390.81417197867484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5.9699499259876339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8.8107181261230259E-7</v>
      </c>
      <c r="BS82" s="24">
        <f t="shared" si="63"/>
        <v>5.9699508070594467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-5.6843418860808015E-14</v>
      </c>
      <c r="BZ82" s="14">
        <f>BY82*VLOOKUP('Données projet'!$B$12,Paramètres!$A$1:$I$89,3,0)*VLOOKUP('Données projet'!$B$12,Paramètres!$A$1:$I$89,5,0)</f>
        <v>-3.3992364478763198E-14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396.15172163885632</v>
      </c>
      <c r="CE82" s="62">
        <f t="shared" si="94"/>
        <v>624.94568617205198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8.9244268246413956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1.8132139010023869E-6</v>
      </c>
      <c r="CN82" s="24">
        <f t="shared" si="66"/>
        <v>8.9244286378552964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>
        <f>CT82*VLOOKUP('Données projet'!$B$13,Paramètres!$A$1:$I$89,3,0)*VLOOKUP('Données projet'!$B$13,Paramètres!$A$1:$I$89,5,0)</f>
        <v>0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89.800041997398182</v>
      </c>
      <c r="CZ82" s="62">
        <f t="shared" si="96"/>
        <v>286.94570078060917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18.60718147354406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1.458525225486115E-8</v>
      </c>
      <c r="DI82" s="24">
        <f t="shared" si="69"/>
        <v>18.607181488129314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895.14100893618843</v>
      </c>
      <c r="S83" s="62">
        <f ca="1">AVERAGE(OFFSET($R$3,0,0,'Données projet'!$E$9+1,1))-AVERAGE(OFFSET($H$3,0,0,'Données projet'!$E$9+1,1))</f>
        <v>367.51466260429623</v>
      </c>
      <c r="T83" s="62">
        <f t="shared" si="88"/>
        <v>297.32483725004136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320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3.4792074008669932E-7</v>
      </c>
      <c r="AC83" s="24">
        <f t="shared" si="57"/>
        <v>3.4792074008669932E-7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2.6602720026858149E-14</v>
      </c>
      <c r="AK83" s="14">
        <f t="shared" si="89"/>
        <v>4.6624771586320878E-13</v>
      </c>
      <c r="AL83" s="22">
        <f t="shared" si="58"/>
        <v>8.583811758418665E-13</v>
      </c>
      <c r="AM83" s="62">
        <f t="shared" si="59"/>
        <v>270.72861163868697</v>
      </c>
      <c r="AN83" s="62">
        <f ca="1">AVERAGE(OFFSET($AM$3,0,0,'Données projet'!$E$10+1,1))-AVERAGE(OFFSET($H$3,0,0,'Données projet'!$E$10+1,1))</f>
        <v>188.94867378904664</v>
      </c>
      <c r="AO83" s="62">
        <f t="shared" si="90"/>
        <v>242.84781402593833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5.7092477832328967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4.6235140956149124E-7</v>
      </c>
      <c r="AX83" s="23">
        <f t="shared" si="60"/>
        <v>5.7092482455843063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-1.1368683772161603E-13</v>
      </c>
      <c r="BE83" s="14">
        <f>BD83*VLOOKUP('Données projet'!$B$11,Paramètres!$A$1:$I$89,3,0)*VLOOKUP('Données projet'!$B$11,Paramètres!$A$1:$I$89,5,0)</f>
        <v>-6.7984728957526396E-14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367.11994336501527</v>
      </c>
      <c r="BJ83" s="62">
        <f t="shared" si="92"/>
        <v>390.81417197867484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5.852882849248922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6.2301185341048224E-7</v>
      </c>
      <c r="BS83" s="24">
        <f t="shared" si="63"/>
        <v>5.8528834722607757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-5.6843418860808015E-14</v>
      </c>
      <c r="BZ83" s="14">
        <f>BY83*VLOOKUP('Données projet'!$B$12,Paramètres!$A$1:$I$89,3,0)*VLOOKUP('Données projet'!$B$12,Paramètres!$A$1:$I$89,5,0)</f>
        <v>-3.3992364478763198E-14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396.15172163885632</v>
      </c>
      <c r="CE83" s="62">
        <f t="shared" si="94"/>
        <v>624.94568617205198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8.7494242579730539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1.282135845140501E-6</v>
      </c>
      <c r="CN83" s="24">
        <f t="shared" si="66"/>
        <v>8.7494255401088985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>
        <f>CT83*VLOOKUP('Données projet'!$B$13,Paramètres!$A$1:$I$89,3,0)*VLOOKUP('Données projet'!$B$13,Paramètres!$A$1:$I$89,5,0)</f>
        <v>0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89.800041997398182</v>
      </c>
      <c r="CZ83" s="62">
        <f t="shared" si="96"/>
        <v>286.94570078060917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18.242305994107912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1.0313330774728703E-8</v>
      </c>
      <c r="DI83" s="24">
        <f t="shared" si="69"/>
        <v>18.242306004421245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367.51466260429623</v>
      </c>
      <c r="T84" s="62">
        <f t="shared" si="88"/>
        <v>297.32483725004136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2.4601711463074736E-7</v>
      </c>
      <c r="AC84" s="24">
        <f t="shared" si="57"/>
        <v>2.4601711463074736E-7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2.6602720026858149E-14</v>
      </c>
      <c r="AK84" s="14">
        <f t="shared" si="89"/>
        <v>4.6624771586320878E-13</v>
      </c>
      <c r="AL84" s="22">
        <f t="shared" si="58"/>
        <v>8.583811758418665E-13</v>
      </c>
      <c r="AM84" s="62">
        <f t="shared" si="59"/>
        <v>271.12075302350229</v>
      </c>
      <c r="AN84" s="62">
        <f ca="1">AVERAGE(OFFSET($AM$3,0,0,'Données projet'!$E$10+1,1))-AVERAGE(OFFSET($H$3,0,0,'Données projet'!$E$10+1,1))</f>
        <v>188.94867378904664</v>
      </c>
      <c r="AO84" s="62">
        <f t="shared" si="90"/>
        <v>242.84781402593833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5.597292916500999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3.2693181699208925E-7</v>
      </c>
      <c r="AX84" s="23">
        <f t="shared" si="60"/>
        <v>5.5972932434328158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-1.1368683772161603E-13</v>
      </c>
      <c r="BE84" s="14">
        <f>BD84*VLOOKUP('Données projet'!$B$11,Paramètres!$A$1:$I$89,3,0)*VLOOKUP('Données projet'!$B$11,Paramètres!$A$1:$I$89,5,0)</f>
        <v>-6.7984728957526396E-14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367.11994336501527</v>
      </c>
      <c r="BJ84" s="62">
        <f t="shared" si="92"/>
        <v>390.81417197867484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5.7381113864811901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4.405359063061513E-7</v>
      </c>
      <c r="BS84" s="24">
        <f t="shared" si="63"/>
        <v>5.7381118270170965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-5.6843418860808015E-14</v>
      </c>
      <c r="BZ84" s="14">
        <f>BY84*VLOOKUP('Données projet'!$B$12,Paramètres!$A$1:$I$89,3,0)*VLOOKUP('Données projet'!$B$12,Paramètres!$A$1:$I$89,5,0)</f>
        <v>-3.3992364478763198E-14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396.15172163885632</v>
      </c>
      <c r="CE84" s="62">
        <f t="shared" si="94"/>
        <v>624.94568617205198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8.5778533848960521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9.0660695050119346E-7</v>
      </c>
      <c r="CN84" s="24">
        <f t="shared" si="66"/>
        <v>8.5778542915030034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projet'!$B$13,Paramètres!$A$1:$I$89,3,0)*VLOOKUP('Données projet'!$B$13,Paramètres!$A$1:$I$89,5,0)</f>
        <v>0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89.800041997398182</v>
      </c>
      <c r="CZ84" s="62">
        <f t="shared" si="96"/>
        <v>286.94570078060917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17.884585500271442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7.2926261274305766E-9</v>
      </c>
      <c r="DI84" s="24">
        <f t="shared" si="69"/>
        <v>17.884585507564069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367.51466260429623</v>
      </c>
      <c r="T85" s="62">
        <f t="shared" si="88"/>
        <v>297.32483725004136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1.7396037004334966E-7</v>
      </c>
      <c r="AC85" s="24">
        <f t="shared" si="57"/>
        <v>1.7396037004334966E-7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2.6602720026858149E-14</v>
      </c>
      <c r="AK85" s="14">
        <f t="shared" si="89"/>
        <v>4.6624771586320878E-13</v>
      </c>
      <c r="AL85" s="22">
        <f t="shared" si="58"/>
        <v>8.583811758418665E-13</v>
      </c>
      <c r="AM85" s="62">
        <f t="shared" si="59"/>
        <v>271.50609163198789</v>
      </c>
      <c r="AN85" s="62">
        <f ca="1">AVERAGE(OFFSET($AM$3,0,0,'Données projet'!$E$10+1,1))-AVERAGE(OFFSET($H$3,0,0,'Données projet'!$E$10+1,1))</f>
        <v>188.94867378904664</v>
      </c>
      <c r="AO85" s="62">
        <f t="shared" si="90"/>
        <v>242.84781402593833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5.4875334164199883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2.3117570478074567E-7</v>
      </c>
      <c r="AX85" s="23">
        <f t="shared" si="60"/>
        <v>5.4875336475956926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-1.1368683772161603E-13</v>
      </c>
      <c r="BE85" s="14">
        <f>BD85*VLOOKUP('Données projet'!$B$11,Paramètres!$A$1:$I$89,3,0)*VLOOKUP('Données projet'!$B$11,Paramètres!$A$1:$I$89,5,0)</f>
        <v>-6.7984728957526396E-14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367.11994336501527</v>
      </c>
      <c r="BJ85" s="62">
        <f t="shared" si="92"/>
        <v>390.81417197867484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5.6255905220946527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3.1150592670524112E-7</v>
      </c>
      <c r="BS85" s="24">
        <f t="shared" si="63"/>
        <v>5.6255908336005795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-5.6843418860808015E-14</v>
      </c>
      <c r="BZ85" s="14">
        <f>BY85*VLOOKUP('Données projet'!$B$12,Paramètres!$A$1:$I$89,3,0)*VLOOKUP('Données projet'!$B$12,Paramètres!$A$1:$I$89,5,0)</f>
        <v>-3.3992364478763198E-14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396.15172163885632</v>
      </c>
      <c r="CE85" s="62">
        <f t="shared" si="94"/>
        <v>624.94568617205198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8.4096469119921906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6.4106792257025052E-7</v>
      </c>
      <c r="CN85" s="24">
        <f t="shared" si="66"/>
        <v>8.4096475530601129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projet'!$B$13,Paramètres!$A$1:$I$89,3,0)*VLOOKUP('Données projet'!$B$13,Paramètres!$A$1:$I$89,5,0)</f>
        <v>0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89.800041997398182</v>
      </c>
      <c r="CZ85" s="62">
        <f t="shared" si="96"/>
        <v>286.94570078060917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17.533879687131147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5.1566653873643524E-9</v>
      </c>
      <c r="DI85" s="24">
        <f t="shared" si="69"/>
        <v>17.533879692287812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367.51466260429623</v>
      </c>
      <c r="T86" s="62">
        <f t="shared" si="88"/>
        <v>297.32483725004136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1.2300855731537368E-7</v>
      </c>
      <c r="AC86" s="24">
        <f t="shared" si="57"/>
        <v>1.2300855731537368E-7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2.6602720026858149E-14</v>
      </c>
      <c r="AK86" s="14">
        <f t="shared" si="89"/>
        <v>4.6624771586320878E-13</v>
      </c>
      <c r="AL86" s="22">
        <f t="shared" si="58"/>
        <v>8.583811758418665E-13</v>
      </c>
      <c r="AM86" s="62">
        <f t="shared" si="59"/>
        <v>271.88474547710433</v>
      </c>
      <c r="AN86" s="62">
        <f ca="1">AVERAGE(OFFSET($AM$3,0,0,'Données projet'!$E$10+1,1))-AVERAGE(OFFSET($H$3,0,0,'Données projet'!$E$10+1,1))</f>
        <v>188.94867378904664</v>
      </c>
      <c r="AO86" s="62">
        <f t="shared" si="90"/>
        <v>242.84781402593833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5.3799262331888809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1.6346590849604465E-7</v>
      </c>
      <c r="AX86" s="23">
        <f t="shared" si="60"/>
        <v>5.3799263966547892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-6.7984728957526396E-14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367.11994336501527</v>
      </c>
      <c r="BJ86" s="62">
        <f t="shared" si="92"/>
        <v>390.81417197867484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5.5152761232277854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2.2026795315307565E-7</v>
      </c>
      <c r="BS86" s="24">
        <f t="shared" si="63"/>
        <v>5.5152763434957386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-5.6843418860808015E-14</v>
      </c>
      <c r="BZ86" s="14">
        <f>BY86*VLOOKUP('Données projet'!$B$12,Paramètres!$A$1:$I$89,3,0)*VLOOKUP('Données projet'!$B$12,Paramètres!$A$1:$I$89,5,0)</f>
        <v>-3.3992364478763198E-14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396.15172163885632</v>
      </c>
      <c r="CE86" s="62">
        <f t="shared" si="94"/>
        <v>624.94568617205198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8.2447388654261555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4.5330347525059673E-7</v>
      </c>
      <c r="CN86" s="24">
        <f t="shared" si="66"/>
        <v>8.2447393187296303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89.800041997398182</v>
      </c>
      <c r="CZ86" s="62">
        <f t="shared" si="96"/>
        <v>286.94570078060917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17.190051001077109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3.6463130637152887E-9</v>
      </c>
      <c r="DI86" s="24">
        <f t="shared" si="69"/>
        <v>17.190051004723422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367.51466260429623</v>
      </c>
      <c r="T87" s="62">
        <f t="shared" si="88"/>
        <v>297.32483725004136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8.698018502167483E-8</v>
      </c>
      <c r="AC87" s="24">
        <f t="shared" si="57"/>
        <v>8.698018502167483E-8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2.6602720026858149E-14</v>
      </c>
      <c r="AK87" s="14">
        <f t="shared" si="89"/>
        <v>4.6624771586320878E-13</v>
      </c>
      <c r="AL87" s="22">
        <f t="shared" si="58"/>
        <v>8.583811758418665E-13</v>
      </c>
      <c r="AM87" s="62">
        <f t="shared" si="59"/>
        <v>272.25683052455116</v>
      </c>
      <c r="AN87" s="62">
        <f ca="1">AVERAGE(OFFSET($AM$3,0,0,'Données projet'!$E$10+1,1))-AVERAGE(OFFSET($H$3,0,0,'Données projet'!$E$10+1,1))</f>
        <v>188.94867378904664</v>
      </c>
      <c r="AO87" s="62">
        <f t="shared" si="90"/>
        <v>242.84781402593833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5.2744291611870349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1.1558785239037285E-7</v>
      </c>
      <c r="AX87" s="23">
        <f t="shared" si="60"/>
        <v>5.274429276774887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-6.7984728957526396E-14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367.11994336501527</v>
      </c>
      <c r="BJ87" s="62">
        <f t="shared" si="92"/>
        <v>390.81417197867484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5.4071249224375579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1.5575296335262056E-7</v>
      </c>
      <c r="BS87" s="24">
        <f t="shared" si="63"/>
        <v>5.4071250781905214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-5.6843418860808015E-14</v>
      </c>
      <c r="BZ87" s="14">
        <f>BY87*VLOOKUP('Données projet'!$B$12,Paramètres!$A$1:$I$89,3,0)*VLOOKUP('Données projet'!$B$12,Paramètres!$A$1:$I$89,5,0)</f>
        <v>-3.3992364478763198E-14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396.15172163885632</v>
      </c>
      <c r="CE87" s="62">
        <f t="shared" si="94"/>
        <v>624.94568617205198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8.0830645650693036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3.2053396128512526E-7</v>
      </c>
      <c r="CN87" s="24">
        <f t="shared" si="66"/>
        <v>8.0830648856032656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89.800041997398182</v>
      </c>
      <c r="CZ87" s="62">
        <f t="shared" si="96"/>
        <v>286.94570078060917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16.8529645858418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2.5783326936821766E-9</v>
      </c>
      <c r="DI87" s="24">
        <f t="shared" si="69"/>
        <v>16.852964588420132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367.51466260429623</v>
      </c>
      <c r="T88" s="62">
        <f t="shared" si="88"/>
        <v>297.32483725004136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6.150427865768684E-8</v>
      </c>
      <c r="AC88" s="24">
        <f t="shared" si="57"/>
        <v>6.150427865768684E-8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2.6602720026858149E-14</v>
      </c>
      <c r="AK88" s="14">
        <f t="shared" si="89"/>
        <v>4.6624771586320878E-13</v>
      </c>
      <c r="AL88" s="22">
        <f t="shared" si="58"/>
        <v>8.583811758418665E-13</v>
      </c>
      <c r="AM88" s="62">
        <f t="shared" si="59"/>
        <v>272.62246072828236</v>
      </c>
      <c r="AN88" s="62">
        <f ca="1">AVERAGE(OFFSET($AM$3,0,0,'Données projet'!$E$10+1,1))-AVERAGE(OFFSET($H$3,0,0,'Données projet'!$E$10+1,1))</f>
        <v>188.94867378904664</v>
      </c>
      <c r="AO88" s="62">
        <f t="shared" si="90"/>
        <v>242.84781402593833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5.171000822420285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8.1732954248022338E-8</v>
      </c>
      <c r="AX88" s="23">
        <f t="shared" si="60"/>
        <v>5.1710009041532397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-6.7984728957526396E-14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367.11994336501527</v>
      </c>
      <c r="BJ88" s="62">
        <f t="shared" si="92"/>
        <v>390.81417197867484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5.3010945007291079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1.1013397657653782E-7</v>
      </c>
      <c r="BS88" s="24">
        <f t="shared" si="63"/>
        <v>5.3010946108630845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-5.6843418860808015E-14</v>
      </c>
      <c r="BZ88" s="14">
        <f>BY88*VLOOKUP('Données projet'!$B$12,Paramètres!$A$1:$I$89,3,0)*VLOOKUP('Données projet'!$B$12,Paramètres!$A$1:$I$89,5,0)</f>
        <v>-3.3992364478763198E-14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396.15172163885632</v>
      </c>
      <c r="CE88" s="62">
        <f t="shared" si="94"/>
        <v>624.94568617205198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7.9245605991308645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2.2665173762529837E-7</v>
      </c>
      <c r="CN88" s="24">
        <f t="shared" si="66"/>
        <v>7.9245608257826019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89.800041997398182</v>
      </c>
      <c r="CZ88" s="62">
        <f t="shared" si="96"/>
        <v>286.94570078060917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16.522488229606843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1.8231565318576446E-9</v>
      </c>
      <c r="DI88" s="24">
        <f t="shared" si="69"/>
        <v>16.52248823143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367.51466260429623</v>
      </c>
      <c r="T89" s="62">
        <f t="shared" si="88"/>
        <v>297.32483725004136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4.3490092510837415E-8</v>
      </c>
      <c r="AC89" s="24">
        <f t="shared" si="57"/>
        <v>4.3490092510837415E-8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2.6602720026858149E-14</v>
      </c>
      <c r="AK89" s="14">
        <f t="shared" si="89"/>
        <v>4.6624771586320878E-13</v>
      </c>
      <c r="AL89" s="22">
        <f t="shared" si="58"/>
        <v>8.583811758418665E-13</v>
      </c>
      <c r="AM89" s="62">
        <f t="shared" si="59"/>
        <v>272.98174806540555</v>
      </c>
      <c r="AN89" s="62">
        <f ca="1">AVERAGE(OFFSET($AM$3,0,0,'Données projet'!$E$10+1,1))-AVERAGE(OFFSET($H$3,0,0,'Données projet'!$E$10+1,1))</f>
        <v>188.94867378904664</v>
      </c>
      <c r="AO89" s="62">
        <f t="shared" si="90"/>
        <v>242.84781402593833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5.0696006502916937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5.7793926195186438E-8</v>
      </c>
      <c r="AX89" s="23">
        <f t="shared" si="60"/>
        <v>5.0696007080856198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-6.7984728957526396E-14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367.11994336501527</v>
      </c>
      <c r="BJ89" s="62">
        <f t="shared" si="92"/>
        <v>390.81417197867484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5.1971432709181888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7.787648167631028E-8</v>
      </c>
      <c r="BS89" s="24">
        <f t="shared" si="63"/>
        <v>5.1971433487946701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-5.6843418860808015E-14</v>
      </c>
      <c r="BZ89" s="14">
        <f>BY89*VLOOKUP('Données projet'!$B$12,Paramètres!$A$1:$I$89,3,0)*VLOOKUP('Données projet'!$B$12,Paramètres!$A$1:$I$89,5,0)</f>
        <v>-3.3992364478763198E-14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396.15172163885632</v>
      </c>
      <c r="CE89" s="62">
        <f t="shared" si="94"/>
        <v>624.94568617205198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7.7691647992866049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1.6026698064256263E-7</v>
      </c>
      <c r="CN89" s="24">
        <f t="shared" si="66"/>
        <v>7.7691649595535859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89.800041997398182</v>
      </c>
      <c r="CZ89" s="62">
        <f t="shared" si="96"/>
        <v>286.94570078060917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16.198492313146982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1.2891663468410885E-9</v>
      </c>
      <c r="DI89" s="24">
        <f t="shared" si="69"/>
        <v>16.198492314436148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367.51466260429623</v>
      </c>
      <c r="T90" s="62">
        <f t="shared" si="88"/>
        <v>297.32483725004136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3.075213932884342E-8</v>
      </c>
      <c r="AC90" s="24">
        <f t="shared" si="57"/>
        <v>3.075213932884342E-8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2.6602720026858149E-14</v>
      </c>
      <c r="AK90" s="14">
        <f t="shared" si="89"/>
        <v>4.6624771586320878E-13</v>
      </c>
      <c r="AL90" s="22">
        <f t="shared" si="58"/>
        <v>8.583811758418665E-13</v>
      </c>
      <c r="AM90" s="62">
        <f t="shared" si="59"/>
        <v>273.33480257047569</v>
      </c>
      <c r="AN90" s="62">
        <f ca="1">AVERAGE(OFFSET($AM$3,0,0,'Données projet'!$E$10+1,1))-AVERAGE(OFFSET($H$3,0,0,'Données projet'!$E$10+1,1))</f>
        <v>188.94867378904664</v>
      </c>
      <c r="AO90" s="62">
        <f t="shared" si="90"/>
        <v>242.84781402593833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4.970188873690546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4.0866477124011175E-8</v>
      </c>
      <c r="AX90" s="23">
        <f t="shared" si="60"/>
        <v>4.9701889145570233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-6.7984728957526396E-14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367.11994336501527</v>
      </c>
      <c r="BJ90" s="62">
        <f t="shared" si="92"/>
        <v>390.81417197867484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5.095230461319872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5.5066988288268912E-8</v>
      </c>
      <c r="BS90" s="24">
        <f t="shared" si="63"/>
        <v>5.0952305163868603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-5.6843418860808015E-14</v>
      </c>
      <c r="BZ90" s="14">
        <f>BY90*VLOOKUP('Données projet'!$B$12,Paramètres!$A$1:$I$89,3,0)*VLOOKUP('Données projet'!$B$12,Paramètres!$A$1:$I$89,5,0)</f>
        <v>-3.3992364478763198E-14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396.15172163885632</v>
      </c>
      <c r="CE90" s="62">
        <f t="shared" si="94"/>
        <v>624.94568617205198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7.616816216295212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1.1332586881264918E-7</v>
      </c>
      <c r="CN90" s="24">
        <f t="shared" si="66"/>
        <v>7.6168163296210807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89.800041997398182</v>
      </c>
      <c r="CZ90" s="62">
        <f t="shared" si="96"/>
        <v>286.94570078060917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15.880849758990902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9.1157826592882249E-10</v>
      </c>
      <c r="DI90" s="24">
        <f t="shared" si="69"/>
        <v>15.88084975990248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367.51466260429623</v>
      </c>
      <c r="T91" s="62">
        <f t="shared" si="88"/>
        <v>297.32483725004136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2.1745046255418708E-8</v>
      </c>
      <c r="AC91" s="24">
        <f t="shared" si="57"/>
        <v>2.1745046255418708E-8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2.6602720026858149E-14</v>
      </c>
      <c r="AK91" s="14">
        <f t="shared" si="89"/>
        <v>4.6624771586320878E-13</v>
      </c>
      <c r="AL91" s="22">
        <f t="shared" si="58"/>
        <v>8.583811758418665E-13</v>
      </c>
      <c r="AM91" s="62">
        <f t="shared" si="59"/>
        <v>273.68173236919455</v>
      </c>
      <c r="AN91" s="62">
        <f ca="1">AVERAGE(OFFSET($AM$3,0,0,'Données projet'!$E$10+1,1))-AVERAGE(OFFSET($H$3,0,0,'Données projet'!$E$10+1,1))</f>
        <v>188.94867378904664</v>
      </c>
      <c r="AO91" s="62">
        <f t="shared" si="90"/>
        <v>242.84781402593833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4.8727265013933501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2.8896963097593222E-8</v>
      </c>
      <c r="AX91" s="23">
        <f t="shared" si="60"/>
        <v>4.8727265302903131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-6.7984728957526396E-14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367.11994336501527</v>
      </c>
      <c r="BJ91" s="62">
        <f t="shared" si="92"/>
        <v>390.81417197867484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4.9953160997571029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3.893824083815514E-8</v>
      </c>
      <c r="BS91" s="24">
        <f t="shared" si="63"/>
        <v>4.995316138695344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-5.6843418860808015E-14</v>
      </c>
      <c r="BZ91" s="14">
        <f>BY91*VLOOKUP('Données projet'!$B$12,Paramètres!$A$1:$I$89,3,0)*VLOOKUP('Données projet'!$B$12,Paramètres!$A$1:$I$89,5,0)</f>
        <v>-3.3992364478763198E-14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396.15172163885632</v>
      </c>
      <c r="CE91" s="62">
        <f t="shared" si="94"/>
        <v>624.94568617205198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7.4674550960928201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8.0133490321281315E-8</v>
      </c>
      <c r="CN91" s="24">
        <f t="shared" si="66"/>
        <v>7.4674551762263102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89.800041997398182</v>
      </c>
      <c r="CZ91" s="62">
        <f t="shared" si="96"/>
        <v>286.94570078060917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15.569435981578994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6.4458317342054436E-10</v>
      </c>
      <c r="DI91" s="24">
        <f t="shared" si="69"/>
        <v>15.569435982223577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367.51466260429623</v>
      </c>
      <c r="T92" s="62">
        <f t="shared" si="88"/>
        <v>297.32483725004136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1.537606966442171E-8</v>
      </c>
      <c r="AC92" s="24">
        <f t="shared" si="57"/>
        <v>1.537606966442171E-8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2.6602720026858149E-14</v>
      </c>
      <c r="AK92" s="14">
        <f t="shared" si="89"/>
        <v>4.6624771586320878E-13</v>
      </c>
      <c r="AL92" s="22">
        <f t="shared" si="58"/>
        <v>8.583811758418665E-13</v>
      </c>
      <c r="AM92" s="62">
        <f t="shared" si="59"/>
        <v>274.02264371152444</v>
      </c>
      <c r="AN92" s="62">
        <f ca="1">AVERAGE(OFFSET($AM$3,0,0,'Données projet'!$E$10+1,1))-AVERAGE(OFFSET($H$3,0,0,'Données projet'!$E$10+1,1))</f>
        <v>188.94867378904664</v>
      </c>
      <c r="AO92" s="62">
        <f t="shared" si="90"/>
        <v>242.84781402593833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4.777175306770725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2.0433238562005591E-8</v>
      </c>
      <c r="AX92" s="23">
        <f t="shared" si="60"/>
        <v>4.7771753272039632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-6.7984728957526396E-14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367.11994336501527</v>
      </c>
      <c r="BJ92" s="62">
        <f t="shared" si="92"/>
        <v>390.81417197867484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4.8973609978828367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2.7533494144134456E-8</v>
      </c>
      <c r="BS92" s="24">
        <f t="shared" si="63"/>
        <v>4.8973610254163304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-5.6843418860808015E-14</v>
      </c>
      <c r="BZ92" s="14">
        <f>BY92*VLOOKUP('Données projet'!$B$12,Paramètres!$A$1:$I$89,3,0)*VLOOKUP('Données projet'!$B$12,Paramètres!$A$1:$I$89,5,0)</f>
        <v>-3.3992364478763198E-14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396.15172163885632</v>
      </c>
      <c r="CE92" s="62">
        <f t="shared" si="94"/>
        <v>624.94568617205198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7.3210228563563096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5.6662934406324591E-8</v>
      </c>
      <c r="CN92" s="24">
        <f t="shared" si="66"/>
        <v>7.3210229130192443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89.800041997398182</v>
      </c>
      <c r="CZ92" s="62">
        <f t="shared" si="96"/>
        <v>286.94570078060917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15.264128838398486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4.557891329644113E-10</v>
      </c>
      <c r="DI92" s="24">
        <f t="shared" si="69"/>
        <v>15.264128838854274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367.51466260429623</v>
      </c>
      <c r="T93" s="62">
        <f t="shared" si="88"/>
        <v>297.32483725004136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1.0872523127709354E-8</v>
      </c>
      <c r="AC93" s="24">
        <f t="shared" si="57"/>
        <v>1.0872523127709354E-8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2.6602720026858149E-14</v>
      </c>
      <c r="AK93" s="14">
        <f t="shared" si="89"/>
        <v>4.6624771586320878E-13</v>
      </c>
      <c r="AL93" s="22">
        <f t="shared" si="58"/>
        <v>8.583811758418665E-13</v>
      </c>
      <c r="AM93" s="62">
        <f t="shared" si="59"/>
        <v>274.35764100422853</v>
      </c>
      <c r="AN93" s="62">
        <f ca="1">AVERAGE(OFFSET($AM$3,0,0,'Données projet'!$E$10+1,1))-AVERAGE(OFFSET($H$3,0,0,'Données projet'!$E$10+1,1))</f>
        <v>188.94867378904664</v>
      </c>
      <c r="AO93" s="62">
        <f t="shared" si="90"/>
        <v>242.84781402593833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4.6834978127941751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1.4448481548796613E-8</v>
      </c>
      <c r="AX93" s="23">
        <f t="shared" si="60"/>
        <v>4.6834978272426566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-6.7984728957526396E-14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367.11994336501527</v>
      </c>
      <c r="BJ93" s="62">
        <f t="shared" si="92"/>
        <v>390.81417197867484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4.8013267358096119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1.946912041907757E-8</v>
      </c>
      <c r="BS93" s="24">
        <f t="shared" si="63"/>
        <v>4.8013267552787324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-5.6843418860808015E-14</v>
      </c>
      <c r="BZ93" s="14">
        <f>BY93*VLOOKUP('Données projet'!$B$12,Paramètres!$A$1:$I$89,3,0)*VLOOKUP('Données projet'!$B$12,Paramètres!$A$1:$I$89,5,0)</f>
        <v>-3.3992364478763198E-14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396.15172163885632</v>
      </c>
      <c r="CE93" s="62">
        <f t="shared" si="94"/>
        <v>624.94568617205198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7.1774620635261845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4.0066745160640658E-8</v>
      </c>
      <c r="CN93" s="24">
        <f t="shared" si="66"/>
        <v>7.17746210359293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89.800041997398182</v>
      </c>
      <c r="CZ93" s="62">
        <f t="shared" si="96"/>
        <v>286.94570078060917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14.964808582076778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3.2229158671027223E-10</v>
      </c>
      <c r="DI93" s="24">
        <f t="shared" si="69"/>
        <v>14.964808582399069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367.51466260429623</v>
      </c>
      <c r="T94" s="62">
        <f t="shared" si="88"/>
        <v>297.32483725004136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7.688034832210855E-9</v>
      </c>
      <c r="AC94" s="24">
        <f t="shared" si="57"/>
        <v>7.688034832210855E-9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2.6602720026858149E-14</v>
      </c>
      <c r="AK94" s="14">
        <f t="shared" si="89"/>
        <v>4.6624771586320878E-13</v>
      </c>
      <c r="AL94" s="22">
        <f t="shared" si="58"/>
        <v>8.583811758418665E-13</v>
      </c>
      <c r="AM94" s="62">
        <f t="shared" si="59"/>
        <v>274.6868268428459</v>
      </c>
      <c r="AN94" s="62">
        <f ca="1">AVERAGE(OFFSET($AM$3,0,0,'Données projet'!$E$10+1,1))-AVERAGE(OFFSET($H$3,0,0,'Données projet'!$E$10+1,1))</f>
        <v>188.94867378904664</v>
      </c>
      <c r="AO94" s="62">
        <f t="shared" si="90"/>
        <v>242.84781402593833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4.5916572773368758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1.0216619281002797E-8</v>
      </c>
      <c r="AX94" s="23">
        <f t="shared" si="60"/>
        <v>4.5916572875534953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-6.7984728957526396E-14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367.11994336501527</v>
      </c>
      <c r="BJ94" s="62">
        <f t="shared" si="92"/>
        <v>390.81417197867484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4.7071756470405273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1.3766747072067228E-8</v>
      </c>
      <c r="BS94" s="24">
        <f t="shared" si="63"/>
        <v>4.7071756608072741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-5.6843418860808015E-14</v>
      </c>
      <c r="BZ94" s="14">
        <f>BY94*VLOOKUP('Données projet'!$B$12,Paramètres!$A$1:$I$89,3,0)*VLOOKUP('Données projet'!$B$12,Paramètres!$A$1:$I$89,5,0)</f>
        <v>-3.3992364478763198E-14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396.15172163885632</v>
      </c>
      <c r="CE94" s="62">
        <f t="shared" si="94"/>
        <v>624.94568617205198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7.0367164102800208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2.8331467203162296E-8</v>
      </c>
      <c r="CN94" s="24">
        <f t="shared" si="66"/>
        <v>7.0367164386114878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89.800041997398182</v>
      </c>
      <c r="CZ94" s="62">
        <f t="shared" si="96"/>
        <v>286.94570078060917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14.671357813414208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2.278945664822057E-10</v>
      </c>
      <c r="DI94" s="24">
        <f t="shared" si="69"/>
        <v>14.671357813642102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367.51466260429623</v>
      </c>
      <c r="T95" s="62">
        <f t="shared" si="88"/>
        <v>297.32483725004136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5.4362615638546769E-9</v>
      </c>
      <c r="AC95" s="24">
        <f t="shared" si="57"/>
        <v>5.4362615638546769E-9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2.6602720026858149E-14</v>
      </c>
      <c r="AK95" s="14">
        <f t="shared" si="89"/>
        <v>4.6624771586320878E-13</v>
      </c>
      <c r="AL95" s="22">
        <f t="shared" si="58"/>
        <v>8.583811758418665E-13</v>
      </c>
      <c r="AM95" s="62">
        <f t="shared" si="59"/>
        <v>275.01030204311257</v>
      </c>
      <c r="AN95" s="62">
        <f ca="1">AVERAGE(OFFSET($AM$3,0,0,'Données projet'!$E$10+1,1))-AVERAGE(OFFSET($H$3,0,0,'Données projet'!$E$10+1,1))</f>
        <v>188.94867378904664</v>
      </c>
      <c r="AO95" s="62">
        <f t="shared" si="90"/>
        <v>242.84781402593833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4.5016176787626989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7.2242407743983081E-9</v>
      </c>
      <c r="AX95" s="23">
        <f t="shared" si="60"/>
        <v>4.5016176859869397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-6.7984728957526396E-14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367.11994336501527</v>
      </c>
      <c r="BJ95" s="62">
        <f t="shared" si="92"/>
        <v>390.81417197867484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4.6148708036957107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9.734560209538785E-9</v>
      </c>
      <c r="BS95" s="24">
        <f t="shared" si="63"/>
        <v>4.6148708134302705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-5.6843418860808015E-14</v>
      </c>
      <c r="BZ95" s="14">
        <f>BY95*VLOOKUP('Données projet'!$B$12,Paramètres!$A$1:$I$89,3,0)*VLOOKUP('Données projet'!$B$12,Paramètres!$A$1:$I$89,5,0)</f>
        <v>-3.3992364478763198E-14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396.15172163885632</v>
      </c>
      <c r="CE95" s="62">
        <f t="shared" si="94"/>
        <v>624.94568617205198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6.8987306934476429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2.0033372580320329E-8</v>
      </c>
      <c r="CN95" s="24">
        <f t="shared" si="66"/>
        <v>6.8987307134810152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89.800041997398182</v>
      </c>
      <c r="CZ95" s="62">
        <f t="shared" si="96"/>
        <v>286.94570078060917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14.383661435337816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1.6114579335513614E-10</v>
      </c>
      <c r="DI95" s="24">
        <f t="shared" si="69"/>
        <v>14.383661435498961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367.51466260429623</v>
      </c>
      <c r="T96" s="62">
        <f t="shared" si="88"/>
        <v>297.32483725004136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3.8440174161054275E-9</v>
      </c>
      <c r="AC96" s="24">
        <f t="shared" si="57"/>
        <v>3.8440174161054275E-9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2.6602720026858149E-14</v>
      </c>
      <c r="AK96" s="14">
        <f t="shared" si="89"/>
        <v>4.6624771586320878E-13</v>
      </c>
      <c r="AL96" s="22">
        <f t="shared" si="58"/>
        <v>8.583811758418665E-13</v>
      </c>
      <c r="AM96" s="62">
        <f t="shared" si="59"/>
        <v>275.32816567183681</v>
      </c>
      <c r="AN96" s="62">
        <f ca="1">AVERAGE(OFFSET($AM$3,0,0,'Données projet'!$E$10+1,1))-AVERAGE(OFFSET($H$3,0,0,'Données projet'!$E$10+1,1))</f>
        <v>188.94867378904664</v>
      </c>
      <c r="AO96" s="62">
        <f t="shared" si="90"/>
        <v>242.84781402593833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4.4133437017978299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5.1083096405013994E-9</v>
      </c>
      <c r="AX96" s="23">
        <f t="shared" si="60"/>
        <v>4.4133437069061392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-6.7984728957526396E-14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367.11994336501527</v>
      </c>
      <c r="BJ96" s="62">
        <f t="shared" si="92"/>
        <v>390.81417197867484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4.5243760020284904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6.883373536033614E-9</v>
      </c>
      <c r="BS96" s="24">
        <f t="shared" si="63"/>
        <v>4.5243760089118643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-5.6843418860808015E-14</v>
      </c>
      <c r="BZ96" s="14">
        <f>BY96*VLOOKUP('Données projet'!$B$12,Paramètres!$A$1:$I$89,3,0)*VLOOKUP('Données projet'!$B$12,Paramètres!$A$1:$I$89,5,0)</f>
        <v>-3.3992364478763198E-14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396.15172163885632</v>
      </c>
      <c r="CE96" s="62">
        <f t="shared" si="94"/>
        <v>624.94568617205198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6.7634507923593707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1.4165733601581148E-8</v>
      </c>
      <c r="CN96" s="24">
        <f t="shared" si="66"/>
        <v>6.7634508065251042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89.800041997398182</v>
      </c>
      <c r="CZ96" s="62">
        <f t="shared" si="96"/>
        <v>286.94570078060917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14.101606607758038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1.1394728324110286E-10</v>
      </c>
      <c r="DI96" s="24">
        <f t="shared" si="69"/>
        <v>14.101606607871986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367.51466260429623</v>
      </c>
      <c r="T97" s="62">
        <f t="shared" si="88"/>
        <v>297.32483725004136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2.7181307819273384E-9</v>
      </c>
      <c r="AC97" s="24">
        <f t="shared" si="57"/>
        <v>2.7181307819273384E-9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2.6602720026858149E-14</v>
      </c>
      <c r="AK97" s="14">
        <f t="shared" si="89"/>
        <v>4.6624771586320878E-13</v>
      </c>
      <c r="AL97" s="22">
        <f t="shared" si="58"/>
        <v>8.583811758418665E-13</v>
      </c>
      <c r="AM97" s="62">
        <f t="shared" si="59"/>
        <v>275.64051507723934</v>
      </c>
      <c r="AN97" s="62">
        <f ca="1">AVERAGE(OFFSET($AM$3,0,0,'Données projet'!$E$10+1,1))-AVERAGE(OFFSET($H$3,0,0,'Données projet'!$E$10+1,1))</f>
        <v>188.94867378904664</v>
      </c>
      <c r="AO97" s="62">
        <f t="shared" si="90"/>
        <v>242.84781402593833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4.3268007236794324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3.6121203871991545E-9</v>
      </c>
      <c r="AX97" s="23">
        <f t="shared" si="60"/>
        <v>4.3268007272915527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-6.7984728957526396E-14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367.11994336501527</v>
      </c>
      <c r="BJ97" s="62">
        <f t="shared" si="92"/>
        <v>390.81417197867484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4.4356557482255852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4.8672801047693925E-9</v>
      </c>
      <c r="BS97" s="24">
        <f t="shared" si="63"/>
        <v>4.4356557530928651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-5.6843418860808015E-14</v>
      </c>
      <c r="BZ97" s="14">
        <f>BY97*VLOOKUP('Données projet'!$B$12,Paramètres!$A$1:$I$89,3,0)*VLOOKUP('Données projet'!$B$12,Paramètres!$A$1:$I$89,5,0)</f>
        <v>-3.3992364478763198E-14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396.15172163885632</v>
      </c>
      <c r="CE97" s="62">
        <f t="shared" si="94"/>
        <v>624.94568617205198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6.6308236476188478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1.0016686290160164E-8</v>
      </c>
      <c r="CN97" s="24">
        <f t="shared" si="66"/>
        <v>6.6308236576355339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89.800041997398182</v>
      </c>
      <c r="CZ97" s="62">
        <f t="shared" si="96"/>
        <v>286.94570078060917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13.825082703310642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8.0572896677568084E-11</v>
      </c>
      <c r="DI97" s="24">
        <f t="shared" si="69"/>
        <v>13.825082703391216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367.51466260429623</v>
      </c>
      <c r="T98" s="62">
        <f t="shared" si="88"/>
        <v>297.32483725004136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1.9220087080527138E-9</v>
      </c>
      <c r="AC98" s="24">
        <f t="shared" si="57"/>
        <v>1.9220087080527138E-9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2.6602720026858149E-14</v>
      </c>
      <c r="AK98" s="14">
        <f t="shared" si="89"/>
        <v>4.6624771586320878E-13</v>
      </c>
      <c r="AL98" s="22">
        <f t="shared" si="58"/>
        <v>8.583811758418665E-13</v>
      </c>
      <c r="AM98" s="62">
        <f t="shared" si="59"/>
        <v>275.94744591876679</v>
      </c>
      <c r="AN98" s="62">
        <f ca="1">AVERAGE(OFFSET($AM$3,0,0,'Données projet'!$E$10+1,1))-AVERAGE(OFFSET($H$3,0,0,'Données projet'!$E$10+1,1))</f>
        <v>188.94867378904664</v>
      </c>
      <c r="AO98" s="62">
        <f t="shared" si="90"/>
        <v>242.84781402593833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4.2419548005759316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2.5541548202507001E-9</v>
      </c>
      <c r="AX98" s="23">
        <f t="shared" si="60"/>
        <v>4.2419548031300867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-6.7984728957526396E-14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367.11994336501527</v>
      </c>
      <c r="BJ98" s="62">
        <f t="shared" si="92"/>
        <v>390.81417197867484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4.3486752444857437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3.441686768016807E-9</v>
      </c>
      <c r="BS98" s="24">
        <f t="shared" si="63"/>
        <v>4.3486752479274307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-5.6843418860808015E-14</v>
      </c>
      <c r="BZ98" s="14">
        <f>BY98*VLOOKUP('Données projet'!$B$12,Paramètres!$A$1:$I$89,3,0)*VLOOKUP('Données projet'!$B$12,Paramètres!$A$1:$I$89,5,0)</f>
        <v>-3.3992364478763198E-14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396.15172163885632</v>
      </c>
      <c r="CE98" s="62">
        <f t="shared" si="94"/>
        <v>624.94568617205198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6.5007972402921155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7.0828668007905739E-9</v>
      </c>
      <c r="CN98" s="24">
        <f t="shared" si="66"/>
        <v>6.5007972473749822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89.800041997398182</v>
      </c>
      <c r="CZ98" s="62">
        <f t="shared" si="96"/>
        <v>286.94570078060917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13.553981263966532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5.6973641620551438E-11</v>
      </c>
      <c r="DI98" s="24">
        <f t="shared" si="69"/>
        <v>13.553981264023506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367.51466260429623</v>
      </c>
      <c r="T99" s="62">
        <f t="shared" si="88"/>
        <v>297.32483725004136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1.3590653909636692E-9</v>
      </c>
      <c r="AC99" s="24">
        <f t="shared" si="57"/>
        <v>1.3590653909636692E-9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2.6602720026858149E-14</v>
      </c>
      <c r="AK99" s="14">
        <f t="shared" si="89"/>
        <v>4.6624771586320878E-13</v>
      </c>
      <c r="AL99" s="22">
        <f t="shared" si="58"/>
        <v>8.583811758418665E-13</v>
      </c>
      <c r="AM99" s="62">
        <f t="shared" si="59"/>
        <v>276.24905219638828</v>
      </c>
      <c r="AN99" s="62">
        <f ca="1">AVERAGE(OFFSET($AM$3,0,0,'Données projet'!$E$10+1,1))-AVERAGE(OFFSET($H$3,0,0,'Données projet'!$E$10+1,1))</f>
        <v>188.94867378904664</v>
      </c>
      <c r="AO99" s="62">
        <f t="shared" si="90"/>
        <v>242.84781402593833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4.1587726542735872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1.8060601935995776E-9</v>
      </c>
      <c r="AX99" s="23">
        <f t="shared" si="60"/>
        <v>4.1587726560796474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-6.7984728957526396E-14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367.11994336501527</v>
      </c>
      <c r="BJ99" s="62">
        <f t="shared" si="92"/>
        <v>390.81417197867484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4.2634003753713721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2.4336400523846963E-9</v>
      </c>
      <c r="BS99" s="24">
        <f t="shared" si="63"/>
        <v>4.263400377805012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-5.6843418860808015E-14</v>
      </c>
      <c r="BZ99" s="14">
        <f>BY99*VLOOKUP('Données projet'!$B$12,Paramètres!$A$1:$I$89,3,0)*VLOOKUP('Données projet'!$B$12,Paramètres!$A$1:$I$89,5,0)</f>
        <v>-3.3992364478763198E-14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396.15172163885632</v>
      </c>
      <c r="CE99" s="62">
        <f t="shared" si="94"/>
        <v>624.94568617205198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6.3733205715047827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5.0083431450800822E-9</v>
      </c>
      <c r="CN99" s="24">
        <f t="shared" si="66"/>
        <v>6.3733205765131258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89.800041997398182</v>
      </c>
      <c r="CZ99" s="62">
        <f t="shared" si="96"/>
        <v>286.94570078060917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13.288195958492411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4.0286448338784049E-11</v>
      </c>
      <c r="DI99" s="24">
        <f t="shared" si="69"/>
        <v>13.288195958532697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367.51466260429623</v>
      </c>
      <c r="T100" s="62">
        <f t="shared" si="88"/>
        <v>297.32483725004136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9.6100435402635688E-10</v>
      </c>
      <c r="AC100" s="24">
        <f t="shared" si="57"/>
        <v>9.6100435402635688E-10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2.6602720026858149E-14</v>
      </c>
      <c r="AK100" s="14">
        <f t="shared" si="89"/>
        <v>4.6624771586320878E-13</v>
      </c>
      <c r="AL100" s="22">
        <f t="shared" si="58"/>
        <v>8.583811758418665E-13</v>
      </c>
      <c r="AM100" s="62">
        <f t="shared" si="59"/>
        <v>276.54542627938366</v>
      </c>
      <c r="AN100" s="62">
        <f ca="1">AVERAGE(OFFSET($AM$3,0,0,'Données projet'!$E$10+1,1))-AVERAGE(OFFSET($H$3,0,0,'Données projet'!$E$10+1,1))</f>
        <v>188.94867378904664</v>
      </c>
      <c r="AO100" s="62">
        <f t="shared" si="90"/>
        <v>242.84781402593833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4.0772216591241328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1.2770774101253503E-9</v>
      </c>
      <c r="AX100" s="23">
        <f t="shared" si="60"/>
        <v>4.0772216604012099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-6.7984728957526396E-14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367.11994336501527</v>
      </c>
      <c r="BJ100" s="62">
        <f t="shared" si="92"/>
        <v>390.81417197867484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4.1797976944277986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1.7208433840084035E-9</v>
      </c>
      <c r="BS100" s="24">
        <f t="shared" si="63"/>
        <v>4.1797976961486416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-5.6843418860808015E-14</v>
      </c>
      <c r="BZ100" s="14">
        <f>BY100*VLOOKUP('Données projet'!$B$12,Paramètres!$A$1:$I$89,3,0)*VLOOKUP('Données projet'!$B$12,Paramètres!$A$1:$I$89,5,0)</f>
        <v>-3.3992364478763198E-14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396.15172163885632</v>
      </c>
      <c r="CE100" s="62">
        <f t="shared" si="94"/>
        <v>624.94568617205198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6.2483436424392798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3.541433400395287E-9</v>
      </c>
      <c r="CN100" s="24">
        <f t="shared" si="66"/>
        <v>6.2483436459807136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89.800041997398182</v>
      </c>
      <c r="CZ100" s="62">
        <f t="shared" si="96"/>
        <v>286.94570078060917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13.027622540745607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2.8486820810275726E-11</v>
      </c>
      <c r="DI100" s="24">
        <f t="shared" si="69"/>
        <v>13.027622540774095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367.51466260429623</v>
      </c>
      <c r="T101" s="62">
        <f t="shared" si="88"/>
        <v>297.32483725004136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6.7953269548183461E-10</v>
      </c>
      <c r="AC101" s="24">
        <f t="shared" si="57"/>
        <v>6.7953269548183461E-10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2.6602720026858149E-14</v>
      </c>
      <c r="AK101" s="14">
        <f t="shared" si="89"/>
        <v>4.6624771586320878E-13</v>
      </c>
      <c r="AL101" s="22">
        <f t="shared" si="58"/>
        <v>8.583811758418665E-13</v>
      </c>
      <c r="AM101" s="62">
        <f t="shared" si="59"/>
        <v>276.83665893463223</v>
      </c>
      <c r="AN101" s="62">
        <f ca="1">AVERAGE(OFFSET($AM$3,0,0,'Données projet'!$E$10+1,1))-AVERAGE(OFFSET($H$3,0,0,'Données projet'!$E$10+1,1))</f>
        <v>188.94867378904664</v>
      </c>
      <c r="AO101" s="62">
        <f t="shared" si="90"/>
        <v>242.84781402593833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3.9972698292483635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9.0303009679978893E-10</v>
      </c>
      <c r="AX101" s="23">
        <f t="shared" si="60"/>
        <v>3.9972698301513936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-6.7984728957526396E-14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367.11994336501527</v>
      </c>
      <c r="BJ101" s="62">
        <f t="shared" si="92"/>
        <v>390.81417197867484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4.0978344110649285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1.2168200261923481E-9</v>
      </c>
      <c r="BS101" s="24">
        <f t="shared" si="63"/>
        <v>4.0978344122817489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-5.6843418860808015E-14</v>
      </c>
      <c r="BZ101" s="14">
        <f>BY101*VLOOKUP('Données projet'!$B$12,Paramètres!$A$1:$I$89,3,0)*VLOOKUP('Données projet'!$B$12,Paramètres!$A$1:$I$89,5,0)</f>
        <v>-3.3992364478763198E-14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396.15172163885632</v>
      </c>
      <c r="CE101" s="62">
        <f t="shared" si="94"/>
        <v>624.94568617205198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6.1258174347243513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2.5041715725400411E-9</v>
      </c>
      <c r="CN101" s="24">
        <f t="shared" si="66"/>
        <v>6.1258174372285232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89.800041997398182</v>
      </c>
      <c r="CZ101" s="62">
        <f t="shared" si="96"/>
        <v>286.94570078060917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12.772158808786727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2.0143224169392028E-11</v>
      </c>
      <c r="DI101" s="24">
        <f t="shared" si="69"/>
        <v>12.772158808806871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367.51466260429623</v>
      </c>
      <c r="T102" s="62">
        <f t="shared" si="88"/>
        <v>297.32483725004136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4.8050217701317844E-10</v>
      </c>
      <c r="AC102" s="24">
        <f t="shared" si="57"/>
        <v>4.8050217701317844E-10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2.6602720026858149E-14</v>
      </c>
      <c r="AK102" s="14">
        <f t="shared" si="89"/>
        <v>4.6624771586320878E-13</v>
      </c>
      <c r="AL102" s="22">
        <f t="shared" si="58"/>
        <v>8.583811758418665E-13</v>
      </c>
      <c r="AM102" s="62">
        <f t="shared" si="59"/>
        <v>277.12283935441098</v>
      </c>
      <c r="AN102" s="62">
        <f ca="1">AVERAGE(OFFSET($AM$3,0,0,'Données projet'!$E$10+1,1))-AVERAGE(OFFSET($H$3,0,0,'Données projet'!$E$10+1,1))</f>
        <v>188.94867378904664</v>
      </c>
      <c r="AO102" s="62">
        <f t="shared" si="90"/>
        <v>242.84781402593833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3.9188858059906573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6.3853870506267524E-10</v>
      </c>
      <c r="AX102" s="23">
        <f t="shared" si="60"/>
        <v>3.9188858066291958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-6.7984728957526396E-14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367.11994336501527</v>
      </c>
      <c r="BJ102" s="62">
        <f t="shared" si="92"/>
        <v>390.81417197867484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4.017478377696138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8.6042169200420175E-10</v>
      </c>
      <c r="BS102" s="24">
        <f t="shared" si="63"/>
        <v>4.01747837855656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-5.6843418860808015E-14</v>
      </c>
      <c r="BZ102" s="14">
        <f>BY102*VLOOKUP('Données projet'!$B$12,Paramètres!$A$1:$I$89,3,0)*VLOOKUP('Données projet'!$B$12,Paramètres!$A$1:$I$89,5,0)</f>
        <v>-3.3992364478763198E-14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396.15172163885632</v>
      </c>
      <c r="CE102" s="62">
        <f t="shared" si="94"/>
        <v>624.94568617205198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6.0056938912091047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1.7707167001976435E-9</v>
      </c>
      <c r="CN102" s="24">
        <f t="shared" si="66"/>
        <v>6.0056938929798216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89.800041997398182</v>
      </c>
      <c r="CZ102" s="62">
        <f t="shared" si="96"/>
        <v>286.94570078060917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12.521704564794071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1.4243410405137864E-11</v>
      </c>
      <c r="DI102" s="24">
        <f t="shared" si="69"/>
        <v>12.521704564808314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367.51466260429623</v>
      </c>
      <c r="T103" s="62">
        <f t="shared" si="88"/>
        <v>297.32483725004136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3.397663477409173E-10</v>
      </c>
      <c r="AC103" s="24">
        <f t="shared" si="57"/>
        <v>3.397663477409173E-10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2.6602720026858149E-14</v>
      </c>
      <c r="AK103" s="14">
        <f t="shared" si="89"/>
        <v>4.6624771586320878E-13</v>
      </c>
      <c r="AL103" s="22">
        <f t="shared" si="58"/>
        <v>8.583811758418665E-13</v>
      </c>
      <c r="AM103" s="62">
        <f t="shared" si="59"/>
        <v>277.40405518371006</v>
      </c>
      <c r="AN103" s="62">
        <f ca="1">AVERAGE(OFFSET($AM$3,0,0,'Données projet'!$E$10+1,1))-AVERAGE(OFFSET($H$3,0,0,'Données projet'!$E$10+1,1))</f>
        <v>188.94867378904664</v>
      </c>
      <c r="AO103" s="62">
        <f t="shared" si="90"/>
        <v>242.84781402593833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3.8420388456195012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4.5151504839989451E-10</v>
      </c>
      <c r="AX103" s="23">
        <f t="shared" si="60"/>
        <v>3.8420388460710164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-6.7984728957526396E-14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367.11994336501527</v>
      </c>
      <c r="BJ103" s="62">
        <f t="shared" si="92"/>
        <v>390.81417197867484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3.9386980771293683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6.0841001309617406E-10</v>
      </c>
      <c r="BS103" s="24">
        <f t="shared" si="63"/>
        <v>3.9386980777377785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-5.6843418860808015E-14</v>
      </c>
      <c r="BZ103" s="14">
        <f>BY103*VLOOKUP('Données projet'!$B$12,Paramètres!$A$1:$I$89,3,0)*VLOOKUP('Données projet'!$B$12,Paramètres!$A$1:$I$89,5,0)</f>
        <v>-3.3992364478763198E-14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396.15172163885632</v>
      </c>
      <c r="CE103" s="62">
        <f t="shared" si="94"/>
        <v>624.94568617205198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5.8879258971140658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1.2520857862700205E-9</v>
      </c>
      <c r="CN103" s="24">
        <f t="shared" si="66"/>
        <v>5.8879258983661513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89.800041997398182</v>
      </c>
      <c r="CZ103" s="62">
        <f t="shared" si="96"/>
        <v>286.94570078060917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12.276161575764105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1.0071612084696015E-11</v>
      </c>
      <c r="DI103" s="24">
        <f t="shared" si="69"/>
        <v>12.276161575774177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367.51466260429623</v>
      </c>
      <c r="T104" s="62">
        <f t="shared" si="88"/>
        <v>297.32483725004136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2.4025108850658922E-10</v>
      </c>
      <c r="AC104" s="24">
        <f t="shared" si="57"/>
        <v>2.4025108850658922E-10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2.6602720026858149E-14</v>
      </c>
      <c r="AK104" s="14">
        <f t="shared" si="89"/>
        <v>4.6624771586320878E-13</v>
      </c>
      <c r="AL104" s="22">
        <f t="shared" si="58"/>
        <v>8.583811758418665E-13</v>
      </c>
      <c r="AM104" s="62">
        <f t="shared" si="59"/>
        <v>277.68039254707526</v>
      </c>
      <c r="AN104" s="62">
        <f ca="1">AVERAGE(OFFSET($AM$3,0,0,'Données projet'!$E$10+1,1))-AVERAGE(OFFSET($H$3,0,0,'Données projet'!$E$10+1,1))</f>
        <v>188.94867378904664</v>
      </c>
      <c r="AO104" s="62">
        <f t="shared" si="90"/>
        <v>242.84781402593833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3.766698807269206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3.1926935253133767E-10</v>
      </c>
      <c r="AX104" s="23">
        <f t="shared" si="60"/>
        <v>3.7666988075884755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-6.7984728957526396E-14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367.11994336501527</v>
      </c>
      <c r="BJ104" s="62">
        <f t="shared" si="92"/>
        <v>390.81417197867484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3.8614626102054741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4.3021084600210087E-10</v>
      </c>
      <c r="BS104" s="24">
        <f t="shared" si="63"/>
        <v>3.8614626106356851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>
        <f>BY104*VLOOKUP('Données projet'!$B$12,Paramètres!$A$1:$I$89,3,0)*VLOOKUP('Données projet'!$B$12,Paramètres!$A$1:$I$89,5,0)</f>
        <v>-3.3992364478763198E-14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396.15172163885632</v>
      </c>
      <c r="CE104" s="62">
        <f t="shared" si="94"/>
        <v>624.94568617205198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5.7724672615518466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8.8535835009882174E-10</v>
      </c>
      <c r="CN104" s="24">
        <f t="shared" si="66"/>
        <v>5.7724672624372051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89.800041997398182</v>
      </c>
      <c r="CZ104" s="62">
        <f t="shared" si="96"/>
        <v>286.94570078060917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12.035433534982582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7.1217052025689338E-12</v>
      </c>
      <c r="DI104" s="24">
        <f t="shared" si="69"/>
        <v>12.035433534989703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367.51466260429623</v>
      </c>
      <c r="T105" s="62">
        <f t="shared" si="88"/>
        <v>297.32483725004136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1.6988317387045865E-10</v>
      </c>
      <c r="AC105" s="24">
        <f t="shared" si="57"/>
        <v>1.6988317387045865E-10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2.6602720026858149E-14</v>
      </c>
      <c r="AK105" s="14">
        <f t="shared" si="89"/>
        <v>4.6624771586320878E-13</v>
      </c>
      <c r="AL105" s="22">
        <f t="shared" si="58"/>
        <v>8.583811758418665E-13</v>
      </c>
      <c r="AM105" s="62">
        <f t="shared" si="59"/>
        <v>277.95193607498379</v>
      </c>
      <c r="AN105" s="62">
        <f ca="1">AVERAGE(OFFSET($AM$3,0,0,'Données projet'!$E$10+1,1))-AVERAGE(OFFSET($H$3,0,0,'Données projet'!$E$10+1,1))</f>
        <v>188.94867378904664</v>
      </c>
      <c r="AO105" s="62">
        <f t="shared" si="90"/>
        <v>242.84781402593833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3.6928361411180739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2.2575752419994731E-10</v>
      </c>
      <c r="AX105" s="23">
        <f t="shared" si="60"/>
        <v>3.6928361413438315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-6.7984728957526396E-14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367.11994336501527</v>
      </c>
      <c r="BJ105" s="62">
        <f t="shared" si="92"/>
        <v>390.81417197867484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3.7857416836789746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3.0420500654808703E-10</v>
      </c>
      <c r="BS105" s="24">
        <f t="shared" si="63"/>
        <v>3.7857416839831797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>
        <f>BY105*VLOOKUP('Données projet'!$B$12,Paramètres!$A$1:$I$89,3,0)*VLOOKUP('Données projet'!$B$12,Paramètres!$A$1:$I$89,5,0)</f>
        <v>-3.3992364478763198E-14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396.15172163885632</v>
      </c>
      <c r="CE105" s="62">
        <f t="shared" si="94"/>
        <v>624.94568617205198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5.659272699410189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6.2604289313501027E-10</v>
      </c>
      <c r="CN105" s="24">
        <f t="shared" si="66"/>
        <v>5.6592727000362322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89.800041997398182</v>
      </c>
      <c r="CZ105" s="62">
        <f t="shared" si="96"/>
        <v>286.94570078060917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11.799426024251177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5.0358060423480085E-12</v>
      </c>
      <c r="DI105" s="24">
        <f t="shared" si="69"/>
        <v>11.799426024256213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367.51466260429623</v>
      </c>
      <c r="T106" s="62">
        <f t="shared" si="88"/>
        <v>297.32483725004136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1.2012554425329461E-10</v>
      </c>
      <c r="AC106" s="24">
        <f t="shared" si="57"/>
        <v>1.2012554425329461E-10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2.6602720026858149E-14</v>
      </c>
      <c r="AK106" s="14">
        <f t="shared" si="89"/>
        <v>4.6624771586320878E-13</v>
      </c>
      <c r="AL106" s="22">
        <f t="shared" si="58"/>
        <v>8.583811758418665E-13</v>
      </c>
      <c r="AM106" s="62">
        <f t="shared" si="59"/>
        <v>278.21876892976354</v>
      </c>
      <c r="AN106" s="62">
        <f ca="1">AVERAGE(OFFSET($AM$3,0,0,'Données projet'!$E$10+1,1))-AVERAGE(OFFSET($H$3,0,0,'Données projet'!$E$10+1,1))</f>
        <v>188.94867378904664</v>
      </c>
      <c r="AO106" s="62">
        <f t="shared" si="90"/>
        <v>242.84781402593833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3.6204218767983876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1.5963467626566886E-10</v>
      </c>
      <c r="AX106" s="23">
        <f t="shared" si="60"/>
        <v>3.6204218769580221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-6.7984728957526396E-14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367.11994336501527</v>
      </c>
      <c r="BJ106" s="62">
        <f t="shared" si="92"/>
        <v>390.81417197867484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3.7115055983364549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2.1510542300105044E-10</v>
      </c>
      <c r="BS106" s="24">
        <f t="shared" si="63"/>
        <v>3.7115055985515601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>
        <f>BY106*VLOOKUP('Données projet'!$B$12,Paramètres!$A$1:$I$89,3,0)*VLOOKUP('Données projet'!$B$12,Paramètres!$A$1:$I$89,5,0)</f>
        <v>-3.3992364478763198E-14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396.15172163885632</v>
      </c>
      <c r="CE106" s="62">
        <f t="shared" si="94"/>
        <v>624.94568617205198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5.5482978135902634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4.4267917504941087E-10</v>
      </c>
      <c r="CN106" s="24">
        <f t="shared" si="66"/>
        <v>5.5482978140329422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89.800041997398182</v>
      </c>
      <c r="CZ106" s="62">
        <f t="shared" si="96"/>
        <v>286.94570078060917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11.568046476854848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3.5608526012844673E-12</v>
      </c>
      <c r="DI106" s="24">
        <f t="shared" si="69"/>
        <v>11.568046476858409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367.51466260429623</v>
      </c>
      <c r="T107" s="62">
        <f t="shared" si="88"/>
        <v>297.32483725004136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8.4941586935229326E-11</v>
      </c>
      <c r="AC107" s="24">
        <f t="shared" si="57"/>
        <v>8.4941586935229326E-11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2.6602720026858149E-14</v>
      </c>
      <c r="AK107" s="14">
        <f t="shared" si="89"/>
        <v>4.6624771586320878E-13</v>
      </c>
      <c r="AL107" s="22">
        <f t="shared" si="58"/>
        <v>8.583811758418665E-13</v>
      </c>
      <c r="AM107" s="62">
        <f t="shared" si="59"/>
        <v>278.48097283106176</v>
      </c>
      <c r="AN107" s="62">
        <f ca="1">AVERAGE(OFFSET($AM$3,0,0,'Données projet'!$E$10+1,1))-AVERAGE(OFFSET($H$3,0,0,'Données projet'!$E$10+1,1))</f>
        <v>188.94867378904664</v>
      </c>
      <c r="AO107" s="62">
        <f t="shared" si="90"/>
        <v>242.84781402593833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3.5494276120336705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1.1287876209997367E-10</v>
      </c>
      <c r="AX107" s="23">
        <f t="shared" si="60"/>
        <v>3.5494276121465491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-6.7984728957526396E-14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367.11994336501527</v>
      </c>
      <c r="BJ107" s="62">
        <f t="shared" si="92"/>
        <v>390.81417197867484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3.6387252373479608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1.5210250327404352E-10</v>
      </c>
      <c r="BS107" s="24">
        <f t="shared" si="63"/>
        <v>3.6387252375000632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>
        <f>BY107*VLOOKUP('Données projet'!$B$12,Paramètres!$A$1:$I$89,3,0)*VLOOKUP('Données projet'!$B$12,Paramètres!$A$1:$I$89,5,0)</f>
        <v>-3.3992364478763198E-14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396.15172163885632</v>
      </c>
      <c r="CE107" s="62">
        <f t="shared" si="94"/>
        <v>624.94568617205198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5.4394990775932701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3.1302144656750514E-10</v>
      </c>
      <c r="CN107" s="24">
        <f t="shared" si="66"/>
        <v>5.4394990779062917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89.800041997398182</v>
      </c>
      <c r="CZ107" s="62">
        <f t="shared" si="96"/>
        <v>286.94570078060917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11.341204141255371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2.5179030211740047E-12</v>
      </c>
      <c r="DI107" s="24">
        <f t="shared" si="69"/>
        <v>11.341204141257888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367.51466260429623</v>
      </c>
      <c r="T108" s="62">
        <f t="shared" si="88"/>
        <v>297.32483725004136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6.0062772126647305E-11</v>
      </c>
      <c r="AC108" s="24">
        <f t="shared" si="57"/>
        <v>6.0062772126647305E-11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2.6602720026858149E-14</v>
      </c>
      <c r="AK108" s="14">
        <f t="shared" si="89"/>
        <v>4.6624771586320878E-13</v>
      </c>
      <c r="AL108" s="22">
        <f t="shared" si="58"/>
        <v>8.583811758418665E-13</v>
      </c>
      <c r="AM108" s="62">
        <f t="shared" si="59"/>
        <v>278.73862808087262</v>
      </c>
      <c r="AN108" s="62">
        <f ca="1">AVERAGE(OFFSET($AM$3,0,0,'Données projet'!$E$10+1,1))-AVERAGE(OFFSET($H$3,0,0,'Données projet'!$E$10+1,1))</f>
        <v>188.94867378904664</v>
      </c>
      <c r="AO108" s="62">
        <f t="shared" si="90"/>
        <v>242.84781402593833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3.4798255014987638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7.9817338132834443E-11</v>
      </c>
      <c r="AX108" s="23">
        <f t="shared" si="60"/>
        <v>3.4798255015785813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-6.7984728957526396E-14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367.11994336501527</v>
      </c>
      <c r="BJ108" s="62">
        <f t="shared" si="92"/>
        <v>390.81417197867484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3.5673720548468144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1.0755271150052522E-10</v>
      </c>
      <c r="BS108" s="24">
        <f t="shared" si="63"/>
        <v>3.567372054954367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>
        <f>BY108*VLOOKUP('Données projet'!$B$12,Paramètres!$A$1:$I$89,3,0)*VLOOKUP('Données projet'!$B$12,Paramètres!$A$1:$I$89,5,0)</f>
        <v>-3.3992364478763198E-14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396.15172163885632</v>
      </c>
      <c r="CE108" s="62">
        <f t="shared" si="94"/>
        <v>624.94568617205198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5.3328338184485009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2.2133958752470543E-10</v>
      </c>
      <c r="CN108" s="24">
        <f t="shared" si="66"/>
        <v>5.3328338186698403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89.800041997398182</v>
      </c>
      <c r="CZ108" s="62">
        <f t="shared" si="96"/>
        <v>286.94570078060917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11.118810045496838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1.7804263006422341E-12</v>
      </c>
      <c r="DI108" s="24">
        <f t="shared" si="69"/>
        <v>11.118810045498618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367.51466260429623</v>
      </c>
      <c r="T109" s="62">
        <f t="shared" si="88"/>
        <v>297.32483725004136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4.2470793467614663E-11</v>
      </c>
      <c r="AC109" s="24">
        <f t="shared" si="57"/>
        <v>4.2470793467614663E-11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2.6602720026858149E-14</v>
      </c>
      <c r="AK109" s="14">
        <f t="shared" si="89"/>
        <v>4.6624771586320878E-13</v>
      </c>
      <c r="AL109" s="22">
        <f t="shared" si="58"/>
        <v>8.583811758418665E-13</v>
      </c>
      <c r="AM109" s="62">
        <f t="shared" si="59"/>
        <v>278.99181358812996</v>
      </c>
      <c r="AN109" s="62">
        <f ca="1">AVERAGE(OFFSET($AM$3,0,0,'Données projet'!$E$10+1,1))-AVERAGE(OFFSET($H$3,0,0,'Données projet'!$E$10+1,1))</f>
        <v>188.94867378904664</v>
      </c>
      <c r="AO109" s="62">
        <f t="shared" si="90"/>
        <v>242.84781402593833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3.4115882458983511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5.6439381049986847E-11</v>
      </c>
      <c r="AX109" s="23">
        <f t="shared" si="60"/>
        <v>3.4115882459547904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-6.7984728957526396E-14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367.11994336501527</v>
      </c>
      <c r="BJ109" s="62">
        <f t="shared" si="92"/>
        <v>390.81417197867484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3.4974180647333712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7.6051251637021758E-11</v>
      </c>
      <c r="BS109" s="24">
        <f t="shared" si="63"/>
        <v>3.4974180648094224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>
        <f>BY109*VLOOKUP('Données projet'!$B$12,Paramètres!$A$1:$I$89,3,0)*VLOOKUP('Données projet'!$B$12,Paramètres!$A$1:$I$89,5,0)</f>
        <v>-3.3992364478763198E-14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396.15172163885632</v>
      </c>
      <c r="CE109" s="62">
        <f t="shared" si="94"/>
        <v>624.94568617205198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5.2282601999761766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1.5651072328375257E-10</v>
      </c>
      <c r="CN109" s="24">
        <f t="shared" si="66"/>
        <v>5.228260200132687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89.800041997398182</v>
      </c>
      <c r="CZ109" s="62">
        <f t="shared" si="96"/>
        <v>286.94570078060917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10.900776962309125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1.2589515105870025E-12</v>
      </c>
      <c r="DI109" s="24">
        <f t="shared" si="69"/>
        <v>10.900776962310385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367.51466260429623</v>
      </c>
      <c r="T110" s="62">
        <f t="shared" si="88"/>
        <v>297.32483725004136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3.0031386063323652E-11</v>
      </c>
      <c r="AC110" s="24">
        <f t="shared" si="57"/>
        <v>3.0031386063323652E-11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2.6602720026858149E-14</v>
      </c>
      <c r="AK110" s="14">
        <f t="shared" si="89"/>
        <v>4.6624771586320878E-13</v>
      </c>
      <c r="AL110" s="22">
        <f t="shared" si="58"/>
        <v>8.583811758418665E-13</v>
      </c>
      <c r="AM110" s="62">
        <f t="shared" si="59"/>
        <v>279.2406068928745</v>
      </c>
      <c r="AN110" s="62">
        <f ca="1">AVERAGE(OFFSET($AM$3,0,0,'Données projet'!$E$10+1,1))-AVERAGE(OFFSET($H$3,0,0,'Données projet'!$E$10+1,1))</f>
        <v>188.94867378904664</v>
      </c>
      <c r="AO110" s="62">
        <f t="shared" si="90"/>
        <v>242.84781402593833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3.3446890812596464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3.9908669066417228E-11</v>
      </c>
      <c r="AX110" s="23">
        <f t="shared" si="60"/>
        <v>3.3446890812995549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-6.7984728957526396E-14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367.11994336501527</v>
      </c>
      <c r="BJ110" s="62">
        <f t="shared" si="92"/>
        <v>390.81417197867484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3.4288358296983321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5.3776355750262609E-11</v>
      </c>
      <c r="BS110" s="24">
        <f t="shared" si="63"/>
        <v>3.4288358297521087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>
        <f>BY110*VLOOKUP('Données projet'!$B$12,Paramètres!$A$1:$I$89,3,0)*VLOOKUP('Données projet'!$B$12,Paramètres!$A$1:$I$89,5,0)</f>
        <v>-3.3992364478763198E-14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396.15172163885632</v>
      </c>
      <c r="CE110" s="62">
        <f t="shared" si="94"/>
        <v>624.94568617205198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5.1257372063784858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1.1066979376235272E-10</v>
      </c>
      <c r="CN110" s="24">
        <f t="shared" si="66"/>
        <v>5.1257372064891555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89.800041997398182</v>
      </c>
      <c r="CZ110" s="62">
        <f t="shared" si="96"/>
        <v>286.94570078060917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10.687019374895675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8.9021315032111713E-13</v>
      </c>
      <c r="DI110" s="24">
        <f t="shared" si="69"/>
        <v>10.687019374896565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367.51466260429623</v>
      </c>
      <c r="T111" s="62">
        <f t="shared" si="88"/>
        <v>297.32483725004136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2.1235396733807332E-11</v>
      </c>
      <c r="AC111" s="24">
        <f t="shared" si="57"/>
        <v>2.1235396733807332E-11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2.6602720026858149E-14</v>
      </c>
      <c r="AK111" s="14">
        <f t="shared" si="89"/>
        <v>4.6624771586320878E-13</v>
      </c>
      <c r="AL111" s="22">
        <f t="shared" si="58"/>
        <v>8.583811758418665E-13</v>
      </c>
      <c r="AM111" s="62">
        <f t="shared" si="59"/>
        <v>279.48508419000018</v>
      </c>
      <c r="AN111" s="62">
        <f ca="1">AVERAGE(OFFSET($AM$3,0,0,'Données projet'!$E$10+1,1))-AVERAGE(OFFSET($H$3,0,0,'Données projet'!$E$10+1,1))</f>
        <v>188.94867378904664</v>
      </c>
      <c r="AO111" s="62">
        <f t="shared" si="90"/>
        <v>242.84781402593833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3.2791017684350452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2.8219690524993427E-11</v>
      </c>
      <c r="AX111" s="23">
        <f t="shared" si="60"/>
        <v>3.2791017684632648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-6.7984728957526396E-14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367.11994336501527</v>
      </c>
      <c r="BJ111" s="62">
        <f t="shared" si="92"/>
        <v>390.81417197867484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3.361598450461297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3.8025625818510879E-11</v>
      </c>
      <c r="BS111" s="24">
        <f t="shared" si="63"/>
        <v>3.3615984504993226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>
        <f>BY111*VLOOKUP('Données projet'!$B$12,Paramètres!$A$1:$I$89,3,0)*VLOOKUP('Données projet'!$B$12,Paramètres!$A$1:$I$89,5,0)</f>
        <v>-3.3992364478763198E-14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396.15172163885632</v>
      </c>
      <c r="CE111" s="62">
        <f t="shared" si="94"/>
        <v>624.94568617205198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5.0252246261523945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7.8255361641876284E-11</v>
      </c>
      <c r="CN111" s="24">
        <f t="shared" si="66"/>
        <v>5.0252246262306501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89.800041997398182</v>
      </c>
      <c r="CZ111" s="62">
        <f t="shared" si="96"/>
        <v>286.94570078060917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10.477453443392147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6.2947575529350136E-13</v>
      </c>
      <c r="DI111" s="24">
        <f t="shared" si="69"/>
        <v>10.477453443392776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367.51466260429623</v>
      </c>
      <c r="T112" s="62">
        <f t="shared" si="88"/>
        <v>297.32483725004136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1.5015693031661826E-11</v>
      </c>
      <c r="AC112" s="24">
        <f t="shared" si="57"/>
        <v>1.5015693031661826E-11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2.6602720026858149E-14</v>
      </c>
      <c r="AK112" s="14">
        <f t="shared" si="89"/>
        <v>4.6624771586320878E-13</v>
      </c>
      <c r="AL112" s="22">
        <f t="shared" si="58"/>
        <v>8.583811758418665E-13</v>
      </c>
      <c r="AM112" s="62">
        <f t="shared" si="59"/>
        <v>279.72532035259013</v>
      </c>
      <c r="AN112" s="62">
        <f ca="1">AVERAGE(OFFSET($AM$3,0,0,'Données projet'!$E$10+1,1))-AVERAGE(OFFSET($H$3,0,0,'Données projet'!$E$10+1,1))</f>
        <v>188.94867378904664</v>
      </c>
      <c r="AO112" s="62">
        <f t="shared" si="90"/>
        <v>242.84781402593833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3.2148005828106236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1.9954334533208617E-11</v>
      </c>
      <c r="AX112" s="23">
        <f t="shared" si="60"/>
        <v>3.2148005828305779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-6.7984728957526396E-14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367.11994336501527</v>
      </c>
      <c r="BJ112" s="62">
        <f t="shared" si="92"/>
        <v>390.81417197867484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3.2956795552203482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2.6888177875131305E-11</v>
      </c>
      <c r="BS112" s="24">
        <f t="shared" si="63"/>
        <v>3.2956795552472364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>
        <f>BY112*VLOOKUP('Données projet'!$B$12,Paramètres!$A$1:$I$89,3,0)*VLOOKUP('Données projet'!$B$12,Paramètres!$A$1:$I$89,5,0)</f>
        <v>-3.3992364478763198E-14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396.15172163885632</v>
      </c>
      <c r="CE112" s="62">
        <f t="shared" si="94"/>
        <v>624.94568617205198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4.9266830363179164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5.5334896881176359E-11</v>
      </c>
      <c r="CN112" s="24">
        <f t="shared" si="66"/>
        <v>4.9266830363732517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89.800041997398182</v>
      </c>
      <c r="CZ112" s="62">
        <f t="shared" si="96"/>
        <v>286.94570078060917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10.271996971982807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4.4510657516055862E-13</v>
      </c>
      <c r="DI112" s="24">
        <f t="shared" si="69"/>
        <v>10.271996971983253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367.51466260429623</v>
      </c>
      <c r="T113" s="62">
        <f t="shared" si="88"/>
        <v>297.32483725004136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1.0617698366903666E-11</v>
      </c>
      <c r="AC113" s="24">
        <f t="shared" si="57"/>
        <v>1.0617698366903666E-11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2.6602720026858149E-14</v>
      </c>
      <c r="AK113" s="14">
        <f t="shared" si="89"/>
        <v>4.6624771586320878E-13</v>
      </c>
      <c r="AL113" s="22">
        <f t="shared" si="58"/>
        <v>8.583811758418665E-13</v>
      </c>
      <c r="AM113" s="62">
        <f t="shared" si="59"/>
        <v>279.96138895484671</v>
      </c>
      <c r="AN113" s="62">
        <f ca="1">AVERAGE(OFFSET($AM$3,0,0,'Données projet'!$E$10+1,1))-AVERAGE(OFFSET($H$3,0,0,'Données projet'!$E$10+1,1))</f>
        <v>188.94867378904664</v>
      </c>
      <c r="AO113" s="62">
        <f t="shared" si="90"/>
        <v>242.84781402593833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3.1517603042164466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1.4109845262496715E-11</v>
      </c>
      <c r="AX113" s="23">
        <f t="shared" si="60"/>
        <v>3.1517603042305566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-6.7984728957526396E-14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367.11994336501527</v>
      </c>
      <c r="BJ113" s="62">
        <f t="shared" si="92"/>
        <v>390.81417197867484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3.2310532893085182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1.9012812909255439E-11</v>
      </c>
      <c r="BS113" s="24">
        <f t="shared" si="63"/>
        <v>3.231053289327531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>
        <f>BY113*VLOOKUP('Données projet'!$B$12,Paramètres!$A$1:$I$89,3,0)*VLOOKUP('Données projet'!$B$12,Paramètres!$A$1:$I$89,5,0)</f>
        <v>-3.3992364478763198E-14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396.15172163885632</v>
      </c>
      <c r="CE113" s="62">
        <f t="shared" si="94"/>
        <v>624.94568617205198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4.8300737869556567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3.9127680820938142E-11</v>
      </c>
      <c r="CN113" s="24">
        <f t="shared" si="66"/>
        <v>4.8300737869947845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89.800041997398182</v>
      </c>
      <c r="CZ113" s="62">
        <f t="shared" si="96"/>
        <v>286.94570078060917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10.07056937666173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3.1473787764675073E-13</v>
      </c>
      <c r="DI113" s="24">
        <f t="shared" si="69"/>
        <v>10.070569376662045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367.51466260429623</v>
      </c>
      <c r="T114" s="62">
        <f t="shared" si="88"/>
        <v>297.32483725004136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7.5078465158309131E-12</v>
      </c>
      <c r="AC114" s="24">
        <f t="shared" si="57"/>
        <v>7.5078465158309131E-12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2.6602720026858149E-14</v>
      </c>
      <c r="AK114" s="14">
        <f t="shared" si="89"/>
        <v>4.6624771586320878E-13</v>
      </c>
      <c r="AL114" s="22">
        <f t="shared" si="58"/>
        <v>8.583811758418665E-13</v>
      </c>
      <c r="AM114" s="62">
        <f t="shared" si="59"/>
        <v>280.19336229462442</v>
      </c>
      <c r="AN114" s="62">
        <f ca="1">AVERAGE(OFFSET($AM$3,0,0,'Données projet'!$E$10+1,1))-AVERAGE(OFFSET($H$3,0,0,'Données projet'!$E$10+1,1))</f>
        <v>188.94867378904664</v>
      </c>
      <c r="AO114" s="62">
        <f t="shared" si="90"/>
        <v>242.84781402593833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3.089956207034728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9.9771672666043103E-12</v>
      </c>
      <c r="AX114" s="23">
        <f t="shared" si="60"/>
        <v>3.0899562070447053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-6.7984728957526396E-14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367.11994336501527</v>
      </c>
      <c r="BJ114" s="62">
        <f t="shared" si="92"/>
        <v>390.81417197867484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3.1676943050530895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1.3444088937565652E-11</v>
      </c>
      <c r="BS114" s="24">
        <f t="shared" si="63"/>
        <v>3.1676943050665334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-3.3992364478763198E-14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396.15172163885632</v>
      </c>
      <c r="CE114" s="62">
        <f t="shared" si="94"/>
        <v>624.94568617205198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4.7353589860475678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2.7667448440588179E-11</v>
      </c>
      <c r="CN114" s="24">
        <f t="shared" si="66"/>
        <v>4.7353589860752354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89.800041997398182</v>
      </c>
      <c r="CZ114" s="62">
        <f t="shared" si="96"/>
        <v>286.94570078060917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9.8730916536261972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2.2255328758027936E-13</v>
      </c>
      <c r="DI114" s="24">
        <f t="shared" si="69"/>
        <v>9.8730916536264193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367.51466260429623</v>
      </c>
      <c r="T115" s="62">
        <f t="shared" si="88"/>
        <v>297.32483725004136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5.3088491834518329E-12</v>
      </c>
      <c r="AC115" s="24">
        <f t="shared" si="57"/>
        <v>5.3088491834518329E-12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2.6602720026858149E-14</v>
      </c>
      <c r="AK115" s="14">
        <f t="shared" si="89"/>
        <v>4.6624771586320878E-13</v>
      </c>
      <c r="AL115" s="22">
        <f t="shared" si="58"/>
        <v>8.583811758418665E-13</v>
      </c>
      <c r="AM115" s="62">
        <f t="shared" si="59"/>
        <v>280.42131141557172</v>
      </c>
      <c r="AN115" s="62">
        <f ca="1">AVERAGE(OFFSET($AM$3,0,0,'Données projet'!$E$10+1,1))-AVERAGE(OFFSET($H$3,0,0,'Données projet'!$E$10+1,1))</f>
        <v>188.94867378904664</v>
      </c>
      <c r="AO115" s="62">
        <f t="shared" si="90"/>
        <v>242.84781402593833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3.0293640505019659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7.0549226312483591E-12</v>
      </c>
      <c r="AX115" s="23">
        <f t="shared" si="60"/>
        <v>3.0293640505090207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-6.7984728957526396E-14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367.11994336501527</v>
      </c>
      <c r="BJ115" s="62">
        <f t="shared" si="92"/>
        <v>390.81417197867484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3.1055777518337453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9.5064064546277197E-12</v>
      </c>
      <c r="BS115" s="24">
        <f t="shared" si="63"/>
        <v>3.1055777518432519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-3.3992364478763198E-14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396.15172163885632</v>
      </c>
      <c r="CE115" s="62">
        <f t="shared" si="94"/>
        <v>624.94568617205198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4.6425014846149617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1.9563840410469071E-11</v>
      </c>
      <c r="CN115" s="24">
        <f t="shared" si="66"/>
        <v>4.6425014846345256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89.800041997398182</v>
      </c>
      <c r="CZ115" s="62">
        <f t="shared" si="96"/>
        <v>286.94570078060917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9.6794863482898741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1.5736893882337539E-13</v>
      </c>
      <c r="DI115" s="24">
        <f t="shared" si="69"/>
        <v>9.6794863482900322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367.51466260429623</v>
      </c>
      <c r="T116" s="62">
        <f t="shared" si="88"/>
        <v>297.32483725004136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3.7539232579154566E-12</v>
      </c>
      <c r="AC116" s="24">
        <f t="shared" si="57"/>
        <v>3.7539232579154566E-12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2.6602720026858149E-14</v>
      </c>
      <c r="AK116" s="14">
        <f t="shared" si="89"/>
        <v>4.6624771586320878E-13</v>
      </c>
      <c r="AL116" s="22">
        <f t="shared" si="58"/>
        <v>8.583811758418665E-13</v>
      </c>
      <c r="AM116" s="62">
        <f t="shared" si="59"/>
        <v>280.64530612888848</v>
      </c>
      <c r="AN116" s="62">
        <f ca="1">AVERAGE(OFFSET($AM$3,0,0,'Données projet'!$E$10+1,1))-AVERAGE(OFFSET($H$3,0,0,'Données projet'!$E$10+1,1))</f>
        <v>188.94867378904664</v>
      </c>
      <c r="AO116" s="62">
        <f t="shared" si="90"/>
        <v>242.84781402593833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2.9699600692012451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4.9885836333021559E-12</v>
      </c>
      <c r="AX116" s="23">
        <f t="shared" si="60"/>
        <v>2.9699600692062336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-6.7984728957526396E-14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367.11994336501527</v>
      </c>
      <c r="BJ116" s="62">
        <f t="shared" si="92"/>
        <v>390.81417197867484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3.0446792663356761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6.7220444687828262E-12</v>
      </c>
      <c r="BS116" s="24">
        <f t="shared" si="63"/>
        <v>3.0446792663423983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-3.3992364478763198E-14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396.15172163885632</v>
      </c>
      <c r="CE116" s="62">
        <f t="shared" si="94"/>
        <v>624.94568617205198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4.5514648621479656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1.383372422029409E-11</v>
      </c>
      <c r="CN116" s="24">
        <f t="shared" si="66"/>
        <v>4.551464862161799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89.800041997398182</v>
      </c>
      <c r="CZ116" s="62">
        <f t="shared" si="96"/>
        <v>286.94570078060917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9.4896775249036196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1.1127664379013969E-13</v>
      </c>
      <c r="DI116" s="24">
        <f t="shared" si="69"/>
        <v>9.4896775249037315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367.51466260429623</v>
      </c>
      <c r="T117" s="62">
        <f t="shared" si="88"/>
        <v>297.32483725004136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2.6544245917259164E-12</v>
      </c>
      <c r="AC117" s="24">
        <f t="shared" si="57"/>
        <v>2.6544245917259164E-12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2.6602720026858149E-14</v>
      </c>
      <c r="AK117" s="14">
        <f t="shared" si="89"/>
        <v>4.6624771586320878E-13</v>
      </c>
      <c r="AL117" s="22">
        <f t="shared" si="58"/>
        <v>8.583811758418665E-13</v>
      </c>
      <c r="AM117" s="62">
        <f t="shared" si="59"/>
        <v>280.8654150347063</v>
      </c>
      <c r="AN117" s="62">
        <f ca="1">AVERAGE(OFFSET($AM$3,0,0,'Données projet'!$E$10+1,1))-AVERAGE(OFFSET($H$3,0,0,'Données projet'!$E$10+1,1))</f>
        <v>188.94867378904664</v>
      </c>
      <c r="AO117" s="62">
        <f t="shared" si="90"/>
        <v>242.84781402593833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2.9117209637409807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3.5274613156241799E-12</v>
      </c>
      <c r="AX117" s="23">
        <f t="shared" si="60"/>
        <v>2.9117209637445081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-6.7984728957526396E-14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367.11994336501527</v>
      </c>
      <c r="BJ117" s="62">
        <f t="shared" si="92"/>
        <v>390.81417197867484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2.9849749629938156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4.7532032273138599E-12</v>
      </c>
      <c r="BS117" s="24">
        <f t="shared" si="63"/>
        <v>2.9849749629985687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-3.3992364478763198E-14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396.15172163885632</v>
      </c>
      <c r="CE117" s="62">
        <f t="shared" si="94"/>
        <v>624.94568617205198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4.4622134123206907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9.7819202052345355E-12</v>
      </c>
      <c r="CN117" s="24">
        <f t="shared" si="66"/>
        <v>4.4622134123304722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89.800041997398182</v>
      </c>
      <c r="CZ117" s="62">
        <f t="shared" si="96"/>
        <v>286.94570078060917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9.3035907367720192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7.8684469411687708E-14</v>
      </c>
      <c r="DI117" s="24">
        <f t="shared" si="69"/>
        <v>9.3035907367720974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367.51466260429623</v>
      </c>
      <c r="T118" s="62">
        <f t="shared" si="88"/>
        <v>297.32483725004136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1.8769616289577283E-12</v>
      </c>
      <c r="AC118" s="24">
        <f t="shared" si="57"/>
        <v>1.8769616289577283E-12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2.6602720026858149E-14</v>
      </c>
      <c r="AK118" s="14">
        <f t="shared" si="89"/>
        <v>4.6624771586320878E-13</v>
      </c>
      <c r="AL118" s="22">
        <f t="shared" si="58"/>
        <v>8.583811758418665E-13</v>
      </c>
      <c r="AM118" s="62">
        <f t="shared" si="59"/>
        <v>281.08170554309811</v>
      </c>
      <c r="AN118" s="62">
        <f ca="1">AVERAGE(OFFSET($AM$3,0,0,'Données projet'!$E$10+1,1))-AVERAGE(OFFSET($H$3,0,0,'Données projet'!$E$10+1,1))</f>
        <v>188.94867378904664</v>
      </c>
      <c r="AO118" s="62">
        <f t="shared" si="90"/>
        <v>242.84781402593833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2.8546238916164448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2.4942918166510784E-12</v>
      </c>
      <c r="AX118" s="23">
        <f t="shared" si="60"/>
        <v>2.8546238916189393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-6.7984728957526396E-14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367.11994336501527</v>
      </c>
      <c r="BJ118" s="62">
        <f t="shared" si="92"/>
        <v>390.81417197867484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2.9264414246244597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3.3610222343914131E-12</v>
      </c>
      <c r="BS118" s="24">
        <f t="shared" si="63"/>
        <v>2.9264414246278205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-3.3992364478763198E-14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396.15172163885632</v>
      </c>
      <c r="CE118" s="62">
        <f t="shared" si="94"/>
        <v>624.94568617205198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4.3747121289865198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6.9168621101470448E-12</v>
      </c>
      <c r="CN118" s="24">
        <f t="shared" si="66"/>
        <v>4.374712128993437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89.800041997398182</v>
      </c>
      <c r="CZ118" s="62">
        <f t="shared" si="96"/>
        <v>286.94570078060917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9.1211529970539456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5.5638321895069858E-14</v>
      </c>
      <c r="DI118" s="24">
        <f t="shared" si="69"/>
        <v>9.1211529970540006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367.51466260429623</v>
      </c>
      <c r="T119" s="62">
        <f t="shared" si="88"/>
        <v>297.32483725004136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1.3272122958629582E-12</v>
      </c>
      <c r="AC119" s="24">
        <f t="shared" si="57"/>
        <v>1.3272122958629582E-12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2.6602720026858149E-14</v>
      </c>
      <c r="AK119" s="14">
        <f t="shared" si="89"/>
        <v>4.6624771586320878E-13</v>
      </c>
      <c r="AL119" s="22">
        <f t="shared" si="58"/>
        <v>8.583811758418665E-13</v>
      </c>
      <c r="AM119" s="62">
        <f t="shared" si="59"/>
        <v>281.29424389472234</v>
      </c>
      <c r="AN119" s="62">
        <f ca="1">AVERAGE(OFFSET($AM$3,0,0,'Données projet'!$E$10+1,1))-AVERAGE(OFFSET($H$3,0,0,'Données projet'!$E$10+1,1))</f>
        <v>188.94867378904664</v>
      </c>
      <c r="AO119" s="62">
        <f t="shared" si="90"/>
        <v>242.84781402593833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2.798646458250496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1.7637306578120904E-12</v>
      </c>
      <c r="AX119" s="23">
        <f t="shared" si="60"/>
        <v>2.7986464582522599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-6.7984728957526396E-14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367.11994336501527</v>
      </c>
      <c r="BJ119" s="62">
        <f t="shared" si="92"/>
        <v>390.81417197867484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2.8690556932405937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2.3766016136569299E-12</v>
      </c>
      <c r="BS119" s="24">
        <f t="shared" si="63"/>
        <v>2.8690556932429705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-3.3992364478763198E-14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396.15172163885632</v>
      </c>
      <c r="CE119" s="62">
        <f t="shared" si="94"/>
        <v>624.94568617205198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4.2889266924480189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4.8909601026172678E-12</v>
      </c>
      <c r="CN119" s="24">
        <f t="shared" si="66"/>
        <v>4.2889266924529101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89.800041997398182</v>
      </c>
      <c r="CZ119" s="62">
        <f t="shared" si="96"/>
        <v>286.94570078060917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8.9422927501357101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3.9342234705843861E-14</v>
      </c>
      <c r="DI119" s="24">
        <f t="shared" si="69"/>
        <v>8.9422927501357492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367.51466260429623</v>
      </c>
      <c r="T120" s="62">
        <f t="shared" si="88"/>
        <v>297.32483725004136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9.3848081447886414E-13</v>
      </c>
      <c r="AC120" s="24">
        <f t="shared" si="57"/>
        <v>9.3848081447886414E-13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2.6602720026858149E-14</v>
      </c>
      <c r="AK120" s="14">
        <f t="shared" si="89"/>
        <v>4.6624771586320878E-13</v>
      </c>
      <c r="AL120" s="22">
        <f t="shared" si="58"/>
        <v>8.583811758418665E-13</v>
      </c>
      <c r="AM120" s="62">
        <f t="shared" si="59"/>
        <v>281.5030951811105</v>
      </c>
      <c r="AN120" s="62">
        <f ca="1">AVERAGE(OFFSET($AM$3,0,0,'Données projet'!$E$10+1,1))-AVERAGE(OFFSET($H$3,0,0,'Données projet'!$E$10+1,1))</f>
        <v>188.94867378904664</v>
      </c>
      <c r="AO120" s="62">
        <f t="shared" si="90"/>
        <v>242.84781402593833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2.7437667082099906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1.2471459083255394E-12</v>
      </c>
      <c r="AX120" s="23">
        <f t="shared" si="60"/>
        <v>2.7437667082112376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-6.7984728957526396E-14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367.11994336501527</v>
      </c>
      <c r="BJ120" s="62">
        <f t="shared" si="92"/>
        <v>390.81417197867484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2.812795261047325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1.6805111171957065E-12</v>
      </c>
      <c r="BS120" s="24">
        <f t="shared" si="63"/>
        <v>2.8127952610490055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-3.3992364478763198E-14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396.15172163885632</v>
      </c>
      <c r="CE120" s="62">
        <f t="shared" si="94"/>
        <v>624.94568617205198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4.2048234559960882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3.4584310550735224E-12</v>
      </c>
      <c r="CN120" s="24">
        <f t="shared" si="66"/>
        <v>4.2048234559995468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89.800041997398182</v>
      </c>
      <c r="CZ120" s="62">
        <f t="shared" si="96"/>
        <v>286.94570078060917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8.766939843565563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2.7819160947534932E-14</v>
      </c>
      <c r="DI120" s="24">
        <f t="shared" si="69"/>
        <v>8.7669398435655914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367.51466260429623</v>
      </c>
      <c r="T121" s="62">
        <f t="shared" si="88"/>
        <v>297.32483725004136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6.6360614793147911E-13</v>
      </c>
      <c r="AC121" s="24">
        <f t="shared" si="57"/>
        <v>6.6360614793147911E-13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2.6602720026858149E-14</v>
      </c>
      <c r="AK121" s="14">
        <f t="shared" si="89"/>
        <v>4.6624771586320878E-13</v>
      </c>
      <c r="AL121" s="22">
        <f t="shared" si="58"/>
        <v>8.583811758418665E-13</v>
      </c>
      <c r="AM121" s="62">
        <f t="shared" si="59"/>
        <v>281.70832336460126</v>
      </c>
      <c r="AN121" s="62">
        <f ca="1">AVERAGE(OFFSET($AM$3,0,0,'Données projet'!$E$10+1,1))-AVERAGE(OFFSET($H$3,0,0,'Données projet'!$E$10+1,1))</f>
        <v>188.94867378904664</v>
      </c>
      <c r="AO121" s="62">
        <f t="shared" si="90"/>
        <v>242.84781402593833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2.6899631165944369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8.8186532890604529E-13</v>
      </c>
      <c r="AX121" s="23">
        <f t="shared" si="60"/>
        <v>2.6899631165953188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-6.7984728957526396E-14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367.11994336501527</v>
      </c>
      <c r="BJ121" s="62">
        <f t="shared" si="92"/>
        <v>390.81417197867484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2.7576380616138914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1.188300806828465E-12</v>
      </c>
      <c r="BS121" s="24">
        <f t="shared" si="63"/>
        <v>2.7576380616150797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-3.3992364478763198E-14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396.15172163885632</v>
      </c>
      <c r="CE121" s="62">
        <f t="shared" si="94"/>
        <v>624.94568617205198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4.1223694327130707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2.4454800513086339E-12</v>
      </c>
      <c r="CN121" s="24">
        <f t="shared" si="66"/>
        <v>4.1223694327155158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89.800041997398182</v>
      </c>
      <c r="CZ121" s="62">
        <f t="shared" si="96"/>
        <v>286.94570078060917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8.5950255005385436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1.9671117352921933E-14</v>
      </c>
      <c r="DI121" s="24">
        <f t="shared" si="69"/>
        <v>8.5950255005385632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367.51466260429623</v>
      </c>
      <c r="T122" s="62">
        <f t="shared" si="88"/>
        <v>297.32483725004136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4.6924040723943207E-13</v>
      </c>
      <c r="AC122" s="24">
        <f t="shared" si="57"/>
        <v>4.6924040723943207E-13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2.6602720026858149E-14</v>
      </c>
      <c r="AK122" s="14">
        <f t="shared" si="89"/>
        <v>4.6624771586320878E-13</v>
      </c>
      <c r="AL122" s="22">
        <f t="shared" si="58"/>
        <v>8.583811758418665E-13</v>
      </c>
      <c r="AM122" s="62">
        <f t="shared" si="59"/>
        <v>281.90999129792999</v>
      </c>
      <c r="AN122" s="62">
        <f ca="1">AVERAGE(OFFSET($AM$3,0,0,'Données projet'!$E$10+1,1))-AVERAGE(OFFSET($H$3,0,0,'Données projet'!$E$10+1,1))</f>
        <v>188.94867378904664</v>
      </c>
      <c r="AO122" s="62">
        <f t="shared" si="90"/>
        <v>242.84781402593833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2.6372145805935139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6.235729541627698E-13</v>
      </c>
      <c r="AX122" s="23">
        <f t="shared" si="60"/>
        <v>2.6372145805941374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-6.7984728957526396E-14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367.11994336501527</v>
      </c>
      <c r="BJ122" s="62">
        <f t="shared" si="92"/>
        <v>390.81417197867484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2.7035624612187776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8.4025555859785327E-13</v>
      </c>
      <c r="BS122" s="24">
        <f t="shared" si="63"/>
        <v>2.7035624612196179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-3.3992364478763198E-14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396.15172163885632</v>
      </c>
      <c r="CE122" s="62">
        <f t="shared" si="94"/>
        <v>624.94568617205198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4.0415322825346456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1.7292155275367612E-12</v>
      </c>
      <c r="CN122" s="24">
        <f t="shared" si="66"/>
        <v>4.0415322825363749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89.800041997398182</v>
      </c>
      <c r="CZ122" s="62">
        <f t="shared" si="96"/>
        <v>286.94570078060917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8.4264822929208893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1.3909580473767468E-14</v>
      </c>
      <c r="DI122" s="24">
        <f t="shared" si="69"/>
        <v>8.4264822929209036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367.51466260429623</v>
      </c>
      <c r="T123" s="62">
        <f t="shared" si="88"/>
        <v>297.32483725004136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3.3180307396573956E-13</v>
      </c>
      <c r="AC123" s="24">
        <f t="shared" si="57"/>
        <v>3.3180307396573956E-13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2.6602720026858149E-14</v>
      </c>
      <c r="AK123" s="14">
        <f t="shared" si="89"/>
        <v>4.6624771586320878E-13</v>
      </c>
      <c r="AL123" s="22">
        <f t="shared" si="58"/>
        <v>8.583811758418665E-13</v>
      </c>
      <c r="AM123" s="62">
        <f t="shared" si="59"/>
        <v>282.10816074347747</v>
      </c>
      <c r="AN123" s="62">
        <f ca="1">AVERAGE(OFFSET($AM$3,0,0,'Données projet'!$E$10+1,1))-AVERAGE(OFFSET($H$3,0,0,'Données projet'!$E$10+1,1))</f>
        <v>188.94867378904664</v>
      </c>
      <c r="AO123" s="62">
        <f t="shared" si="90"/>
        <v>242.84781402593833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2.585500411210139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4.4093266445302274E-13</v>
      </c>
      <c r="AX123" s="23">
        <f t="shared" si="60"/>
        <v>2.5855004112105799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-6.7984728957526396E-14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367.11994336501527</v>
      </c>
      <c r="BJ123" s="62">
        <f t="shared" si="92"/>
        <v>390.81417197867484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2.6505472503645526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5.9415040341423248E-13</v>
      </c>
      <c r="BS123" s="24">
        <f t="shared" si="63"/>
        <v>2.6505472503651468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-3.3992364478763198E-14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396.15172163885632</v>
      </c>
      <c r="CE123" s="62">
        <f t="shared" si="94"/>
        <v>624.94568617205198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3.962280299565426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1.2227400256543169E-12</v>
      </c>
      <c r="CN123" s="24">
        <f t="shared" si="66"/>
        <v>3.9622802995666486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89.800041997398182</v>
      </c>
      <c r="CZ123" s="62">
        <f t="shared" si="96"/>
        <v>286.94570078060917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8.2612441148034108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9.8355586764609683E-15</v>
      </c>
      <c r="DI123" s="24">
        <f t="shared" si="69"/>
        <v>8.2612441148034215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367.51466260429623</v>
      </c>
      <c r="T124" s="62">
        <f t="shared" si="88"/>
        <v>297.32483725004136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2.3462020361971603E-13</v>
      </c>
      <c r="AC124" s="24">
        <f t="shared" si="57"/>
        <v>2.3462020361971603E-13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2.6602720026858149E-14</v>
      </c>
      <c r="AK124" s="14">
        <f t="shared" si="89"/>
        <v>4.6624771586320878E-13</v>
      </c>
      <c r="AL124" s="22">
        <f t="shared" si="58"/>
        <v>8.583811758418665E-13</v>
      </c>
      <c r="AM124" s="62">
        <f t="shared" si="59"/>
        <v>282.30289239218524</v>
      </c>
      <c r="AN124" s="62">
        <f ca="1">AVERAGE(OFFSET($AM$3,0,0,'Données projet'!$E$10+1,1))-AVERAGE(OFFSET($H$3,0,0,'Données projet'!$E$10+1,1))</f>
        <v>188.94867378904664</v>
      </c>
      <c r="AO124" s="62">
        <f t="shared" si="90"/>
        <v>242.84781402593833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2.5348003251458433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3.1178647708138495E-13</v>
      </c>
      <c r="AX124" s="23">
        <f t="shared" si="60"/>
        <v>2.5348003251461551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-6.7984728957526396E-14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367.11994336501527</v>
      </c>
      <c r="BJ124" s="62">
        <f t="shared" si="92"/>
        <v>390.81417197867484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2.5985716354590931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4.2012777929892664E-13</v>
      </c>
      <c r="BS124" s="24">
        <f t="shared" si="63"/>
        <v>2.5985716354595132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-3.3992364478763198E-14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396.15172163885632</v>
      </c>
      <c r="CE124" s="62">
        <f t="shared" si="94"/>
        <v>624.94568617205198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3.8845823996432962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8.6460776376838061E-13</v>
      </c>
      <c r="CN124" s="24">
        <f t="shared" si="66"/>
        <v>3.8845823996441609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89.800041997398182</v>
      </c>
      <c r="CZ124" s="62">
        <f t="shared" si="96"/>
        <v>286.94570078060917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8.0992461565734803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6.9547902368837355E-15</v>
      </c>
      <c r="DI124" s="24">
        <f t="shared" si="69"/>
        <v>8.0992461565734875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367.51466260429623</v>
      </c>
      <c r="T125" s="62">
        <f t="shared" si="88"/>
        <v>297.32483725004136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1.6590153698286978E-13</v>
      </c>
      <c r="AC125" s="24">
        <f t="shared" si="57"/>
        <v>1.6590153698286978E-13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2.6602720026858149E-14</v>
      </c>
      <c r="AK125" s="14">
        <f t="shared" si="89"/>
        <v>4.6624771586320878E-13</v>
      </c>
      <c r="AL125" s="22">
        <f t="shared" si="58"/>
        <v>8.583811758418665E-13</v>
      </c>
      <c r="AM125" s="62">
        <f t="shared" si="59"/>
        <v>282.49424588214265</v>
      </c>
      <c r="AN125" s="62">
        <f ca="1">AVERAGE(OFFSET($AM$3,0,0,'Données projet'!$E$10+1,1))-AVERAGE(OFFSET($H$3,0,0,'Données projet'!$E$10+1,1))</f>
        <v>188.94867378904664</v>
      </c>
      <c r="AO125" s="62">
        <f t="shared" si="90"/>
        <v>242.84781402593833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2.4850944368452694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2.204663322265114E-13</v>
      </c>
      <c r="AX125" s="23">
        <f t="shared" si="60"/>
        <v>2.4850944368454897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-6.7984728957526396E-14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367.11994336501527</v>
      </c>
      <c r="BJ125" s="62">
        <f t="shared" si="92"/>
        <v>390.81417197867484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2.5476152306599351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2.9707520170711624E-13</v>
      </c>
      <c r="BS125" s="24">
        <f t="shared" si="63"/>
        <v>2.5476152306602322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-3.3992364478763198E-14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396.15172163885632</v>
      </c>
      <c r="CE125" s="62">
        <f t="shared" si="94"/>
        <v>624.94568617205198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3.8084081081475998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6.1137001282715847E-13</v>
      </c>
      <c r="CN125" s="24">
        <f t="shared" si="66"/>
        <v>3.8084081081482113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89.800041997398182</v>
      </c>
      <c r="CZ125" s="62">
        <f t="shared" si="96"/>
        <v>286.94570078060917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7.9404248794954402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4.9177793382304849E-15</v>
      </c>
      <c r="DI125" s="24">
        <f t="shared" si="69"/>
        <v>7.9404248794954455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367.51466260429623</v>
      </c>
      <c r="T126" s="62">
        <f t="shared" si="88"/>
        <v>297.32483725004136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1.1731010180985802E-13</v>
      </c>
      <c r="AC126" s="24">
        <f t="shared" si="57"/>
        <v>1.1731010180985802E-13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2.6602720026858149E-14</v>
      </c>
      <c r="AK126" s="14">
        <f t="shared" si="89"/>
        <v>4.6624771586320878E-13</v>
      </c>
      <c r="AL126" s="22">
        <f t="shared" si="58"/>
        <v>8.583811758418665E-13</v>
      </c>
      <c r="AM126" s="62">
        <f t="shared" si="59"/>
        <v>282.68227981685152</v>
      </c>
      <c r="AN126" s="62">
        <f ca="1">AVERAGE(OFFSET($AM$3,0,0,'Données projet'!$E$10+1,1))-AVERAGE(OFFSET($H$3,0,0,'Données projet'!$E$10+1,1))</f>
        <v>188.94867378904664</v>
      </c>
      <c r="AO126" s="62">
        <f t="shared" si="90"/>
        <v>242.84781402593833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2.4363632506966715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1.558932385406925E-13</v>
      </c>
      <c r="AX126" s="23">
        <f t="shared" si="60"/>
        <v>2.4363632506968274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-6.7984728957526396E-14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367.11994336501527</v>
      </c>
      <c r="BJ126" s="62">
        <f t="shared" si="92"/>
        <v>390.81417197867484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2.4976580498785506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2.1006388964946332E-13</v>
      </c>
      <c r="BS126" s="24">
        <f t="shared" si="63"/>
        <v>2.4976580498787606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-3.3992364478763198E-14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396.15172163885632</v>
      </c>
      <c r="CE126" s="62">
        <f t="shared" si="94"/>
        <v>624.94568617205198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3.7337275480464038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4.323038818841903E-13</v>
      </c>
      <c r="CN126" s="24">
        <f t="shared" si="66"/>
        <v>3.7337275480468359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89.800041997398182</v>
      </c>
      <c r="CZ126" s="62">
        <f t="shared" si="96"/>
        <v>286.94570078060917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7.7847179907894866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3.4773951184418681E-15</v>
      </c>
      <c r="DI126" s="24">
        <f t="shared" si="69"/>
        <v>7.7847179907894901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367.51466260429623</v>
      </c>
      <c r="T127" s="62">
        <f t="shared" si="88"/>
        <v>297.32483725004136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8.2950768491434889E-14</v>
      </c>
      <c r="AC127" s="24">
        <f t="shared" si="57"/>
        <v>8.2950768491434889E-14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2.6602720026858149E-14</v>
      </c>
      <c r="AK127" s="14">
        <f t="shared" si="89"/>
        <v>4.6624771586320878E-13</v>
      </c>
      <c r="AL127" s="22">
        <f t="shared" si="58"/>
        <v>8.583811758418665E-13</v>
      </c>
      <c r="AM127" s="62">
        <f t="shared" si="59"/>
        <v>282.86705178317419</v>
      </c>
      <c r="AN127" s="62">
        <f ca="1">AVERAGE(OFFSET($AM$3,0,0,'Données projet'!$E$10+1,1))-AVERAGE(OFFSET($H$3,0,0,'Données projet'!$E$10+1,1))</f>
        <v>188.94867378904664</v>
      </c>
      <c r="AO127" s="62">
        <f t="shared" si="90"/>
        <v>242.84781402593833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2.3885876533853589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1.1023316611325571E-13</v>
      </c>
      <c r="AX127" s="23">
        <f t="shared" si="60"/>
        <v>2.3885876533854691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-6.7984728957526396E-14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367.11994336501527</v>
      </c>
      <c r="BJ127" s="62">
        <f t="shared" si="92"/>
        <v>390.81417197867484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2.4486804989414175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1.4853760085355812E-13</v>
      </c>
      <c r="BS127" s="24">
        <f t="shared" si="63"/>
        <v>2.4486804989415658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-3.3992364478763198E-14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396.15172163885632</v>
      </c>
      <c r="CE127" s="62">
        <f t="shared" si="94"/>
        <v>624.94568617205198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3.6605114281781486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3.0568500641357924E-13</v>
      </c>
      <c r="CN127" s="24">
        <f t="shared" si="66"/>
        <v>3.6605114281784541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89.800041997398182</v>
      </c>
      <c r="CZ127" s="62">
        <f t="shared" si="96"/>
        <v>286.94570078060917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7.6320644191992324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2.4588896691152429E-15</v>
      </c>
      <c r="DI127" s="24">
        <f t="shared" si="69"/>
        <v>7.6320644191992351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367.51466260429623</v>
      </c>
      <c r="T128" s="62">
        <f t="shared" si="88"/>
        <v>297.32483725004136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5.8655050904929009E-14</v>
      </c>
      <c r="AC128" s="24">
        <f t="shared" si="57"/>
        <v>5.8655050904929009E-14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2.6602720026858149E-14</v>
      </c>
      <c r="AK128" s="14">
        <f t="shared" si="89"/>
        <v>4.6624771586320878E-13</v>
      </c>
      <c r="AL128" s="22">
        <f t="shared" si="58"/>
        <v>8.583811758418665E-13</v>
      </c>
      <c r="AM128" s="62">
        <f t="shared" si="59"/>
        <v>283.04861836896936</v>
      </c>
      <c r="AN128" s="62">
        <f ca="1">AVERAGE(OFFSET($AM$3,0,0,'Données projet'!$E$10+1,1))-AVERAGE(OFFSET($H$3,0,0,'Données projet'!$E$10+1,1))</f>
        <v>188.94867378904664</v>
      </c>
      <c r="AO128" s="62">
        <f t="shared" si="90"/>
        <v>242.84781402593833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2.3417489063970844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7.7946619270346262E-14</v>
      </c>
      <c r="AX128" s="23">
        <f t="shared" si="60"/>
        <v>2.3417489063971626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-6.7984728957526396E-14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367.11994336501527</v>
      </c>
      <c r="BJ128" s="62">
        <f t="shared" si="92"/>
        <v>390.81417197867484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2.4006633679048051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1.0503194482473166E-13</v>
      </c>
      <c r="BS128" s="24">
        <f t="shared" si="63"/>
        <v>2.4006633679049103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-3.3992364478763198E-14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396.15172163885632</v>
      </c>
      <c r="CE128" s="62">
        <f t="shared" si="94"/>
        <v>624.94568617205198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3.5887310317630865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2.1615194094209515E-13</v>
      </c>
      <c r="CN128" s="24">
        <f t="shared" si="66"/>
        <v>3.5887310317633028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89.800041997398182</v>
      </c>
      <c r="CZ128" s="62">
        <f t="shared" si="96"/>
        <v>286.94570078060917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7.4824042910383781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1.7386975592209345E-15</v>
      </c>
      <c r="DI128" s="24">
        <f t="shared" si="69"/>
        <v>7.4824042910383799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367.51466260429623</v>
      </c>
      <c r="T129" s="62">
        <f t="shared" si="88"/>
        <v>297.32483725004136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4.1475384245717444E-14</v>
      </c>
      <c r="AC129" s="24">
        <f t="shared" si="57"/>
        <v>4.1475384245717444E-14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2.6602720026858149E-14</v>
      </c>
      <c r="AK129" s="14">
        <f t="shared" si="89"/>
        <v>4.6624771586320878E-13</v>
      </c>
      <c r="AL129" s="22">
        <f t="shared" si="58"/>
        <v>8.583811758418665E-13</v>
      </c>
      <c r="AM129" s="62">
        <f t="shared" si="59"/>
        <v>283.22703518042306</v>
      </c>
      <c r="AN129" s="62">
        <f ca="1">AVERAGE(OFFSET($AM$3,0,0,'Données projet'!$E$10+1,1))-AVERAGE(OFFSET($H$3,0,0,'Données projet'!$E$10+1,1))</f>
        <v>188.94867378904664</v>
      </c>
      <c r="AO129" s="62">
        <f t="shared" si="90"/>
        <v>242.84781402593833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2.2958286386684352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5.5116583056627868E-14</v>
      </c>
      <c r="AX129" s="23">
        <f t="shared" si="60"/>
        <v>2.2958286386684903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-6.7984728957526396E-14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367.11994336501527</v>
      </c>
      <c r="BJ129" s="62">
        <f t="shared" si="92"/>
        <v>390.81417197867484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2.3535878235202627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7.4268800426779061E-14</v>
      </c>
      <c r="BS129" s="24">
        <f t="shared" si="63"/>
        <v>2.3535878235203369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-3.3992364478763198E-14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396.15172163885632</v>
      </c>
      <c r="CE129" s="62">
        <f t="shared" si="94"/>
        <v>624.94568617205198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3.5183582051400051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1.5284250320678962E-13</v>
      </c>
      <c r="CN129" s="24">
        <f t="shared" si="66"/>
        <v>3.5183582051401578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89.800041997398182</v>
      </c>
      <c r="CZ129" s="62">
        <f t="shared" si="96"/>
        <v>286.94570078060917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7.335678906707094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1.2294448345576216E-15</v>
      </c>
      <c r="DI129" s="24">
        <f t="shared" si="69"/>
        <v>7.3356789067070949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367.51466260429623</v>
      </c>
      <c r="T130" s="62">
        <f t="shared" si="88"/>
        <v>297.32483725004136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2.9327525452464504E-14</v>
      </c>
      <c r="AC130" s="24">
        <f t="shared" si="57"/>
        <v>2.9327525452464504E-14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2.6602720026858149E-14</v>
      </c>
      <c r="AK130" s="14">
        <f t="shared" si="89"/>
        <v>4.6624771586320878E-13</v>
      </c>
      <c r="AL130" s="22">
        <f t="shared" si="58"/>
        <v>8.583811758418665E-13</v>
      </c>
      <c r="AM130" s="62">
        <f t="shared" si="59"/>
        <v>283.40235685907828</v>
      </c>
      <c r="AN130" s="62">
        <f ca="1">AVERAGE(OFFSET($AM$3,0,0,'Données projet'!$E$10+1,1))-AVERAGE(OFFSET($H$3,0,0,'Données projet'!$E$10+1,1))</f>
        <v>188.94867378904664</v>
      </c>
      <c r="AO130" s="62">
        <f t="shared" si="90"/>
        <v>242.84781402593833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2.2508088393813468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3.8973309635173138E-14</v>
      </c>
      <c r="AX130" s="23">
        <f t="shared" si="60"/>
        <v>2.2508088393813859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-6.7984728957526396E-14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367.11994336501527</v>
      </c>
      <c r="BJ130" s="62">
        <f t="shared" si="92"/>
        <v>390.81417197867484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2.3074354018478545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5.2515972412365829E-14</v>
      </c>
      <c r="BS130" s="24">
        <f t="shared" si="63"/>
        <v>2.3074354018479069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-3.3992364478763198E-14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396.15172163885632</v>
      </c>
      <c r="CE130" s="62">
        <f t="shared" si="94"/>
        <v>624.94568617205198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3.4493653467238161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1.0807597047104758E-13</v>
      </c>
      <c r="CN130" s="24">
        <f t="shared" si="66"/>
        <v>3.449365346723924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89.800041997398182</v>
      </c>
      <c r="CZ130" s="62">
        <f t="shared" si="96"/>
        <v>286.94570078060917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7.191830717668898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8.6934877961046733E-16</v>
      </c>
      <c r="DI130" s="24">
        <f t="shared" si="69"/>
        <v>7.1918307176688989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367.51466260429623</v>
      </c>
      <c r="T131" s="62">
        <f t="shared" si="88"/>
        <v>297.32483725004136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2.0737692122858722E-14</v>
      </c>
      <c r="AC131" s="24">
        <f t="shared" si="57"/>
        <v>2.0737692122858722E-14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2.6602720026858149E-14</v>
      </c>
      <c r="AK131" s="14">
        <f t="shared" si="89"/>
        <v>4.6624771586320878E-13</v>
      </c>
      <c r="AL131" s="22">
        <f t="shared" si="58"/>
        <v>8.583811758418665E-13</v>
      </c>
      <c r="AM131" s="62">
        <f t="shared" si="59"/>
        <v>283.57463709856938</v>
      </c>
      <c r="AN131" s="62">
        <f ca="1">AVERAGE(OFFSET($AM$3,0,0,'Données projet'!$E$10+1,1))-AVERAGE(OFFSET($H$3,0,0,'Données projet'!$E$10+1,1))</f>
        <v>188.94867378904664</v>
      </c>
      <c r="AO131" s="62">
        <f t="shared" si="90"/>
        <v>242.84781402593833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2.2066718508989123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2.7558291528313937E-14</v>
      </c>
      <c r="AX131" s="23">
        <f t="shared" si="60"/>
        <v>2.2066718508989398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-6.7984728957526396E-14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367.11994336501527</v>
      </c>
      <c r="BJ131" s="62">
        <f t="shared" si="92"/>
        <v>390.81417197867484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2.2621880010142443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3.713440021338953E-14</v>
      </c>
      <c r="BS131" s="24">
        <f t="shared" si="63"/>
        <v>2.2621880010142816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-3.3992364478763198E-14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396.15172163885632</v>
      </c>
      <c r="CE131" s="62">
        <f t="shared" si="94"/>
        <v>624.94568617205198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3.38172539617968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7.6421251603394809E-14</v>
      </c>
      <c r="CN131" s="24">
        <f t="shared" si="66"/>
        <v>3.3817253961797564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89.800041997398182</v>
      </c>
      <c r="CZ131" s="62">
        <f t="shared" si="96"/>
        <v>286.94570078060917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7.0508033038790092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6.1472241727881091E-16</v>
      </c>
      <c r="DI131" s="24">
        <f t="shared" si="69"/>
        <v>7.0508033038790101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367.51466260429623</v>
      </c>
      <c r="T132" s="62">
        <f t="shared" si="88"/>
        <v>297.32483725004136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1.4663762726232252E-14</v>
      </c>
      <c r="AC132" s="24">
        <f t="shared" ref="AC132:AC153" si="111">SUM(Z132:AB132)</f>
        <v>1.4663762726232252E-14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2.6602720026858149E-14</v>
      </c>
      <c r="AK132" s="14">
        <f t="shared" si="89"/>
        <v>4.6624771586320878E-13</v>
      </c>
      <c r="AL132" s="22">
        <f t="shared" ref="AL132:AL153" si="112">(AJ132+AK132)*0.475*44/12</f>
        <v>8.583811758418665E-13</v>
      </c>
      <c r="AM132" s="62">
        <f t="shared" ref="AM132:AM195" si="113">AL132+(AD132+AE132)*44/12</f>
        <v>283.74392866106621</v>
      </c>
      <c r="AN132" s="62">
        <f ca="1">AVERAGE(OFFSET($AM$3,0,0,'Données projet'!$E$10+1,1))-AVERAGE(OFFSET($H$3,0,0,'Données projet'!$E$10+1,1))</f>
        <v>188.94867378904664</v>
      </c>
      <c r="AO132" s="62">
        <f t="shared" si="90"/>
        <v>242.84781402593833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2.1634003618397135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1.9486654817586572E-14</v>
      </c>
      <c r="AX132" s="23">
        <f t="shared" ref="AX132:AX153" si="114">SUM(AU132:AW132)</f>
        <v>2.1634003618397331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-6.7984728957526396E-14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367.11994336501527</v>
      </c>
      <c r="BJ132" s="62">
        <f t="shared" si="92"/>
        <v>390.81417197867484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2.2178278741127917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2.6257986206182915E-14</v>
      </c>
      <c r="BS132" s="24">
        <f t="shared" ref="BS132:BS153" si="117">SUM(BP132:BR132)</f>
        <v>2.2178278741128179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-3.3992364478763198E-14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396.15172163885632</v>
      </c>
      <c r="CE132" s="62">
        <f t="shared" si="94"/>
        <v>624.94568617205198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3.3154118238094186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5.4037985235523788E-14</v>
      </c>
      <c r="CN132" s="24">
        <f t="shared" ref="CN132:CN153" si="120">SUM(CK132:CM132)</f>
        <v>3.3154118238094727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89.800041997398182</v>
      </c>
      <c r="CZ132" s="62">
        <f t="shared" si="96"/>
        <v>286.94570078060917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6.912541351655312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4.3467438980523376E-16</v>
      </c>
      <c r="DI132" s="24">
        <f t="shared" ref="DI132:DI153" si="123">SUM(DF132:DH132)</f>
        <v>6.912541351655312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367.51466260429623</v>
      </c>
      <c r="T133" s="62">
        <f t="shared" ref="T133:T196" si="142">$T$3</f>
        <v>297.32483725004136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1.0368846061429361E-14</v>
      </c>
      <c r="AC133" s="24">
        <f t="shared" si="111"/>
        <v>1.0368846061429361E-14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2.6602720026858149E-14</v>
      </c>
      <c r="AK133" s="14">
        <f t="shared" ref="AK133:AK153" si="143">EXP(-1.0587+0.8836*LN(AJ133)+0.284)</f>
        <v>4.6624771586320878E-13</v>
      </c>
      <c r="AL133" s="22">
        <f t="shared" si="112"/>
        <v>8.583811758418665E-13</v>
      </c>
      <c r="AM133" s="62">
        <f t="shared" si="113"/>
        <v>283.91028339343296</v>
      </c>
      <c r="AN133" s="62">
        <f ca="1">AVERAGE(OFFSET($AM$3,0,0,'Données projet'!$E$10+1,1))-AVERAGE(OFFSET($H$3,0,0,'Données projet'!$E$10+1,1))</f>
        <v>188.94867378904664</v>
      </c>
      <c r="AO133" s="62">
        <f t="shared" ref="AO133:AO196" si="144">$AO$3</f>
        <v>242.84781402593833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2.1209774002879631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1.3779145764156972E-14</v>
      </c>
      <c r="AX133" s="23">
        <f t="shared" si="114"/>
        <v>2.1209774002879769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-6.7984728957526396E-14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367.11994336501527</v>
      </c>
      <c r="BJ133" s="62">
        <f t="shared" ref="BJ133:BJ196" si="146">$BJ$3</f>
        <v>390.81417197867484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2.174337622242871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1.8567200106694765E-14</v>
      </c>
      <c r="BS133" s="24">
        <f t="shared" si="117"/>
        <v>2.1743376222428896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-3.3992364478763198E-14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396.15172163885632</v>
      </c>
      <c r="CE133" s="62">
        <f t="shared" ref="CE133:CE196" si="148">$CE$3</f>
        <v>624.94568617205198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3.2503986201460524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3.8210625801697404E-14</v>
      </c>
      <c r="CN133" s="24">
        <f t="shared" si="120"/>
        <v>3.2503986201460906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89.800041997398182</v>
      </c>
      <c r="CZ133" s="62">
        <f t="shared" ref="CZ133:CZ196" si="150">$CZ$3</f>
        <v>286.94570078060917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6.7769906319832574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3.0736120863940551E-16</v>
      </c>
      <c r="DI133" s="24">
        <f t="shared" si="123"/>
        <v>6.7769906319832574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367.51466260429623</v>
      </c>
      <c r="T134" s="62">
        <f t="shared" si="142"/>
        <v>297.32483725004136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7.3318813631161261E-15</v>
      </c>
      <c r="AC134" s="24">
        <f t="shared" si="111"/>
        <v>7.3318813631161261E-15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2.6602720026858149E-14</v>
      </c>
      <c r="AK134" s="14">
        <f t="shared" si="143"/>
        <v>4.6624771586320878E-13</v>
      </c>
      <c r="AL134" s="22">
        <f t="shared" si="112"/>
        <v>8.583811758418665E-13</v>
      </c>
      <c r="AM134" s="62">
        <f t="shared" si="113"/>
        <v>284.07375224310658</v>
      </c>
      <c r="AN134" s="62">
        <f ca="1">AVERAGE(OFFSET($AM$3,0,0,'Données projet'!$E$10+1,1))-AVERAGE(OFFSET($H$3,0,0,'Données projet'!$E$10+1,1))</f>
        <v>188.94867378904664</v>
      </c>
      <c r="AO134" s="62">
        <f t="shared" si="144"/>
        <v>242.84781402593833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2.0793863271367914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9.7433274087932875E-15</v>
      </c>
      <c r="AX134" s="23">
        <f t="shared" si="114"/>
        <v>2.0793863271368012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-6.7984728957526396E-14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367.11994336501527</v>
      </c>
      <c r="BJ134" s="62">
        <f t="shared" si="146"/>
        <v>390.81417197867484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2.1317001876856851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1.3128993103091457E-14</v>
      </c>
      <c r="BS134" s="24">
        <f t="shared" si="117"/>
        <v>2.1317001876856985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-3.3992364478763198E-14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396.15172163885632</v>
      </c>
      <c r="CE134" s="62">
        <f t="shared" si="148"/>
        <v>624.94568617205198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3.1866602857523865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2.7018992617761894E-14</v>
      </c>
      <c r="CN134" s="24">
        <f t="shared" si="120"/>
        <v>3.1866602857524136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89.800041997398182</v>
      </c>
      <c r="CZ134" s="62">
        <f t="shared" si="150"/>
        <v>286.94570078060917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6.6440979792461965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2.1733719490261691E-16</v>
      </c>
      <c r="DI134" s="24">
        <f t="shared" si="123"/>
        <v>6.6440979792461965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367.51466260429623</v>
      </c>
      <c r="T135" s="62">
        <f t="shared" si="142"/>
        <v>297.32483725004136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5.1844230307146806E-15</v>
      </c>
      <c r="AC135" s="24">
        <f t="shared" si="111"/>
        <v>5.1844230307146806E-15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2.6602720026858149E-14</v>
      </c>
      <c r="AK135" s="14">
        <f t="shared" si="143"/>
        <v>4.6624771586320878E-13</v>
      </c>
      <c r="AL135" s="22">
        <f t="shared" si="112"/>
        <v>8.583811758418665E-13</v>
      </c>
      <c r="AM135" s="62">
        <f t="shared" si="113"/>
        <v>284.23438527370001</v>
      </c>
      <c r="AN135" s="62">
        <f ca="1">AVERAGE(OFFSET($AM$3,0,0,'Données projet'!$E$10+1,1))-AVERAGE(OFFSET($H$3,0,0,'Données projet'!$E$10+1,1))</f>
        <v>188.94867378904664</v>
      </c>
      <c r="AO135" s="62">
        <f t="shared" si="144"/>
        <v>242.84781402593833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2.0386108295620642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6.8895728820784867E-15</v>
      </c>
      <c r="AX135" s="23">
        <f t="shared" si="114"/>
        <v>2.0386108295620713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-6.7984728957526396E-14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367.11994336501527</v>
      </c>
      <c r="BJ135" s="62">
        <f t="shared" si="146"/>
        <v>390.81417197867484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2.0898988472138984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9.2836000533473826E-15</v>
      </c>
      <c r="BS135" s="24">
        <f t="shared" si="117"/>
        <v>2.0898988472139077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-3.3992364478763198E-14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396.15172163885632</v>
      </c>
      <c r="CE135" s="62">
        <f t="shared" si="148"/>
        <v>624.94568617205198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3.124171821219635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1.9105312900848702E-14</v>
      </c>
      <c r="CN135" s="24">
        <f t="shared" si="120"/>
        <v>3.1241718212196541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89.800041997398182</v>
      </c>
      <c r="CZ135" s="62">
        <f t="shared" si="150"/>
        <v>286.94570078060917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6.5138112703727948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1.5368060431970278E-16</v>
      </c>
      <c r="DI135" s="24">
        <f t="shared" si="123"/>
        <v>6.5138112703727948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367.51466260429623</v>
      </c>
      <c r="T136" s="62">
        <f t="shared" si="142"/>
        <v>297.32483725004136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3.665940681558063E-15</v>
      </c>
      <c r="AC136" s="24">
        <f t="shared" si="111"/>
        <v>3.665940681558063E-15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2.6602720026858149E-14</v>
      </c>
      <c r="AK136" s="14">
        <f t="shared" si="143"/>
        <v>4.6624771586320878E-13</v>
      </c>
      <c r="AL136" s="22">
        <f t="shared" si="112"/>
        <v>8.583811758418665E-13</v>
      </c>
      <c r="AM136" s="62">
        <f t="shared" si="113"/>
        <v>284.39223168033425</v>
      </c>
      <c r="AN136" s="62">
        <f ca="1">AVERAGE(OFFSET($AM$3,0,0,'Données projet'!$E$10+1,1))-AVERAGE(OFFSET($H$3,0,0,'Données projet'!$E$10+1,1))</f>
        <v>188.94867378904664</v>
      </c>
      <c r="AO136" s="62">
        <f t="shared" si="144"/>
        <v>242.84781402593833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1.9986349146241797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4.8716637043966446E-15</v>
      </c>
      <c r="AX136" s="23">
        <f t="shared" si="114"/>
        <v>1.9986349146241846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-6.7984728957526396E-14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367.11994336501527</v>
      </c>
      <c r="BJ136" s="62">
        <f t="shared" si="146"/>
        <v>390.81417197867484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2.0489172055324634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6.5644965515457287E-15</v>
      </c>
      <c r="BS136" s="24">
        <f t="shared" si="117"/>
        <v>2.04891720553247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-3.3992364478763198E-14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396.15172163885632</v>
      </c>
      <c r="CE136" s="62">
        <f t="shared" si="148"/>
        <v>624.94568617205198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3.0629087173621707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1.3509496308880947E-14</v>
      </c>
      <c r="CN136" s="24">
        <f t="shared" si="120"/>
        <v>3.0629087173621841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89.800041997398182</v>
      </c>
      <c r="CZ136" s="62">
        <f t="shared" si="150"/>
        <v>286.94570078060917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6.3860794043933549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1.0866859745130847E-16</v>
      </c>
      <c r="DI136" s="24">
        <f t="shared" si="123"/>
        <v>6.3860794043933549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367.51466260429623</v>
      </c>
      <c r="T137" s="62">
        <f t="shared" si="142"/>
        <v>297.32483725004136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2.5922115153573403E-15</v>
      </c>
      <c r="AC137" s="24">
        <f t="shared" si="111"/>
        <v>2.5922115153573403E-15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2.6602720026858149E-14</v>
      </c>
      <c r="AK137" s="14">
        <f t="shared" si="143"/>
        <v>4.6624771586320878E-13</v>
      </c>
      <c r="AL137" s="22">
        <f t="shared" si="112"/>
        <v>8.583811758418665E-13</v>
      </c>
      <c r="AM137" s="62">
        <f t="shared" si="113"/>
        <v>284.54733980470513</v>
      </c>
      <c r="AN137" s="62">
        <f ca="1">AVERAGE(OFFSET($AM$3,0,0,'Données projet'!$E$10+1,1))-AVERAGE(OFFSET($H$3,0,0,'Données projet'!$E$10+1,1))</f>
        <v>188.94867378904664</v>
      </c>
      <c r="AO137" s="62">
        <f t="shared" si="144"/>
        <v>242.84781402593833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1.9594429029953266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3.4447864410392437E-15</v>
      </c>
      <c r="AX137" s="23">
        <f t="shared" si="114"/>
        <v>1.9594429029953302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-6.7984728957526396E-14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367.11994336501527</v>
      </c>
      <c r="BJ137" s="62">
        <f t="shared" si="146"/>
        <v>390.81417197867484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2.0087391888480681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4.6418000266736913E-15</v>
      </c>
      <c r="BS137" s="24">
        <f t="shared" si="117"/>
        <v>2.0087391888480726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-3.3992364478763198E-14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396.15172163885632</v>
      </c>
      <c r="CE137" s="62">
        <f t="shared" si="148"/>
        <v>624.94568617205198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3.0028469456045479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9.5526564504243511E-15</v>
      </c>
      <c r="CN137" s="24">
        <f t="shared" si="120"/>
        <v>3.0028469456045577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89.800041997398182</v>
      </c>
      <c r="CZ137" s="62">
        <f t="shared" si="150"/>
        <v>286.94570078060917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6.2608522823970265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7.6840302159851401E-17</v>
      </c>
      <c r="DI137" s="24">
        <f t="shared" si="123"/>
        <v>6.2608522823970265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367.51466260429623</v>
      </c>
      <c r="T138" s="62">
        <f t="shared" si="142"/>
        <v>297.32483725004136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1.8329703407790315E-15</v>
      </c>
      <c r="AC138" s="24">
        <f t="shared" si="111"/>
        <v>1.8329703407790315E-15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2.6602720026858149E-14</v>
      </c>
      <c r="AK138" s="14">
        <f t="shared" si="143"/>
        <v>4.6624771586320878E-13</v>
      </c>
      <c r="AL138" s="22">
        <f t="shared" si="112"/>
        <v>8.583811758418665E-13</v>
      </c>
      <c r="AM138" s="62">
        <f t="shared" si="113"/>
        <v>284.699757149888</v>
      </c>
      <c r="AN138" s="62">
        <f ca="1">AVERAGE(OFFSET($AM$3,0,0,'Données projet'!$E$10+1,1))-AVERAGE(OFFSET($H$3,0,0,'Données projet'!$E$10+1,1))</f>
        <v>188.94867378904664</v>
      </c>
      <c r="AO138" s="62">
        <f t="shared" si="144"/>
        <v>242.84781402593833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1.9210194228097486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2.4358318521983227E-15</v>
      </c>
      <c r="AX138" s="23">
        <f t="shared" si="114"/>
        <v>1.921019422809751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-6.7984728957526396E-14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367.11994336501527</v>
      </c>
      <c r="BJ138" s="62">
        <f t="shared" si="146"/>
        <v>390.81417197867484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1.9693490385646832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3.2822482757728643E-15</v>
      </c>
      <c r="BS138" s="24">
        <f t="shared" si="117"/>
        <v>1.9693490385646866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-3.3992364478763198E-14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396.15172163885632</v>
      </c>
      <c r="CE138" s="62">
        <f t="shared" si="148"/>
        <v>624.94568617205198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2.9439629485570284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6.7547481544404735E-15</v>
      </c>
      <c r="CN138" s="24">
        <f t="shared" si="120"/>
        <v>2.9439629485570351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89.800041997398182</v>
      </c>
      <c r="CZ138" s="62">
        <f t="shared" si="150"/>
        <v>286.94570078060917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6.1380807878820436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5.4334298725654245E-17</v>
      </c>
      <c r="DI138" s="24">
        <f t="shared" si="123"/>
        <v>6.1380807878820436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367.51466260429623</v>
      </c>
      <c r="T139" s="62">
        <f t="shared" si="142"/>
        <v>297.32483725004136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1.2961057576786701E-15</v>
      </c>
      <c r="AC139" s="24">
        <f t="shared" si="111"/>
        <v>1.2961057576786701E-15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2.6602720026858149E-14</v>
      </c>
      <c r="AK139" s="14">
        <f t="shared" si="143"/>
        <v>4.6624771586320878E-13</v>
      </c>
      <c r="AL139" s="22">
        <f t="shared" si="112"/>
        <v>8.583811758418665E-13</v>
      </c>
      <c r="AM139" s="62">
        <f t="shared" si="113"/>
        <v>284.84953039488607</v>
      </c>
      <c r="AN139" s="62">
        <f ca="1">AVERAGE(OFFSET($AM$3,0,0,'Données projet'!$E$10+1,1))-AVERAGE(OFFSET($H$3,0,0,'Données projet'!$E$10+1,1))</f>
        <v>188.94867378904664</v>
      </c>
      <c r="AO139" s="62">
        <f t="shared" si="144"/>
        <v>242.84781402593833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1.883349403634601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1.7223932205196223E-15</v>
      </c>
      <c r="AX139" s="23">
        <f t="shared" si="114"/>
        <v>1.8833494036346028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-6.7984728957526396E-14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367.11994336501527</v>
      </c>
      <c r="BJ139" s="62">
        <f t="shared" si="146"/>
        <v>390.81417197867484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1.9307313051027362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2.3209000133368456E-15</v>
      </c>
      <c r="BS139" s="24">
        <f t="shared" si="117"/>
        <v>1.9307313051027384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-3.3992364478763198E-14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396.15172163885632</v>
      </c>
      <c r="CE139" s="62">
        <f t="shared" si="148"/>
        <v>624.94568617205198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2.8862336307759189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4.7763282252121756E-15</v>
      </c>
      <c r="CN139" s="24">
        <f t="shared" si="120"/>
        <v>2.8862336307759238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89.800041997398182</v>
      </c>
      <c r="CZ139" s="62">
        <f t="shared" si="150"/>
        <v>286.94570078060917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6.0177167674912821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3.8420151079925707E-17</v>
      </c>
      <c r="DI139" s="24">
        <f t="shared" si="123"/>
        <v>6.0177167674912821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367.51466260429623</v>
      </c>
      <c r="T140" s="62">
        <f t="shared" si="142"/>
        <v>297.32483725004136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9.1648517038951576E-16</v>
      </c>
      <c r="AC140" s="24">
        <f t="shared" si="111"/>
        <v>9.1648517038951576E-16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2.6602720026858149E-14</v>
      </c>
      <c r="AK140" s="14">
        <f t="shared" si="143"/>
        <v>4.6624771586320878E-13</v>
      </c>
      <c r="AL140" s="22">
        <f t="shared" si="112"/>
        <v>8.583811758418665E-13</v>
      </c>
      <c r="AM140" s="62">
        <f t="shared" si="113"/>
        <v>284.99670540892623</v>
      </c>
      <c r="AN140" s="62">
        <f ca="1">AVERAGE(OFFSET($AM$3,0,0,'Données projet'!$E$10+1,1))-AVERAGE(OFFSET($H$3,0,0,'Données projet'!$E$10+1,1))</f>
        <v>188.94867378904664</v>
      </c>
      <c r="AO140" s="62">
        <f t="shared" si="144"/>
        <v>242.84781402593833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1.8464180705590352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1.2179159260991615E-15</v>
      </c>
      <c r="AX140" s="23">
        <f t="shared" si="114"/>
        <v>1.8464180705590363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-6.7984728957526396E-14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367.11994336501527</v>
      </c>
      <c r="BJ140" s="62">
        <f t="shared" si="146"/>
        <v>390.81417197867484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1.8928708418394864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1.6411241378864322E-15</v>
      </c>
      <c r="BS140" s="24">
        <f t="shared" si="117"/>
        <v>1.8928708418394879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-3.3992364478763198E-14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396.15172163885632</v>
      </c>
      <c r="CE140" s="62">
        <f t="shared" si="148"/>
        <v>624.94568617205198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2.82963634970509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3.3773740772202367E-15</v>
      </c>
      <c r="CN140" s="24">
        <f t="shared" si="120"/>
        <v>2.8296363497050936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89.800041997398182</v>
      </c>
      <c r="CZ140" s="62">
        <f t="shared" si="150"/>
        <v>286.94570078060917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5.8997130121255799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2.7167149362827126E-17</v>
      </c>
      <c r="DI140" s="24">
        <f t="shared" si="123"/>
        <v>5.8997130121255799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367.51466260429623</v>
      </c>
      <c r="T141" s="62">
        <f t="shared" si="142"/>
        <v>297.32483725004136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6.4805287883933507E-16</v>
      </c>
      <c r="AC141" s="24">
        <f t="shared" si="111"/>
        <v>6.4805287883933507E-16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2.6602720026858149E-14</v>
      </c>
      <c r="AK141" s="14">
        <f t="shared" si="143"/>
        <v>4.6624771586320878E-13</v>
      </c>
      <c r="AL141" s="22">
        <f t="shared" si="112"/>
        <v>8.583811758418665E-13</v>
      </c>
      <c r="AM141" s="62">
        <f t="shared" si="113"/>
        <v>285.14132726550679</v>
      </c>
      <c r="AN141" s="62">
        <f ca="1">AVERAGE(OFFSET($AM$3,0,0,'Données projet'!$E$10+1,1))-AVERAGE(OFFSET($H$3,0,0,'Données projet'!$E$10+1,1))</f>
        <v>188.94867378904664</v>
      </c>
      <c r="AO141" s="62">
        <f t="shared" si="144"/>
        <v>242.84781402593833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1.8102109383991922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8.6119661025981123E-16</v>
      </c>
      <c r="AX141" s="23">
        <f t="shared" si="114"/>
        <v>1.8102109383991931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-6.7984728957526396E-14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367.11994336501527</v>
      </c>
      <c r="BJ141" s="62">
        <f t="shared" si="146"/>
        <v>390.81417197867484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1.8557527991682266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1.1604500066684228E-15</v>
      </c>
      <c r="BS141" s="24">
        <f t="shared" si="117"/>
        <v>1.8557527991682277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-3.3992364478763198E-14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396.15172163885632</v>
      </c>
      <c r="CE141" s="62">
        <f t="shared" si="148"/>
        <v>624.94568617205198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2.7741489067951273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2.3881641126060878E-15</v>
      </c>
      <c r="CN141" s="24">
        <f t="shared" si="120"/>
        <v>2.7741489067951295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89.800041997398182</v>
      </c>
      <c r="CZ141" s="62">
        <f t="shared" si="150"/>
        <v>286.94570078060917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5.7840232384274151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1.9210075539962856E-17</v>
      </c>
      <c r="DI141" s="24">
        <f t="shared" si="123"/>
        <v>5.7840232384274151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367.51466260429623</v>
      </c>
      <c r="T142" s="62">
        <f t="shared" si="142"/>
        <v>297.32483725004136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4.5824258519475788E-16</v>
      </c>
      <c r="AC142" s="24">
        <f t="shared" si="111"/>
        <v>4.5824258519475788E-16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2.6602720026858149E-14</v>
      </c>
      <c r="AK142" s="14">
        <f t="shared" si="143"/>
        <v>4.6624771586320878E-13</v>
      </c>
      <c r="AL142" s="22">
        <f t="shared" si="112"/>
        <v>8.583811758418665E-13</v>
      </c>
      <c r="AM142" s="62">
        <f t="shared" si="113"/>
        <v>285.28344025620174</v>
      </c>
      <c r="AN142" s="62">
        <f ca="1">AVERAGE(OFFSET($AM$3,0,0,'Données projet'!$E$10+1,1))-AVERAGE(OFFSET($H$3,0,0,'Données projet'!$E$10+1,1))</f>
        <v>188.94867378904664</v>
      </c>
      <c r="AO142" s="62">
        <f t="shared" si="144"/>
        <v>242.84781402593833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1.7747138060168337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6.0895796304958087E-16</v>
      </c>
      <c r="AX142" s="23">
        <f t="shared" si="114"/>
        <v>1.7747138060168344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-6.7984728957526396E-14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367.11994336501527</v>
      </c>
      <c r="BJ142" s="62">
        <f t="shared" si="146"/>
        <v>390.81417197867484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1.8193626186739795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8.2056206894321608E-16</v>
      </c>
      <c r="BS142" s="24">
        <f t="shared" si="117"/>
        <v>1.8193626186739804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-3.3992364478763198E-14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396.15172163885632</v>
      </c>
      <c r="CE142" s="62">
        <f t="shared" si="148"/>
        <v>624.94568617205198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2.7197495387966306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1.6886870386101184E-15</v>
      </c>
      <c r="CN142" s="24">
        <f t="shared" si="120"/>
        <v>2.7197495387966324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89.800041997398182</v>
      </c>
      <c r="CZ142" s="62">
        <f t="shared" si="150"/>
        <v>286.94570078060917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5.6706020706276767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1.3583574681413566E-17</v>
      </c>
      <c r="DI142" s="24">
        <f t="shared" si="123"/>
        <v>5.6706020706276767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367.51466260429623</v>
      </c>
      <c r="T143" s="62">
        <f t="shared" si="142"/>
        <v>297.32483725004136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3.2402643941966753E-16</v>
      </c>
      <c r="AC143" s="24">
        <f t="shared" si="111"/>
        <v>3.2402643941966753E-16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2.6602720026858149E-14</v>
      </c>
      <c r="AK143" s="14">
        <f t="shared" si="143"/>
        <v>4.6624771586320878E-13</v>
      </c>
      <c r="AL143" s="22">
        <f t="shared" si="112"/>
        <v>8.583811758418665E-13</v>
      </c>
      <c r="AM143" s="62">
        <f t="shared" si="113"/>
        <v>285.42308790422521</v>
      </c>
      <c r="AN143" s="62">
        <f ca="1">AVERAGE(OFFSET($AM$3,0,0,'Données projet'!$E$10+1,1))-AVERAGE(OFFSET($H$3,0,0,'Données projet'!$E$10+1,1))</f>
        <v>188.94867378904664</v>
      </c>
      <c r="AO143" s="62">
        <f t="shared" si="144"/>
        <v>242.84781402593833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1.7399127507493803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4.3059830512990571E-16</v>
      </c>
      <c r="AX143" s="23">
        <f t="shared" si="114"/>
        <v>1.7399127507493808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-6.7984728957526396E-14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367.11994336501527</v>
      </c>
      <c r="BJ143" s="62">
        <f t="shared" si="146"/>
        <v>390.81417197867484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1.7836860274234063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5.8022500333421141E-16</v>
      </c>
      <c r="BS143" s="24">
        <f t="shared" si="117"/>
        <v>1.783686027423407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-3.3992364478763198E-14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396.15172163885632</v>
      </c>
      <c r="CE143" s="62">
        <f t="shared" si="148"/>
        <v>624.94568617205198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2.666416909224246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1.1940820563030439E-15</v>
      </c>
      <c r="CN143" s="24">
        <f t="shared" si="120"/>
        <v>2.6664169092242473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89.800041997398182</v>
      </c>
      <c r="CZ143" s="62">
        <f t="shared" si="150"/>
        <v>286.94570078060917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5.5594050227484102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9.6050377699814298E-18</v>
      </c>
      <c r="DI143" s="24">
        <f t="shared" si="123"/>
        <v>5.5594050227484102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367.51466260429623</v>
      </c>
      <c r="T144" s="62">
        <f t="shared" si="142"/>
        <v>297.32483725004136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2.2912129259737894E-16</v>
      </c>
      <c r="AC144" s="24">
        <f t="shared" si="111"/>
        <v>2.2912129259737894E-16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2.6602720026858149E-14</v>
      </c>
      <c r="AK144" s="14">
        <f t="shared" si="143"/>
        <v>4.6624771586320878E-13</v>
      </c>
      <c r="AL144" s="22">
        <f t="shared" si="112"/>
        <v>8.583811758418665E-13</v>
      </c>
      <c r="AM144" s="62">
        <f t="shared" si="113"/>
        <v>285.56031297776087</v>
      </c>
      <c r="AN144" s="62">
        <f ca="1">AVERAGE(OFFSET($AM$3,0,0,'Données projet'!$E$10+1,1))-AVERAGE(OFFSET($H$3,0,0,'Données projet'!$E$10+1,1))</f>
        <v>188.94867378904664</v>
      </c>
      <c r="AO144" s="62">
        <f t="shared" si="144"/>
        <v>242.84781402593833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1.705794122949174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3.0447898152479048E-16</v>
      </c>
      <c r="AX144" s="23">
        <f t="shared" si="114"/>
        <v>1.7057941229491742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-6.7984728957526396E-14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367.11994336501527</v>
      </c>
      <c r="BJ144" s="62">
        <f t="shared" si="146"/>
        <v>390.81417197867484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1.7487090323666847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4.1028103447160804E-16</v>
      </c>
      <c r="BS144" s="24">
        <f t="shared" si="117"/>
        <v>1.7487090323666852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-3.3992364478763198E-14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396.15172163885632</v>
      </c>
      <c r="CE144" s="62">
        <f t="shared" si="148"/>
        <v>624.94568617205198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2.6141300999880839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8.4434351930505919E-16</v>
      </c>
      <c r="CN144" s="24">
        <f t="shared" si="120"/>
        <v>2.6141300999880848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89.800041997398182</v>
      </c>
      <c r="CZ144" s="62">
        <f t="shared" si="150"/>
        <v>286.94570078060917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5.4503884811545538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6.7917873407067837E-18</v>
      </c>
      <c r="DI144" s="24">
        <f t="shared" si="123"/>
        <v>5.4503884811545538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367.51466260429623</v>
      </c>
      <c r="T145" s="62">
        <f t="shared" si="142"/>
        <v>297.32483725004136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1.6201321970983377E-16</v>
      </c>
      <c r="AC145" s="24">
        <f t="shared" si="111"/>
        <v>1.6201321970983377E-16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2.6602720026858149E-14</v>
      </c>
      <c r="AK145" s="14">
        <f t="shared" si="143"/>
        <v>4.6624771586320878E-13</v>
      </c>
      <c r="AL145" s="22">
        <f t="shared" si="112"/>
        <v>8.583811758418665E-13</v>
      </c>
      <c r="AM145" s="62">
        <f t="shared" si="113"/>
        <v>285.69515750305993</v>
      </c>
      <c r="AN145" s="62">
        <f ca="1">AVERAGE(OFFSET($AM$3,0,0,'Données projet'!$E$10+1,1))-AVERAGE(OFFSET($H$3,0,0,'Données projet'!$E$10+1,1))</f>
        <v>188.94867378904664</v>
      </c>
      <c r="AO145" s="62">
        <f t="shared" si="144"/>
        <v>242.84781402593833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1.6723445406298216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2.1529915256495288E-16</v>
      </c>
      <c r="AX145" s="23">
        <f t="shared" si="114"/>
        <v>1.6723445406298219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-6.7984728957526396E-14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367.11994336501527</v>
      </c>
      <c r="BJ145" s="62">
        <f t="shared" si="146"/>
        <v>390.81417197867484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1.7144179148491652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2.9011250166710571E-16</v>
      </c>
      <c r="BS145" s="24">
        <f t="shared" si="117"/>
        <v>1.7144179148491654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-3.3992364478763198E-14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396.15172163885632</v>
      </c>
      <c r="CE145" s="62">
        <f t="shared" si="148"/>
        <v>624.94568617205198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2.5628686031892385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5.9704102815152194E-16</v>
      </c>
      <c r="CN145" s="24">
        <f t="shared" si="120"/>
        <v>2.5628686031892389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89.800041997398182</v>
      </c>
      <c r="CZ145" s="62">
        <f t="shared" si="150"/>
        <v>286.94570078060917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5.3435096874478285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4.8025188849907156E-18</v>
      </c>
      <c r="DI145" s="24">
        <f t="shared" si="123"/>
        <v>5.3435096874478285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367.51466260429623</v>
      </c>
      <c r="T146" s="62">
        <f t="shared" si="142"/>
        <v>297.32483725004136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1.1456064629868947E-16</v>
      </c>
      <c r="AC146" s="24">
        <f t="shared" si="111"/>
        <v>1.1456064629868947E-16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2.6602720026858149E-14</v>
      </c>
      <c r="AK146" s="14">
        <f t="shared" si="143"/>
        <v>4.6624771586320878E-13</v>
      </c>
      <c r="AL146" s="22">
        <f t="shared" si="112"/>
        <v>8.583811758418665E-13</v>
      </c>
      <c r="AM146" s="62">
        <f t="shared" si="113"/>
        <v>285.8276627773123</v>
      </c>
      <c r="AN146" s="62">
        <f ca="1">AVERAGE(OFFSET($AM$3,0,0,'Données projet'!$E$10+1,1))-AVERAGE(OFFSET($H$3,0,0,'Données projet'!$E$10+1,1))</f>
        <v>188.94867378904664</v>
      </c>
      <c r="AO146" s="62">
        <f t="shared" si="144"/>
        <v>242.84781402593833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1.639550884217521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1.5223949076239527E-16</v>
      </c>
      <c r="AX146" s="23">
        <f t="shared" si="114"/>
        <v>1.6395508842175213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-6.7984728957526396E-14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367.11994336501527</v>
      </c>
      <c r="BJ146" s="62">
        <f t="shared" si="146"/>
        <v>390.81417197867484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1.6807992252306476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2.0514051723580402E-16</v>
      </c>
      <c r="BS146" s="24">
        <f t="shared" si="117"/>
        <v>1.6807992252306478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-3.3992364478763198E-14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396.15172163885632</v>
      </c>
      <c r="CE146" s="62">
        <f t="shared" si="148"/>
        <v>624.94568617205198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2.5126123130761928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4.2217175965252959E-16</v>
      </c>
      <c r="CN146" s="24">
        <f t="shared" si="120"/>
        <v>2.5126123130761933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89.800041997398182</v>
      </c>
      <c r="CZ146" s="62">
        <f t="shared" si="150"/>
        <v>286.94570078060917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5.2387267216960645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3.3958936703533922E-18</v>
      </c>
      <c r="DI146" s="24">
        <f t="shared" si="123"/>
        <v>5.2387267216960645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367.51466260429623</v>
      </c>
      <c r="T147" s="62">
        <f t="shared" si="142"/>
        <v>297.32483725004136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8.1006609854916884E-17</v>
      </c>
      <c r="AC147" s="24">
        <f t="shared" si="111"/>
        <v>8.1006609854916884E-17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2.6602720026858149E-14</v>
      </c>
      <c r="AK147" s="14">
        <f t="shared" si="143"/>
        <v>4.6624771586320878E-13</v>
      </c>
      <c r="AL147" s="22">
        <f t="shared" si="112"/>
        <v>8.583811758418665E-13</v>
      </c>
      <c r="AM147" s="62">
        <f t="shared" si="113"/>
        <v>285.95786938129373</v>
      </c>
      <c r="AN147" s="62">
        <f ca="1">AVERAGE(OFFSET($AM$3,0,0,'Données projet'!$E$10+1,1))-AVERAGE(OFFSET($H$3,0,0,'Données projet'!$E$10+1,1))</f>
        <v>188.94867378904664</v>
      </c>
      <c r="AO147" s="62">
        <f t="shared" si="144"/>
        <v>242.84781402593833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1.6074002914053103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1.0764957628247647E-16</v>
      </c>
      <c r="AX147" s="23">
        <f t="shared" si="114"/>
        <v>1.6074002914053103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-6.7984728957526396E-14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367.11994336501527</v>
      </c>
      <c r="BJ147" s="62">
        <f t="shared" si="146"/>
        <v>390.81417197867484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1.6478397776101732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1.4505625083355285E-16</v>
      </c>
      <c r="BS147" s="24">
        <f t="shared" si="117"/>
        <v>1.6478397776101734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-3.3992364478763198E-14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396.15172163885632</v>
      </c>
      <c r="CE147" s="62">
        <f t="shared" si="148"/>
        <v>624.94568617205198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2.4633415181589537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2.9852051407576097E-16</v>
      </c>
      <c r="CN147" s="24">
        <f t="shared" si="120"/>
        <v>2.4633415181589542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89.800041997398182</v>
      </c>
      <c r="CZ147" s="62">
        <f t="shared" si="150"/>
        <v>286.94570078060917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5.1359984859913945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2.4012594424953582E-18</v>
      </c>
      <c r="DI147" s="24">
        <f t="shared" si="123"/>
        <v>5.1359984859913945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367.51466260429623</v>
      </c>
      <c r="T148" s="62">
        <f t="shared" si="142"/>
        <v>297.32483725004136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5.7280323149344735E-17</v>
      </c>
      <c r="AC148" s="24">
        <f t="shared" si="111"/>
        <v>5.7280323149344735E-17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2.6602720026858149E-14</v>
      </c>
      <c r="AK148" s="14">
        <f t="shared" si="143"/>
        <v>4.6624771586320878E-13</v>
      </c>
      <c r="AL148" s="22">
        <f t="shared" si="112"/>
        <v>8.583811758418665E-13</v>
      </c>
      <c r="AM148" s="62">
        <f t="shared" si="113"/>
        <v>286.08581719179443</v>
      </c>
      <c r="AN148" s="62">
        <f ca="1">AVERAGE(OFFSET($AM$3,0,0,'Données projet'!$E$10+1,1))-AVERAGE(OFFSET($H$3,0,0,'Données projet'!$E$10+1,1))</f>
        <v>188.94867378904664</v>
      </c>
      <c r="AO148" s="62">
        <f t="shared" si="144"/>
        <v>242.84781402593833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1.5758801521082217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7.6119745381197645E-17</v>
      </c>
      <c r="AX148" s="23">
        <f t="shared" si="114"/>
        <v>1.5758801521082217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-6.7984728957526396E-14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367.11994336501527</v>
      </c>
      <c r="BJ148" s="62">
        <f t="shared" si="146"/>
        <v>390.81417197867484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1.6155266446542584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1.0257025861790201E-16</v>
      </c>
      <c r="BS148" s="24">
        <f t="shared" si="117"/>
        <v>1.6155266446542584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-3.3992364478763198E-14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396.15172163885632</v>
      </c>
      <c r="CE148" s="62">
        <f t="shared" si="148"/>
        <v>624.94568617205198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2.4150368934778244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2.110858798262648E-16</v>
      </c>
      <c r="CN148" s="24">
        <f t="shared" si="120"/>
        <v>2.4150368934778244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89.800041997398182</v>
      </c>
      <c r="CZ148" s="62">
        <f t="shared" si="150"/>
        <v>286.94570078060917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5.0352846883308562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1.6979468351766965E-18</v>
      </c>
      <c r="DI148" s="24">
        <f t="shared" si="123"/>
        <v>5.0352846883308562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367.51466260429623</v>
      </c>
      <c r="T149" s="62">
        <f t="shared" si="142"/>
        <v>297.32483725004136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4.0503304927458442E-17</v>
      </c>
      <c r="AC149" s="24">
        <f t="shared" si="111"/>
        <v>4.0503304927458442E-17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2.6602720026858149E-14</v>
      </c>
      <c r="AK149" s="14">
        <f t="shared" si="143"/>
        <v>4.6624771586320878E-13</v>
      </c>
      <c r="AL149" s="22">
        <f t="shared" si="112"/>
        <v>8.583811758418665E-13</v>
      </c>
      <c r="AM149" s="62">
        <f t="shared" si="113"/>
        <v>286.2115453938315</v>
      </c>
      <c r="AN149" s="62">
        <f ca="1">AVERAGE(OFFSET($AM$3,0,0,'Données projet'!$E$10+1,1))-AVERAGE(OFFSET($H$3,0,0,'Données projet'!$E$10+1,1))</f>
        <v>188.94867378904664</v>
      </c>
      <c r="AO149" s="62">
        <f t="shared" si="144"/>
        <v>242.84781402593833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1.5449781035173624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5.3824788141238239E-17</v>
      </c>
      <c r="AX149" s="23">
        <f t="shared" si="114"/>
        <v>1.5449781035173624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-6.7984728957526396E-14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367.11994336501527</v>
      </c>
      <c r="BJ149" s="62">
        <f t="shared" si="146"/>
        <v>390.81417197867484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1.5838471525265441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7.2528125416776426E-17</v>
      </c>
      <c r="BS149" s="24">
        <f t="shared" si="117"/>
        <v>1.5838471525265441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-3.3992364478763198E-14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396.15172163885632</v>
      </c>
      <c r="CE149" s="62">
        <f t="shared" si="148"/>
        <v>624.94568617205198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2.3676794930237799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1.4926025703788049E-16</v>
      </c>
      <c r="CN149" s="24">
        <f t="shared" si="120"/>
        <v>2.3676794930237799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89.800041997398182</v>
      </c>
      <c r="CZ149" s="62">
        <f t="shared" si="150"/>
        <v>286.94570078060917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4.9365458268130897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1.2006297212476793E-18</v>
      </c>
      <c r="DI149" s="24">
        <f t="shared" si="123"/>
        <v>4.9365458268130897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367.51466260429623</v>
      </c>
      <c r="T150" s="62">
        <f t="shared" si="142"/>
        <v>297.32483725004136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2.8640161574672368E-17</v>
      </c>
      <c r="AC150" s="24">
        <f t="shared" si="111"/>
        <v>2.8640161574672368E-17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2.6602720026858149E-14</v>
      </c>
      <c r="AK150" s="14">
        <f t="shared" si="143"/>
        <v>4.6624771586320878E-13</v>
      </c>
      <c r="AL150" s="22">
        <f t="shared" si="112"/>
        <v>8.583811758418665E-13</v>
      </c>
      <c r="AM150" s="62">
        <f t="shared" si="113"/>
        <v>286.33509249264927</v>
      </c>
      <c r="AN150" s="62">
        <f ca="1">AVERAGE(OFFSET($AM$3,0,0,'Données projet'!$E$10+1,1))-AVERAGE(OFFSET($H$3,0,0,'Données projet'!$E$10+1,1))</f>
        <v>188.94867378904664</v>
      </c>
      <c r="AO150" s="62">
        <f t="shared" si="144"/>
        <v>242.84781402593833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1.5146820252509814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3.8059872690598829E-17</v>
      </c>
      <c r="AX150" s="23">
        <f t="shared" si="114"/>
        <v>1.5146820252509814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-6.7984728957526396E-14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367.11994336501527</v>
      </c>
      <c r="BJ150" s="62">
        <f t="shared" si="146"/>
        <v>390.81417197867484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1.552788875916872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5.1285129308951005E-17</v>
      </c>
      <c r="BS150" s="24">
        <f t="shared" si="117"/>
        <v>1.552788875916872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-3.3992364478763198E-14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396.15172163885632</v>
      </c>
      <c r="CE150" s="62">
        <f t="shared" si="148"/>
        <v>624.94568617205198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2.3212507423074773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1.055429399131324E-16</v>
      </c>
      <c r="CN150" s="24">
        <f t="shared" si="120"/>
        <v>2.3212507423074773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89.800041997398182</v>
      </c>
      <c r="CZ150" s="62">
        <f t="shared" si="150"/>
        <v>286.94570078060917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4.8397431741449282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8.4897341758834835E-19</v>
      </c>
      <c r="DI150" s="24">
        <f t="shared" si="123"/>
        <v>4.8397431741449282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367.51466260429623</v>
      </c>
      <c r="T151" s="62">
        <f t="shared" si="142"/>
        <v>297.32483725004136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2.0251652463729221E-17</v>
      </c>
      <c r="AC151" s="24">
        <f t="shared" si="111"/>
        <v>2.0251652463729221E-17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2.6602720026858149E-14</v>
      </c>
      <c r="AK151" s="14">
        <f t="shared" si="143"/>
        <v>4.6624771586320878E-13</v>
      </c>
      <c r="AL151" s="22">
        <f t="shared" si="112"/>
        <v>8.583811758418665E-13</v>
      </c>
      <c r="AM151" s="62">
        <f t="shared" si="113"/>
        <v>286.45649632551255</v>
      </c>
      <c r="AN151" s="62">
        <f ca="1">AVERAGE(OFFSET($AM$3,0,0,'Données projet'!$E$10+1,1))-AVERAGE(OFFSET($H$3,0,0,'Données projet'!$E$10+1,1))</f>
        <v>188.94867378904664</v>
      </c>
      <c r="AO151" s="62">
        <f t="shared" si="144"/>
        <v>242.84781402593833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1.484980034600621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2.6912394070619123E-17</v>
      </c>
      <c r="AX151" s="23">
        <f t="shared" si="114"/>
        <v>1.484980034600621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-6.7984728957526396E-14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367.11994336501527</v>
      </c>
      <c r="BJ151" s="62">
        <f t="shared" si="146"/>
        <v>390.81417197867484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1.5223396331678374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3.6264062708388213E-17</v>
      </c>
      <c r="BS151" s="24">
        <f t="shared" si="117"/>
        <v>1.5223396331678374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-3.3992364478763198E-14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396.15172163885632</v>
      </c>
      <c r="CE151" s="62">
        <f t="shared" si="148"/>
        <v>624.94568617205198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2.2757324310739797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7.4630128518940243E-17</v>
      </c>
      <c r="CN151" s="24">
        <f t="shared" si="120"/>
        <v>2.2757324310739797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89.800041997398182</v>
      </c>
      <c r="CZ151" s="62">
        <f t="shared" si="150"/>
        <v>286.94570078060917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4.7448387624518009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6.0031486062383974E-19</v>
      </c>
      <c r="DI151" s="24">
        <f t="shared" si="123"/>
        <v>4.7448387624518009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367.51466260429623</v>
      </c>
      <c r="T152" s="62">
        <f t="shared" si="142"/>
        <v>297.32483725004136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1.4320080787336184E-17</v>
      </c>
      <c r="AC152" s="24">
        <f t="shared" si="111"/>
        <v>1.4320080787336184E-17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2.6602720026858149E-14</v>
      </c>
      <c r="AK152" s="14">
        <f t="shared" si="143"/>
        <v>4.6624771586320878E-13</v>
      </c>
      <c r="AL152" s="22">
        <f t="shared" si="112"/>
        <v>8.583811758418665E-13</v>
      </c>
      <c r="AM152" s="62">
        <f t="shared" si="113"/>
        <v>286.57579407329393</v>
      </c>
      <c r="AN152" s="62">
        <f ca="1">AVERAGE(OFFSET($AM$3,0,0,'Données projet'!$E$10+1,1))-AVERAGE(OFFSET($H$3,0,0,'Données projet'!$E$10+1,1))</f>
        <v>188.94867378904664</v>
      </c>
      <c r="AO152" s="62">
        <f t="shared" si="144"/>
        <v>242.84781402593833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1.4558604818704888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1.9029936345299417E-17</v>
      </c>
      <c r="AX152" s="23">
        <f t="shared" si="114"/>
        <v>1.4558604818704888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-6.7984728957526396E-14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367.11994336501527</v>
      </c>
      <c r="BJ152" s="62">
        <f t="shared" si="146"/>
        <v>390.81417197867484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1.4924874814969071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2.5642564654475503E-17</v>
      </c>
      <c r="BS152" s="24">
        <f t="shared" si="117"/>
        <v>1.4924874814969071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-3.3992364478763198E-14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396.15172163885632</v>
      </c>
      <c r="CE152" s="62">
        <f t="shared" si="148"/>
        <v>624.94568617205198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2.2311067061603422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5.2771469956566199E-17</v>
      </c>
      <c r="CN152" s="24">
        <f t="shared" si="120"/>
        <v>2.2311067061603422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89.800041997398182</v>
      </c>
      <c r="CZ152" s="62">
        <f t="shared" si="150"/>
        <v>286.94570078060917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4.6517953683860007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4.2448670879417427E-19</v>
      </c>
      <c r="DI152" s="24">
        <f t="shared" si="123"/>
        <v>4.6517953683860007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367.51466260429623</v>
      </c>
      <c r="T153" s="62">
        <f t="shared" si="142"/>
        <v>297.32483725004136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1.012582623186461E-17</v>
      </c>
      <c r="AC153" s="24">
        <f t="shared" si="111"/>
        <v>1.012582623186461E-17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2.6602720026858149E-14</v>
      </c>
      <c r="AK153" s="14">
        <f t="shared" si="143"/>
        <v>4.6624771586320878E-13</v>
      </c>
      <c r="AL153" s="22">
        <f t="shared" si="112"/>
        <v>8.583811758418665E-13</v>
      </c>
      <c r="AM153" s="62">
        <f t="shared" si="113"/>
        <v>286.6930222718612</v>
      </c>
      <c r="AN153" s="62">
        <f ca="1">AVERAGE(OFFSET($AM$3,0,0,'Données projet'!$E$10+1,1))-AVERAGE(OFFSET($H$3,0,0,'Données projet'!$E$10+1,1))</f>
        <v>188.94867378904664</v>
      </c>
      <c r="AO153" s="62">
        <f t="shared" si="144"/>
        <v>242.84781402593833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1.4273119458082211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1.3456197035309564E-17</v>
      </c>
      <c r="AX153" s="23">
        <f t="shared" si="114"/>
        <v>1.4273119458082211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-6.7984728957526396E-14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367.11994336501527</v>
      </c>
      <c r="BJ153" s="62">
        <f t="shared" si="146"/>
        <v>390.81417197867484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1.4632207123122292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1.8132031354194107E-17</v>
      </c>
      <c r="BS153" s="24">
        <f t="shared" si="117"/>
        <v>1.4632207123122292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-3.3992364478763198E-14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396.15172163885632</v>
      </c>
      <c r="CE153" s="62">
        <f t="shared" si="148"/>
        <v>624.94568617205198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2.1873560644932568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3.7315064259470122E-17</v>
      </c>
      <c r="CN153" s="24">
        <f t="shared" si="120"/>
        <v>2.1873560644932568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89.800041997398182</v>
      </c>
      <c r="CZ153" s="62">
        <f t="shared" si="150"/>
        <v>286.94570078060917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4.5605764985269648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3.0015743031191992E-19</v>
      </c>
      <c r="DI153" s="24">
        <f t="shared" si="123"/>
        <v>4.5605764985269648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367.51466260429623</v>
      </c>
      <c r="T154" s="62">
        <f t="shared" si="142"/>
        <v>297.32483725004136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7.1600403936680919E-18</v>
      </c>
      <c r="AC154" s="24">
        <f t="shared" ref="AC154:AC203" si="163">SUM(Z154:AB154)</f>
        <v>7.1600403936680919E-18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2.6602720026858149E-14</v>
      </c>
      <c r="AK154" s="14">
        <f t="shared" ref="AK154:AK203" si="164">EXP(-1.0587+0.8836*LN(AJ154)+0.284)</f>
        <v>4.6624771586320878E-13</v>
      </c>
      <c r="AL154" s="22">
        <f t="shared" ref="AL154:AL203" si="165">(AJ154+AK154)*0.475*44/12</f>
        <v>8.583811758418665E-13</v>
      </c>
      <c r="AM154" s="62">
        <f t="shared" si="113"/>
        <v>286.80821682326621</v>
      </c>
      <c r="AN154" s="62">
        <f ca="1">AVERAGE(OFFSET($AM$3,0,0,'Données projet'!$E$10+1,1))-AVERAGE(OFFSET($H$3,0,0,'Données projet'!$E$10+1,1))</f>
        <v>188.94867378904664</v>
      </c>
      <c r="AO154" s="62">
        <f t="shared" si="144"/>
        <v>242.84781402593833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1.3993232291252466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9.5149681726497103E-18</v>
      </c>
      <c r="AX154" s="23">
        <f t="shared" ref="AX154:AX203" si="166">SUM(AU154:AW154)</f>
        <v>1.3993232291252466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-6.7984728957526396E-14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367.11994336501527</v>
      </c>
      <c r="BJ154" s="62">
        <f t="shared" si="146"/>
        <v>390.81417197867484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1.4345278466202962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1.2821282327237751E-17</v>
      </c>
      <c r="BS154" s="24">
        <f t="shared" ref="BS154:BS203" si="169">SUM(BP154:BR154)</f>
        <v>1.4345278466202962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-3.3992364478763198E-14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396.15172163885632</v>
      </c>
      <c r="CE154" s="62">
        <f t="shared" si="148"/>
        <v>624.94568617205198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2.1444633462240064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2.63857349782831E-17</v>
      </c>
      <c r="CN154" s="24">
        <f t="shared" ref="CN154:CN203" si="172">SUM(CK154:CM154)</f>
        <v>2.1444633462240064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89.800041997398182</v>
      </c>
      <c r="CZ154" s="62">
        <f t="shared" si="150"/>
        <v>286.94570078060917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4.4711463750678471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2.1224335439708716E-19</v>
      </c>
      <c r="DI154" s="24">
        <f t="shared" ref="DI154:DI203" si="175">SUM(DF154:DH154)</f>
        <v>4.4711463750678471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367.51466260429623</v>
      </c>
      <c r="T155" s="62">
        <f t="shared" si="142"/>
        <v>297.32483725004136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5.0629131159323052E-18</v>
      </c>
      <c r="AC155" s="24">
        <f t="shared" si="163"/>
        <v>5.0629131159323052E-18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2.6602720026858149E-14</v>
      </c>
      <c r="AK155" s="14">
        <f t="shared" si="164"/>
        <v>4.6624771586320878E-13</v>
      </c>
      <c r="AL155" s="22">
        <f t="shared" si="165"/>
        <v>8.583811758418665E-13</v>
      </c>
      <c r="AM155" s="62">
        <f t="shared" si="113"/>
        <v>286.92141300674075</v>
      </c>
      <c r="AN155" s="62">
        <f ca="1">AVERAGE(OFFSET($AM$3,0,0,'Données projet'!$E$10+1,1))-AVERAGE(OFFSET($H$3,0,0,'Données projet'!$E$10+1,1))</f>
        <v>188.94867378904664</v>
      </c>
      <c r="AO155" s="62">
        <f t="shared" si="144"/>
        <v>242.84781402593833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1.371883354104994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6.7280985176547829E-18</v>
      </c>
      <c r="AX155" s="23">
        <f t="shared" si="166"/>
        <v>1.371883354104994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-6.7984728957526396E-14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367.11994336501527</v>
      </c>
      <c r="BJ155" s="62">
        <f t="shared" si="146"/>
        <v>390.81417197867484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1.4063976305236621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9.0660156770970533E-18</v>
      </c>
      <c r="BS155" s="24">
        <f t="shared" si="169"/>
        <v>1.4063976305236621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-3.3992364478763198E-14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396.15172163885632</v>
      </c>
      <c r="CE155" s="62">
        <f t="shared" si="148"/>
        <v>624.94568617205198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2.102411727998041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1.8657532129735061E-17</v>
      </c>
      <c r="CN155" s="24">
        <f t="shared" si="172"/>
        <v>2.102411727998041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89.800041997398182</v>
      </c>
      <c r="CZ155" s="62">
        <f t="shared" si="150"/>
        <v>286.94570078060917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4.3834699217827735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1.5007871515595998E-19</v>
      </c>
      <c r="DI155" s="24">
        <f t="shared" si="175"/>
        <v>4.3834699217827735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367.51466260429623</v>
      </c>
      <c r="T156" s="62">
        <f t="shared" si="142"/>
        <v>297.32483725004136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3.5800201968340459E-18</v>
      </c>
      <c r="AC156" s="24">
        <f t="shared" si="163"/>
        <v>3.5800201968340459E-18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2.6602720026858149E-14</v>
      </c>
      <c r="AK156" s="14">
        <f t="shared" si="164"/>
        <v>4.6624771586320878E-13</v>
      </c>
      <c r="AL156" s="22">
        <f t="shared" si="165"/>
        <v>8.583811758418665E-13</v>
      </c>
      <c r="AM156" s="62">
        <f t="shared" si="113"/>
        <v>287.03264548950085</v>
      </c>
      <c r="AN156" s="62">
        <f ca="1">AVERAGE(OFFSET($AM$3,0,0,'Données projet'!$E$10+1,1))-AVERAGE(OFFSET($H$3,0,0,'Données projet'!$E$10+1,1))</f>
        <v>188.94867378904664</v>
      </c>
      <c r="AO156" s="62">
        <f t="shared" si="144"/>
        <v>242.84781402593833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1.3449815582972173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4.7574840863248559E-18</v>
      </c>
      <c r="AX156" s="23">
        <f t="shared" si="166"/>
        <v>1.3449815582972173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-6.7984728957526396E-14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367.11994336501527</v>
      </c>
      <c r="BJ156" s="62">
        <f t="shared" si="146"/>
        <v>390.81417197867484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1.3788190308069452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6.4106411636188757E-18</v>
      </c>
      <c r="BS156" s="24">
        <f t="shared" si="169"/>
        <v>1.3788190308069452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-3.3992364478763198E-14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396.15172163885632</v>
      </c>
      <c r="CE156" s="62">
        <f t="shared" si="148"/>
        <v>624.94568617205198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2.0611847163565327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1.319286748914155E-17</v>
      </c>
      <c r="CN156" s="24">
        <f t="shared" si="172"/>
        <v>2.0611847163565327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89.800041997398182</v>
      </c>
      <c r="CZ156" s="62">
        <f t="shared" si="150"/>
        <v>286.94570078060917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4.2975127502692647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1.0612167719854359E-19</v>
      </c>
      <c r="DI156" s="24">
        <f t="shared" si="175"/>
        <v>4.2975127502692647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367.51466260429623</v>
      </c>
      <c r="T157" s="62">
        <f t="shared" si="142"/>
        <v>297.32483725004136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2.5314565579661526E-18</v>
      </c>
      <c r="AC157" s="24">
        <f t="shared" si="163"/>
        <v>2.5314565579661526E-18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2.6602720026858149E-14</v>
      </c>
      <c r="AK157" s="14">
        <f t="shared" si="164"/>
        <v>4.6624771586320878E-13</v>
      </c>
      <c r="AL157" s="22">
        <f t="shared" si="165"/>
        <v>8.583811758418665E-13</v>
      </c>
      <c r="AM157" s="62">
        <f t="shared" si="113"/>
        <v>287.1419483373636</v>
      </c>
      <c r="AN157" s="62">
        <f ca="1">AVERAGE(OFFSET($AM$3,0,0,'Données projet'!$E$10+1,1))-AVERAGE(OFFSET($H$3,0,0,'Données projet'!$E$10+1,1))</f>
        <v>188.94867378904664</v>
      </c>
      <c r="AO157" s="62">
        <f t="shared" si="144"/>
        <v>242.84781402593833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1.3186072902967558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3.3640492588273922E-18</v>
      </c>
      <c r="AX157" s="23">
        <f t="shared" si="166"/>
        <v>1.3186072902967558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-6.7984728957526396E-14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367.11994336501527</v>
      </c>
      <c r="BJ157" s="62">
        <f t="shared" si="146"/>
        <v>390.81417197867484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1.3517812306093884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4.5330078385485266E-18</v>
      </c>
      <c r="BS157" s="24">
        <f t="shared" si="169"/>
        <v>1.3517812306093884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-3.3992364478763198E-14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396.15172163885632</v>
      </c>
      <c r="CE157" s="62">
        <f t="shared" si="148"/>
        <v>624.94568617205198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2.0207661412673201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9.3287660648675304E-18</v>
      </c>
      <c r="CN157" s="24">
        <f t="shared" si="172"/>
        <v>2.0207661412673201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89.800041997398182</v>
      </c>
      <c r="CZ157" s="62">
        <f t="shared" si="150"/>
        <v>286.94570078060917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4.2132411464604376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7.5039357577980004E-20</v>
      </c>
      <c r="DI157" s="24">
        <f t="shared" si="175"/>
        <v>4.2132411464604376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367.51466260429623</v>
      </c>
      <c r="T158" s="62">
        <f t="shared" si="142"/>
        <v>297.32483725004136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1.790010098417023E-18</v>
      </c>
      <c r="AC158" s="24">
        <f t="shared" si="163"/>
        <v>1.790010098417023E-18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2.6602720026858149E-14</v>
      </c>
      <c r="AK158" s="14">
        <f t="shared" si="164"/>
        <v>4.6624771586320878E-13</v>
      </c>
      <c r="AL158" s="22">
        <f t="shared" si="165"/>
        <v>8.583811758418665E-13</v>
      </c>
      <c r="AM158" s="62">
        <f t="shared" si="113"/>
        <v>287.24935502518053</v>
      </c>
      <c r="AN158" s="62">
        <f ca="1">AVERAGE(OFFSET($AM$3,0,0,'Données projet'!$E$10+1,1))-AVERAGE(OFFSET($H$3,0,0,'Données projet'!$E$10+1,1))</f>
        <v>188.94867378904664</v>
      </c>
      <c r="AO158" s="62">
        <f t="shared" si="144"/>
        <v>242.84781402593833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1.2927502056050684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2.3787420431624283E-18</v>
      </c>
      <c r="AX158" s="23">
        <f t="shared" si="166"/>
        <v>1.2927502056050684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-6.7984728957526396E-14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367.11994336501527</v>
      </c>
      <c r="BJ158" s="62">
        <f t="shared" si="146"/>
        <v>390.81417197867484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1.3252736251822759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3.2053205818094378E-18</v>
      </c>
      <c r="BS158" s="24">
        <f t="shared" si="169"/>
        <v>1.3252736251822759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-3.3992364478763198E-14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396.15172163885632</v>
      </c>
      <c r="CE158" s="62">
        <f t="shared" si="148"/>
        <v>624.94568617205198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1.9811401497827104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6.5964337445707749E-18</v>
      </c>
      <c r="CN158" s="24">
        <f t="shared" si="172"/>
        <v>1.9811401497827104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89.800041997398182</v>
      </c>
      <c r="CZ158" s="62">
        <f t="shared" si="150"/>
        <v>286.94570078060917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4.1306220574016992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5.3060838599271808E-20</v>
      </c>
      <c r="DI158" s="24">
        <f t="shared" si="175"/>
        <v>4.1306220574016992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367.51466260429623</v>
      </c>
      <c r="T159" s="62">
        <f t="shared" si="142"/>
        <v>297.32483725004136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1.2657282789830763E-18</v>
      </c>
      <c r="AC159" s="24">
        <f t="shared" si="163"/>
        <v>1.2657282789830763E-18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2.6602720026858149E-14</v>
      </c>
      <c r="AK159" s="14">
        <f t="shared" si="164"/>
        <v>4.6624771586320878E-13</v>
      </c>
      <c r="AL159" s="22">
        <f t="shared" si="165"/>
        <v>8.583811758418665E-13</v>
      </c>
      <c r="AM159" s="62">
        <f t="shared" si="113"/>
        <v>287.35489844708917</v>
      </c>
      <c r="AN159" s="62">
        <f ca="1">AVERAGE(OFFSET($AM$3,0,0,'Données projet'!$E$10+1,1))-AVERAGE(OFFSET($H$3,0,0,'Données projet'!$E$10+1,1))</f>
        <v>188.94867378904664</v>
      </c>
      <c r="AO159" s="62">
        <f t="shared" si="144"/>
        <v>242.84781402593833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1.2674001625729205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1.6820246294136963E-18</v>
      </c>
      <c r="AX159" s="23">
        <f t="shared" si="166"/>
        <v>1.2674001625729205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-6.7984728957526396E-14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367.11994336501527</v>
      </c>
      <c r="BJ159" s="62">
        <f t="shared" si="146"/>
        <v>390.81417197867484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1.2992858177295461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2.2665039192742633E-18</v>
      </c>
      <c r="BS159" s="24">
        <f t="shared" si="169"/>
        <v>1.2992858177295461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-3.3992364478763198E-14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396.15172163885632</v>
      </c>
      <c r="CE159" s="62">
        <f t="shared" si="148"/>
        <v>624.94568617205198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1.9422911998216454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4.6643830324337652E-18</v>
      </c>
      <c r="CN159" s="24">
        <f t="shared" si="172"/>
        <v>1.9422911998216454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89.800041997398182</v>
      </c>
      <c r="CZ159" s="62">
        <f t="shared" si="150"/>
        <v>286.94570078060917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4.049623078286734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3.7519678788990008E-20</v>
      </c>
      <c r="DI159" s="24">
        <f t="shared" si="175"/>
        <v>4.049623078286734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367.51466260429623</v>
      </c>
      <c r="T160" s="62">
        <f t="shared" si="142"/>
        <v>297.32483725004136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8.9500504920851149E-19</v>
      </c>
      <c r="AC160" s="24">
        <f t="shared" si="163"/>
        <v>8.9500504920851149E-19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2.6602720026858149E-14</v>
      </c>
      <c r="AK160" s="14">
        <f t="shared" si="164"/>
        <v>4.6624771586320878E-13</v>
      </c>
      <c r="AL160" s="22">
        <f t="shared" si="165"/>
        <v>8.583811758418665E-13</v>
      </c>
      <c r="AM160" s="62">
        <f t="shared" si="113"/>
        <v>287.45861092658743</v>
      </c>
      <c r="AN160" s="62">
        <f ca="1">AVERAGE(OFFSET($AM$3,0,0,'Données projet'!$E$10+1,1))-AVERAGE(OFFSET($H$3,0,0,'Données projet'!$E$10+1,1))</f>
        <v>188.94867378904664</v>
      </c>
      <c r="AO160" s="62">
        <f t="shared" si="144"/>
        <v>242.84781402593833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1.2425472184226336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1.1893710215812144E-18</v>
      </c>
      <c r="AX160" s="23">
        <f t="shared" si="166"/>
        <v>1.2425472184226336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-6.7984728957526396E-14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367.11994336501527</v>
      </c>
      <c r="BJ160" s="62">
        <f t="shared" si="146"/>
        <v>390.81417197867484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1.2738076153299671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1.6026602909047189E-18</v>
      </c>
      <c r="BS160" s="24">
        <f t="shared" si="169"/>
        <v>1.2738076153299671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-3.3992364478763198E-14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396.15172163885632</v>
      </c>
      <c r="CE160" s="62">
        <f t="shared" si="148"/>
        <v>624.94568617205198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1.9042040540737974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3.2982168722853874E-18</v>
      </c>
      <c r="CN160" s="24">
        <f t="shared" si="172"/>
        <v>1.9042040540737974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89.800041997398182</v>
      </c>
      <c r="CZ160" s="62">
        <f t="shared" si="150"/>
        <v>286.94570078060917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3.9702124397477139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2.6530419299635907E-20</v>
      </c>
      <c r="DI160" s="24">
        <f t="shared" si="175"/>
        <v>3.9702124397477139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367.51466260429623</v>
      </c>
      <c r="T161" s="62">
        <f t="shared" si="142"/>
        <v>297.32483725004136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6.3286413949153815E-19</v>
      </c>
      <c r="AC161" s="24">
        <f t="shared" si="163"/>
        <v>6.3286413949153815E-19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2.6602720026858149E-14</v>
      </c>
      <c r="AK161" s="14">
        <f t="shared" si="164"/>
        <v>4.6624771586320878E-13</v>
      </c>
      <c r="AL161" s="22">
        <f t="shared" si="165"/>
        <v>8.583811758418665E-13</v>
      </c>
      <c r="AM161" s="62">
        <f t="shared" si="113"/>
        <v>287.56052422643285</v>
      </c>
      <c r="AN161" s="62">
        <f ca="1">AVERAGE(OFFSET($AM$3,0,0,'Données projet'!$E$10+1,1))-AVERAGE(OFFSET($H$3,0,0,'Données projet'!$E$10+1,1))</f>
        <v>188.94867378904664</v>
      </c>
      <c r="AO161" s="62">
        <f t="shared" si="144"/>
        <v>242.84781402593833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1.2181816253483346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8.4101231470684825E-19</v>
      </c>
      <c r="AX161" s="23">
        <f t="shared" si="166"/>
        <v>1.2181816253483346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-6.7984728957526396E-14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367.11994336501527</v>
      </c>
      <c r="BJ161" s="62">
        <f t="shared" si="146"/>
        <v>390.81417197867484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1.2488290249392748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1.1332519596371317E-18</v>
      </c>
      <c r="BS161" s="24">
        <f t="shared" si="169"/>
        <v>1.2488290249392748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-3.3992364478763198E-14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396.15172163885632</v>
      </c>
      <c r="CE161" s="62">
        <f t="shared" si="148"/>
        <v>624.94568617205198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1.8668637740231997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2.3321915162168826E-18</v>
      </c>
      <c r="CN161" s="24">
        <f t="shared" si="172"/>
        <v>1.8668637740231997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89.800041997398182</v>
      </c>
      <c r="CZ161" s="62">
        <f t="shared" si="150"/>
        <v>286.94570078060917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3.8923589953947371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1.8759839394495007E-20</v>
      </c>
      <c r="DI161" s="24">
        <f t="shared" si="175"/>
        <v>3.8923589953947371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367.51466260429623</v>
      </c>
      <c r="T162" s="62">
        <f t="shared" si="142"/>
        <v>297.32483725004136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4.4750252460425574E-19</v>
      </c>
      <c r="AC162" s="24">
        <f t="shared" si="163"/>
        <v>4.4750252460425574E-19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2.6602720026858149E-14</v>
      </c>
      <c r="AK162" s="14">
        <f t="shared" si="164"/>
        <v>4.6624771586320878E-13</v>
      </c>
      <c r="AL162" s="22">
        <f t="shared" si="165"/>
        <v>8.583811758418665E-13</v>
      </c>
      <c r="AM162" s="62">
        <f t="shared" si="113"/>
        <v>287.66066955836982</v>
      </c>
      <c r="AN162" s="62">
        <f ca="1">AVERAGE(OFFSET($AM$3,0,0,'Données projet'!$E$10+1,1))-AVERAGE(OFFSET($H$3,0,0,'Données projet'!$E$10+1,1))</f>
        <v>188.94867378904664</v>
      </c>
      <c r="AO162" s="62">
        <f t="shared" si="144"/>
        <v>242.84781402593833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1.1942938266926784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5.9468551079060728E-19</v>
      </c>
      <c r="AX162" s="23">
        <f t="shared" si="166"/>
        <v>1.1942938266926784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-6.7984728957526396E-14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367.11994336501527</v>
      </c>
      <c r="BJ162" s="62">
        <f t="shared" si="146"/>
        <v>390.81417197867484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1.2243402494707083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8.0133014545235946E-19</v>
      </c>
      <c r="BS162" s="24">
        <f t="shared" si="169"/>
        <v>1.2243402494707083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-3.3992364478763198E-14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396.15172163885632</v>
      </c>
      <c r="CE162" s="62">
        <f t="shared" si="148"/>
        <v>624.94568617205198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1.8302557140890721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1.6491084361426937E-18</v>
      </c>
      <c r="CN162" s="24">
        <f t="shared" si="172"/>
        <v>1.8302557140890721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89.800041997398182</v>
      </c>
      <c r="CZ162" s="62">
        <f t="shared" si="150"/>
        <v>286.94570078060917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3.81603220959961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1.3265209649817956E-20</v>
      </c>
      <c r="DI162" s="24">
        <f t="shared" si="175"/>
        <v>3.81603220959961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367.51466260429623</v>
      </c>
      <c r="T163" s="62">
        <f t="shared" si="142"/>
        <v>297.32483725004136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3.1643206974576908E-19</v>
      </c>
      <c r="AC163" s="24">
        <f t="shared" si="163"/>
        <v>3.1643206974576908E-19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2.6602720026858149E-14</v>
      </c>
      <c r="AK163" s="14">
        <f t="shared" si="164"/>
        <v>4.6624771586320878E-13</v>
      </c>
      <c r="AL163" s="22">
        <f t="shared" si="165"/>
        <v>8.583811758418665E-13</v>
      </c>
      <c r="AM163" s="62">
        <f t="shared" si="113"/>
        <v>287.75907759268921</v>
      </c>
      <c r="AN163" s="62">
        <f ca="1">AVERAGE(OFFSET($AM$3,0,0,'Données projet'!$E$10+1,1))-AVERAGE(OFFSET($H$3,0,0,'Données projet'!$E$10+1,1))</f>
        <v>188.94867378904664</v>
      </c>
      <c r="AO163" s="62">
        <f t="shared" si="144"/>
        <v>242.84781402593833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1.1708744531985411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4.2050615735342422E-19</v>
      </c>
      <c r="AX163" s="23">
        <f t="shared" si="166"/>
        <v>1.1708744531985411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-6.7984728957526396E-14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367.11994336501527</v>
      </c>
      <c r="BJ163" s="62">
        <f t="shared" si="146"/>
        <v>390.81417197867484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1.2003316839524021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5.6662597981856583E-19</v>
      </c>
      <c r="BS163" s="24">
        <f t="shared" si="169"/>
        <v>1.2003316839524021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-3.3992364478763198E-14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396.15172163885632</v>
      </c>
      <c r="CE163" s="62">
        <f t="shared" si="148"/>
        <v>624.94568617205198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1.794365515881541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1.1660957581084413E-18</v>
      </c>
      <c r="CN163" s="24">
        <f t="shared" si="172"/>
        <v>1.794365515881541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89.800041997398182</v>
      </c>
      <c r="CZ163" s="62">
        <f t="shared" si="150"/>
        <v>286.94570078060917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3.7412021455191828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9.379919697247505E-21</v>
      </c>
      <c r="DI163" s="24">
        <f t="shared" si="175"/>
        <v>3.7412021455191828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367.51466260429623</v>
      </c>
      <c r="T164" s="62">
        <f t="shared" si="142"/>
        <v>297.32483725004136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2.2375126230212787E-19</v>
      </c>
      <c r="AC164" s="24">
        <f t="shared" si="163"/>
        <v>2.2375126230212787E-19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2.6602720026858149E-14</v>
      </c>
      <c r="AK164" s="14">
        <f t="shared" si="164"/>
        <v>4.6624771586320878E-13</v>
      </c>
      <c r="AL164" s="22">
        <f t="shared" si="165"/>
        <v>8.583811758418665E-13</v>
      </c>
      <c r="AM164" s="62">
        <f t="shared" si="113"/>
        <v>287.85577846762055</v>
      </c>
      <c r="AN164" s="62">
        <f ca="1">AVERAGE(OFFSET($AM$3,0,0,'Données projet'!$E$10+1,1))-AVERAGE(OFFSET($H$3,0,0,'Données projet'!$E$10+1,1))</f>
        <v>188.94867378904664</v>
      </c>
      <c r="AO164" s="62">
        <f t="shared" si="144"/>
        <v>242.84781402593833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1.1479143193342165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2.9734275539530369E-19</v>
      </c>
      <c r="AX164" s="23">
        <f t="shared" si="166"/>
        <v>1.1479143193342165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-6.7984728957526396E-14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367.11994336501527</v>
      </c>
      <c r="BJ164" s="62">
        <f t="shared" si="146"/>
        <v>390.81417197867484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1.1767939117601309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4.0066507272617973E-19</v>
      </c>
      <c r="BS164" s="24">
        <f t="shared" si="169"/>
        <v>1.1767939117601309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-3.3992364478763198E-14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396.15172163885632</v>
      </c>
      <c r="CE164" s="62">
        <f t="shared" si="148"/>
        <v>624.94568617205198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1.7591791025700003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8.2455421807134686E-19</v>
      </c>
      <c r="CN164" s="24">
        <f t="shared" si="172"/>
        <v>1.7591791025700003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89.800041997398182</v>
      </c>
      <c r="CZ164" s="62">
        <f t="shared" si="150"/>
        <v>286.94570078060917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3.6678394533535408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6.632604824908979E-21</v>
      </c>
      <c r="DI164" s="24">
        <f t="shared" si="175"/>
        <v>3.6678394533535408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367.51466260429623</v>
      </c>
      <c r="T165" s="62">
        <f t="shared" si="142"/>
        <v>297.32483725004136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1.5821603487288454E-19</v>
      </c>
      <c r="AC165" s="24">
        <f t="shared" si="163"/>
        <v>1.5821603487288454E-19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2.6602720026858149E-14</v>
      </c>
      <c r="AK165" s="14">
        <f t="shared" si="164"/>
        <v>4.6624771586320878E-13</v>
      </c>
      <c r="AL165" s="22">
        <f t="shared" si="165"/>
        <v>8.583811758418665E-13</v>
      </c>
      <c r="AM165" s="62">
        <f t="shared" si="113"/>
        <v>287.95080179856257</v>
      </c>
      <c r="AN165" s="62">
        <f ca="1">AVERAGE(OFFSET($AM$3,0,0,'Données projet'!$E$10+1,1))-AVERAGE(OFFSET($H$3,0,0,'Données projet'!$E$10+1,1))</f>
        <v>188.94867378904664</v>
      </c>
      <c r="AO165" s="62">
        <f t="shared" si="144"/>
        <v>242.84781402593833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1.1254044196906723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2.1025307867671214E-19</v>
      </c>
      <c r="AX165" s="23">
        <f t="shared" si="166"/>
        <v>1.1254044196906723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-6.7984728957526396E-14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367.11994336501527</v>
      </c>
      <c r="BJ165" s="62">
        <f t="shared" si="146"/>
        <v>390.81417197867484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1.1537177009239268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2.8331298990928292E-19</v>
      </c>
      <c r="BS165" s="24">
        <f t="shared" si="169"/>
        <v>1.1537177009239268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-3.3992364478763198E-14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396.15172163885632</v>
      </c>
      <c r="CE165" s="62">
        <f t="shared" si="148"/>
        <v>624.94568617205198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1.7246826733619058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5.8304787905422065E-19</v>
      </c>
      <c r="CN165" s="24">
        <f t="shared" si="172"/>
        <v>1.7246826733619058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89.800041997398182</v>
      </c>
      <c r="CZ165" s="62">
        <f t="shared" si="150"/>
        <v>286.94570078060917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3.5959153588344432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4.6899598486237533E-21</v>
      </c>
      <c r="DI165" s="24">
        <f t="shared" si="175"/>
        <v>3.5959153588344432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367.51466260429623</v>
      </c>
      <c r="T166" s="62">
        <f t="shared" si="142"/>
        <v>297.32483725004136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1.1187563115106394E-19</v>
      </c>
      <c r="AC166" s="24">
        <f t="shared" si="163"/>
        <v>1.1187563115106394E-19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2.6602720026858149E-14</v>
      </c>
      <c r="AK166" s="14">
        <f t="shared" si="164"/>
        <v>4.6624771586320878E-13</v>
      </c>
      <c r="AL166" s="22">
        <f t="shared" si="165"/>
        <v>8.583811758418665E-13</v>
      </c>
      <c r="AM166" s="62">
        <f t="shared" si="113"/>
        <v>288.04417668715308</v>
      </c>
      <c r="AN166" s="62">
        <f ca="1">AVERAGE(OFFSET($AM$3,0,0,'Données projet'!$E$10+1,1))-AVERAGE(OFFSET($H$3,0,0,'Données projet'!$E$10+1,1))</f>
        <v>188.94867378904664</v>
      </c>
      <c r="AO166" s="62">
        <f t="shared" si="144"/>
        <v>242.84781402593833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1.103335925449455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1.4867137769765187E-19</v>
      </c>
      <c r="AX166" s="23">
        <f t="shared" si="166"/>
        <v>1.103335925449455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-6.7984728957526396E-14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367.11994336501527</v>
      </c>
      <c r="BJ166" s="62">
        <f t="shared" si="146"/>
        <v>390.81417197867484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1.1310940005071217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2.0033253636308986E-19</v>
      </c>
      <c r="BS166" s="24">
        <f t="shared" si="169"/>
        <v>1.1310940005071217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-3.3992364478763198E-14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396.15172163885632</v>
      </c>
      <c r="CE166" s="62">
        <f t="shared" si="148"/>
        <v>624.94568617205198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1.690862698089838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4.1227710903567343E-19</v>
      </c>
      <c r="CN166" s="24">
        <f t="shared" si="172"/>
        <v>1.690862698089838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89.800041997398182</v>
      </c>
      <c r="CZ166" s="62">
        <f t="shared" si="150"/>
        <v>286.94570078060917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3.5254016519394993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3.3163024124544902E-21</v>
      </c>
      <c r="DI166" s="24">
        <f t="shared" si="175"/>
        <v>3.5254016519394993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367.51466260429623</v>
      </c>
      <c r="T167" s="62">
        <f t="shared" si="142"/>
        <v>297.32483725004136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7.9108017436442269E-20</v>
      </c>
      <c r="AC167" s="24">
        <f t="shared" si="163"/>
        <v>7.9108017436442269E-20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2.6602720026858149E-14</v>
      </c>
      <c r="AK167" s="14">
        <f t="shared" si="164"/>
        <v>4.6624771586320878E-13</v>
      </c>
      <c r="AL167" s="22">
        <f t="shared" si="165"/>
        <v>8.583811758418665E-13</v>
      </c>
      <c r="AM167" s="62">
        <f t="shared" si="113"/>
        <v>288.13593173018154</v>
      </c>
      <c r="AN167" s="62">
        <f ca="1">AVERAGE(OFFSET($AM$3,0,0,'Données projet'!$E$10+1,1))-AVERAGE(OFFSET($H$3,0,0,'Données projet'!$E$10+1,1))</f>
        <v>188.94867378904664</v>
      </c>
      <c r="AO167" s="62">
        <f t="shared" si="144"/>
        <v>242.84781402593833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1.0817001809198556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1.0512653933835609E-19</v>
      </c>
      <c r="AX167" s="23">
        <f t="shared" si="166"/>
        <v>1.0817001809198556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-6.7984728957526396E-14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367.11994336501527</v>
      </c>
      <c r="BJ167" s="62">
        <f t="shared" si="146"/>
        <v>390.81417197867484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1.1089139370563954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1.4165649495464146E-19</v>
      </c>
      <c r="BS167" s="24">
        <f t="shared" si="169"/>
        <v>1.1089139370563954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-3.3992364478763198E-14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396.15172163885632</v>
      </c>
      <c r="CE167" s="62">
        <f t="shared" si="148"/>
        <v>624.94568617205198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1.6577059119047073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2.9152393952711032E-19</v>
      </c>
      <c r="CN167" s="24">
        <f t="shared" si="172"/>
        <v>1.6577059119047073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89.800041997398182</v>
      </c>
      <c r="CZ167" s="62">
        <f t="shared" si="150"/>
        <v>286.94570078060917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3.4562706758276507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2.344979924311877E-21</v>
      </c>
      <c r="DI167" s="24">
        <f t="shared" si="175"/>
        <v>3.4562706758276507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367.51466260429623</v>
      </c>
      <c r="T168" s="62">
        <f t="shared" si="142"/>
        <v>297.32483725004136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5.5937815575531968E-20</v>
      </c>
      <c r="AC168" s="24">
        <f t="shared" si="163"/>
        <v>5.5937815575531968E-20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2.6602720026858149E-14</v>
      </c>
      <c r="AK168" s="14">
        <f t="shared" si="164"/>
        <v>4.6624771586320878E-13</v>
      </c>
      <c r="AL168" s="22">
        <f t="shared" si="165"/>
        <v>8.583811758418665E-13</v>
      </c>
      <c r="AM168" s="62">
        <f t="shared" si="113"/>
        <v>288.226095028347</v>
      </c>
      <c r="AN168" s="62">
        <f ca="1">AVERAGE(OFFSET($AM$3,0,0,'Données projet'!$E$10+1,1))-AVERAGE(OFFSET($H$3,0,0,'Données projet'!$E$10+1,1))</f>
        <v>188.94867378904664</v>
      </c>
      <c r="AO168" s="62">
        <f t="shared" si="144"/>
        <v>242.84781402593833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1.0604887001439807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7.4335688848825946E-20</v>
      </c>
      <c r="AX168" s="23">
        <f t="shared" si="166"/>
        <v>1.0604887001439807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-6.7984728957526396E-14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367.11994336501527</v>
      </c>
      <c r="BJ168" s="62">
        <f t="shared" si="146"/>
        <v>390.81417197867484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1.087168811121435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1.0016626818154493E-19</v>
      </c>
      <c r="BS168" s="24">
        <f t="shared" si="169"/>
        <v>1.087168811121435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-3.3992364478763198E-14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396.15172163885632</v>
      </c>
      <c r="CE168" s="62">
        <f t="shared" si="148"/>
        <v>624.94568617205198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1.6251993100730244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2.0613855451783672E-19</v>
      </c>
      <c r="CN168" s="24">
        <f t="shared" si="172"/>
        <v>1.6251993100730244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89.800041997398182</v>
      </c>
      <c r="CZ168" s="62">
        <f t="shared" si="150"/>
        <v>286.94570078060917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3.3884953159916233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1.6581512062272453E-21</v>
      </c>
      <c r="DI168" s="24">
        <f t="shared" si="175"/>
        <v>3.3884953159916233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367.51466260429623</v>
      </c>
      <c r="T169" s="62">
        <f t="shared" si="142"/>
        <v>297.32483725004136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3.9554008718221135E-20</v>
      </c>
      <c r="AC169" s="24">
        <f t="shared" si="163"/>
        <v>3.9554008718221135E-20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2.6602720026858149E-14</v>
      </c>
      <c r="AK169" s="14">
        <f t="shared" si="164"/>
        <v>4.6624771586320878E-13</v>
      </c>
      <c r="AL169" s="22">
        <f t="shared" si="165"/>
        <v>8.583811758418665E-13</v>
      </c>
      <c r="AM169" s="62">
        <f t="shared" si="113"/>
        <v>288.31469419486427</v>
      </c>
      <c r="AN169" s="62">
        <f ca="1">AVERAGE(OFFSET($AM$3,0,0,'Données projet'!$E$10+1,1))-AVERAGE(OFFSET($H$3,0,0,'Données projet'!$E$10+1,1))</f>
        <v>188.94867378904664</v>
      </c>
      <c r="AO169" s="62">
        <f t="shared" si="144"/>
        <v>242.84781402593833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1.0396931635683948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5.2563269669178052E-20</v>
      </c>
      <c r="AX169" s="23">
        <f t="shared" si="166"/>
        <v>1.0396931635683948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-6.7984728957526396E-14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367.11994336501527</v>
      </c>
      <c r="BJ169" s="62">
        <f t="shared" si="146"/>
        <v>390.81417197867484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1.0658500938428421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7.0828247477320729E-20</v>
      </c>
      <c r="BS169" s="24">
        <f t="shared" si="169"/>
        <v>1.0658500938428421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-3.3992364478763198E-14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396.15172163885632</v>
      </c>
      <c r="CE169" s="62">
        <f t="shared" si="148"/>
        <v>624.94568617205198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1.5933301428761915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1.4576196976355516E-19</v>
      </c>
      <c r="CN169" s="24">
        <f t="shared" si="172"/>
        <v>1.5933301428761915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89.800041997398182</v>
      </c>
      <c r="CZ169" s="62">
        <f t="shared" si="150"/>
        <v>286.94570078060917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3.3220489896230929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1.1724899621559387E-21</v>
      </c>
      <c r="DI169" s="24">
        <f t="shared" si="175"/>
        <v>3.3220489896230929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367.51466260429623</v>
      </c>
      <c r="T170" s="62">
        <f t="shared" si="142"/>
        <v>297.32483725004136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2.7968907787765984E-20</v>
      </c>
      <c r="AC170" s="24">
        <f t="shared" si="163"/>
        <v>2.7968907787765984E-20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2.6602720026858149E-14</v>
      </c>
      <c r="AK170" s="14">
        <f t="shared" si="164"/>
        <v>4.6624771586320878E-13</v>
      </c>
      <c r="AL170" s="22">
        <f t="shared" si="165"/>
        <v>8.583811758418665E-13</v>
      </c>
      <c r="AM170" s="62">
        <f t="shared" si="113"/>
        <v>288.40175636392047</v>
      </c>
      <c r="AN170" s="62">
        <f ca="1">AVERAGE(OFFSET($AM$3,0,0,'Données projet'!$E$10+1,1))-AVERAGE(OFFSET($H$3,0,0,'Données projet'!$E$10+1,1))</f>
        <v>188.94867378904664</v>
      </c>
      <c r="AO170" s="62">
        <f t="shared" si="144"/>
        <v>242.84781402593833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1.0193054147810312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3.7167844424412979E-20</v>
      </c>
      <c r="AX170" s="23">
        <f t="shared" si="166"/>
        <v>1.0193054147810312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-6.7984728957526396E-14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367.11994336501527</v>
      </c>
      <c r="BJ170" s="62">
        <f t="shared" si="146"/>
        <v>390.81417197867484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1.0449494236069488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5.0083134090772466E-20</v>
      </c>
      <c r="BS170" s="24">
        <f t="shared" si="169"/>
        <v>1.0449494236069488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-3.3992364478763198E-14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396.15172163885632</v>
      </c>
      <c r="CE170" s="62">
        <f t="shared" si="148"/>
        <v>624.94568617205198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1.5620859106098157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1.0306927725891836E-19</v>
      </c>
      <c r="CN170" s="24">
        <f t="shared" si="172"/>
        <v>1.5620859106098157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89.800041997398182</v>
      </c>
      <c r="CZ170" s="62">
        <f t="shared" si="150"/>
        <v>286.94570078060917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3.2569056351863921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8.2907560311362275E-22</v>
      </c>
      <c r="DI170" s="24">
        <f t="shared" si="175"/>
        <v>3.2569056351863921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367.51466260429623</v>
      </c>
      <c r="T171" s="62">
        <f t="shared" si="142"/>
        <v>297.32483725004136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1.9777004359110567E-20</v>
      </c>
      <c r="AC171" s="24">
        <f t="shared" si="163"/>
        <v>1.9777004359110567E-20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2.6602720026858149E-14</v>
      </c>
      <c r="AK171" s="14">
        <f t="shared" si="164"/>
        <v>4.6624771586320878E-13</v>
      </c>
      <c r="AL171" s="22">
        <f t="shared" si="165"/>
        <v>8.583811758418665E-13</v>
      </c>
      <c r="AM171" s="62">
        <f t="shared" si="113"/>
        <v>288.48730819898537</v>
      </c>
      <c r="AN171" s="62">
        <f ca="1">AVERAGE(OFFSET($AM$3,0,0,'Données projet'!$E$10+1,1))-AVERAGE(OFFSET($H$3,0,0,'Données projet'!$E$10+1,1))</f>
        <v>188.94867378904664</v>
      </c>
      <c r="AO171" s="62">
        <f t="shared" si="144"/>
        <v>242.84781402593833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0.99931745731208899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2.6281634834589029E-20</v>
      </c>
      <c r="AX171" s="23">
        <f t="shared" si="166"/>
        <v>0.99931745731208899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-6.7984728957526396E-14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367.11994336501527</v>
      </c>
      <c r="BJ171" s="62">
        <f t="shared" si="146"/>
        <v>390.81417197867484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1.0244586027662312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3.5414123738660364E-20</v>
      </c>
      <c r="BS171" s="24">
        <f t="shared" si="169"/>
        <v>1.0244586027662312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-3.3992364478763198E-14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396.15172163885632</v>
      </c>
      <c r="CE171" s="62">
        <f t="shared" si="148"/>
        <v>624.94568617205198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1.5314543586810836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7.2880984881777581E-20</v>
      </c>
      <c r="CN171" s="24">
        <f t="shared" si="172"/>
        <v>1.5314543586810836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89.800041997398182</v>
      </c>
      <c r="CZ171" s="62">
        <f t="shared" si="150"/>
        <v>286.94570078060917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3.1930397021966721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5.8624498107796944E-22</v>
      </c>
      <c r="DI171" s="24">
        <f t="shared" si="175"/>
        <v>3.1930397021966721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367.51466260429623</v>
      </c>
      <c r="T172" s="62">
        <f t="shared" si="142"/>
        <v>297.32483725004136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1.3984453893882992E-20</v>
      </c>
      <c r="AC172" s="24">
        <f t="shared" si="163"/>
        <v>1.3984453893882992E-20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2.6602720026858149E-14</v>
      </c>
      <c r="AK172" s="14">
        <f t="shared" si="164"/>
        <v>4.6624771586320878E-13</v>
      </c>
      <c r="AL172" s="22">
        <f t="shared" si="165"/>
        <v>8.583811758418665E-13</v>
      </c>
      <c r="AM172" s="62">
        <f t="shared" si="113"/>
        <v>288.57137590097727</v>
      </c>
      <c r="AN172" s="62">
        <f ca="1">AVERAGE(OFFSET($AM$3,0,0,'Données projet'!$E$10+1,1))-AVERAGE(OFFSET($H$3,0,0,'Données projet'!$E$10+1,1))</f>
        <v>188.94867378904664</v>
      </c>
      <c r="AO172" s="62">
        <f t="shared" si="144"/>
        <v>242.84781402593833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0.97972145149766243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1.8583922212206489E-20</v>
      </c>
      <c r="AX172" s="23">
        <f t="shared" si="166"/>
        <v>0.97972145149766243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-6.7984728957526396E-14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367.11994336501527</v>
      </c>
      <c r="BJ172" s="62">
        <f t="shared" si="146"/>
        <v>390.81417197867484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1.0043695944240336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2.5041567045386233E-20</v>
      </c>
      <c r="BS172" s="24">
        <f t="shared" si="169"/>
        <v>1.0043695944240336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-3.3992364478763198E-14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396.15172163885632</v>
      </c>
      <c r="CE172" s="62">
        <f t="shared" si="148"/>
        <v>624.94568617205198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1.5014234728022722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5.1534638629459179E-20</v>
      </c>
      <c r="CN172" s="24">
        <f t="shared" si="172"/>
        <v>1.5014234728022722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89.800041997398182</v>
      </c>
      <c r="CZ172" s="62">
        <f t="shared" si="150"/>
        <v>286.94570078060917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3.1304261411985079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4.1453780155681147E-22</v>
      </c>
      <c r="DI172" s="24">
        <f t="shared" si="175"/>
        <v>3.1304261411985079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367.51466260429623</v>
      </c>
      <c r="T173" s="62">
        <f t="shared" si="142"/>
        <v>297.32483725004136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9.8885021795552837E-21</v>
      </c>
      <c r="AC173" s="24">
        <f t="shared" si="163"/>
        <v>9.8885021795552837E-21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2.6602720026858149E-14</v>
      </c>
      <c r="AK173" s="14">
        <f t="shared" si="164"/>
        <v>4.6624771586320878E-13</v>
      </c>
      <c r="AL173" s="22">
        <f t="shared" si="165"/>
        <v>8.583811758418665E-13</v>
      </c>
      <c r="AM173" s="62">
        <f t="shared" si="113"/>
        <v>288.65398521628674</v>
      </c>
      <c r="AN173" s="62">
        <f ca="1">AVERAGE(OFFSET($AM$3,0,0,'Données projet'!$E$10+1,1))-AVERAGE(OFFSET($H$3,0,0,'Données projet'!$E$10+1,1))</f>
        <v>188.94867378904664</v>
      </c>
      <c r="AO173" s="62">
        <f t="shared" si="144"/>
        <v>242.84781402593833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0.9605097114048734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1.3140817417294514E-20</v>
      </c>
      <c r="AX173" s="23">
        <f t="shared" si="166"/>
        <v>0.9605097114048734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-6.7984728957526396E-14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367.11994336501527</v>
      </c>
      <c r="BJ173" s="62">
        <f t="shared" si="146"/>
        <v>390.81417197867484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0.98467451928234118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1.7707061869330182E-20</v>
      </c>
      <c r="BS173" s="24">
        <f t="shared" si="169"/>
        <v>0.98467451928234118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-3.3992364478763198E-14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396.15172163885632</v>
      </c>
      <c r="CE173" s="62">
        <f t="shared" si="148"/>
        <v>624.94568617205198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1.4719814742785124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3.6440492440888791E-20</v>
      </c>
      <c r="CN173" s="24">
        <f t="shared" si="172"/>
        <v>1.4719814742785124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89.800041997398182</v>
      </c>
      <c r="CZ173" s="62">
        <f t="shared" si="150"/>
        <v>286.94570078060917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3.0690403939410165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2.9312249053898477E-22</v>
      </c>
      <c r="DI173" s="24">
        <f t="shared" si="175"/>
        <v>3.0690403939410165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367.51466260429623</v>
      </c>
      <c r="T174" s="62">
        <f t="shared" si="142"/>
        <v>297.32483725004136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6.992226946941496E-21</v>
      </c>
      <c r="AC174" s="24">
        <f t="shared" si="163"/>
        <v>6.992226946941496E-21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2.6602720026858149E-14</v>
      </c>
      <c r="AK174" s="14">
        <f t="shared" si="164"/>
        <v>4.6624771586320878E-13</v>
      </c>
      <c r="AL174" s="22">
        <f t="shared" si="165"/>
        <v>8.583811758418665E-13</v>
      </c>
      <c r="AM174" s="62">
        <f t="shared" si="113"/>
        <v>288.73516144466237</v>
      </c>
      <c r="AN174" s="62">
        <f ca="1">AVERAGE(OFFSET($AM$3,0,0,'Données projet'!$E$10+1,1))-AVERAGE(OFFSET($H$3,0,0,'Données projet'!$E$10+1,1))</f>
        <v>188.94867378904664</v>
      </c>
      <c r="AO174" s="62">
        <f t="shared" si="144"/>
        <v>242.84781402593833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0.94167470181729962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9.2919611061032447E-21</v>
      </c>
      <c r="AX174" s="23">
        <f t="shared" si="166"/>
        <v>0.94167470181729962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-6.7984728957526396E-14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367.11994336501527</v>
      </c>
      <c r="BJ174" s="62">
        <f t="shared" si="146"/>
        <v>390.81417197867484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0.96536565255136764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1.2520783522693117E-20</v>
      </c>
      <c r="BS174" s="24">
        <f t="shared" si="169"/>
        <v>0.96536565255136764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-3.3992364478763198E-14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396.15172163885632</v>
      </c>
      <c r="CE174" s="62">
        <f t="shared" si="148"/>
        <v>624.94568617205198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1.4431168153879577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2.5767319314729589E-20</v>
      </c>
      <c r="CN174" s="24">
        <f t="shared" si="172"/>
        <v>1.4431168153879577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89.800041997398182</v>
      </c>
      <c r="CZ174" s="62">
        <f t="shared" si="150"/>
        <v>286.94570078060917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3.0088583837456357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2.0726890077840576E-22</v>
      </c>
      <c r="DI174" s="24">
        <f t="shared" si="175"/>
        <v>3.0088583837456357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367.51466260429623</v>
      </c>
      <c r="T175" s="62">
        <f t="shared" si="142"/>
        <v>297.32483725004136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4.9442510897776418E-21</v>
      </c>
      <c r="AC175" s="24">
        <f t="shared" si="163"/>
        <v>4.9442510897776418E-21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2.6602720026858149E-14</v>
      </c>
      <c r="AK175" s="14">
        <f t="shared" si="164"/>
        <v>4.6624771586320878E-13</v>
      </c>
      <c r="AL175" s="22">
        <f t="shared" si="165"/>
        <v>8.583811758418665E-13</v>
      </c>
      <c r="AM175" s="62">
        <f t="shared" si="113"/>
        <v>288.8149294469585</v>
      </c>
      <c r="AN175" s="62">
        <f ca="1">AVERAGE(OFFSET($AM$3,0,0,'Données projet'!$E$10+1,1))-AVERAGE(OFFSET($H$3,0,0,'Données projet'!$E$10+1,1))</f>
        <v>188.94867378904664</v>
      </c>
      <c r="AO175" s="62">
        <f t="shared" si="144"/>
        <v>242.84781402593833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0.9232090352795167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6.5704087086472572E-21</v>
      </c>
      <c r="AX175" s="23">
        <f t="shared" si="166"/>
        <v>0.9232090352795167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-6.7984728957526396E-14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367.11994336501527</v>
      </c>
      <c r="BJ175" s="62">
        <f t="shared" si="146"/>
        <v>390.81417197867484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0.94643542091974275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8.8535309346650911E-21</v>
      </c>
      <c r="BS175" s="24">
        <f t="shared" si="169"/>
        <v>0.94643542091974275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-3.3992364478763198E-14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396.15172163885632</v>
      </c>
      <c r="CE175" s="62">
        <f t="shared" si="148"/>
        <v>624.94568617205198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1.4148181748525432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1.8220246220444395E-20</v>
      </c>
      <c r="CN175" s="24">
        <f t="shared" si="172"/>
        <v>1.4148181748525432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89.800041997398182</v>
      </c>
      <c r="CZ175" s="62">
        <f t="shared" si="150"/>
        <v>286.94570078060917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2.9498565060627846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1.4656124526949241E-22</v>
      </c>
      <c r="DI175" s="24">
        <f t="shared" si="175"/>
        <v>2.9498565060627846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367.51466260429623</v>
      </c>
      <c r="T176" s="62">
        <f t="shared" si="142"/>
        <v>297.32483725004136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3.496113473470748E-21</v>
      </c>
      <c r="AC176" s="24">
        <f t="shared" si="163"/>
        <v>3.496113473470748E-21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2.6602720026858149E-14</v>
      </c>
      <c r="AK176" s="14">
        <f t="shared" si="164"/>
        <v>4.6624771586320878E-13</v>
      </c>
      <c r="AL176" s="22">
        <f t="shared" si="165"/>
        <v>8.583811758418665E-13</v>
      </c>
      <c r="AM176" s="62">
        <f t="shared" si="113"/>
        <v>288.89331365274933</v>
      </c>
      <c r="AN176" s="62">
        <f ca="1">AVERAGE(OFFSET($AM$3,0,0,'Données projet'!$E$10+1,1))-AVERAGE(OFFSET($H$3,0,0,'Données projet'!$E$10+1,1))</f>
        <v>188.94867378904664</v>
      </c>
      <c r="AO176" s="62">
        <f t="shared" si="144"/>
        <v>242.84781402593833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0.90510546919959523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4.6459805530516224E-21</v>
      </c>
      <c r="AX176" s="23">
        <f t="shared" si="166"/>
        <v>0.90510546919959523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-6.7984728957526396E-14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367.11994336501527</v>
      </c>
      <c r="BJ176" s="62">
        <f t="shared" si="146"/>
        <v>390.81417197867484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0.92787639958411283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6.2603917613465583E-21</v>
      </c>
      <c r="BS176" s="24">
        <f t="shared" si="169"/>
        <v>0.92787639958411283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-3.3992364478763198E-14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396.15172163885632</v>
      </c>
      <c r="CE176" s="62">
        <f t="shared" si="148"/>
        <v>624.94568617205198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1.3870744533975619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1.2883659657364795E-20</v>
      </c>
      <c r="CN176" s="24">
        <f t="shared" si="172"/>
        <v>1.3870744533975619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89.800041997398182</v>
      </c>
      <c r="CZ176" s="62">
        <f t="shared" si="150"/>
        <v>286.94570078060917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2.8920116192137022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1.036344503892029E-22</v>
      </c>
      <c r="DI176" s="24">
        <f t="shared" si="175"/>
        <v>2.8920116192137022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367.51466260429623</v>
      </c>
      <c r="T177" s="62">
        <f t="shared" si="142"/>
        <v>297.32483725004136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2.4721255448888209E-21</v>
      </c>
      <c r="AC177" s="24">
        <f t="shared" si="163"/>
        <v>2.4721255448888209E-21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2.6602720026858149E-14</v>
      </c>
      <c r="AK177" s="14">
        <f t="shared" si="164"/>
        <v>4.6624771586320878E-13</v>
      </c>
      <c r="AL177" s="22">
        <f t="shared" si="165"/>
        <v>8.583811758418665E-13</v>
      </c>
      <c r="AM177" s="62">
        <f t="shared" si="113"/>
        <v>288.97033806781059</v>
      </c>
      <c r="AN177" s="62">
        <f ca="1">AVERAGE(OFFSET($AM$3,0,0,'Données projet'!$E$10+1,1))-AVERAGE(OFFSET($H$3,0,0,'Données projet'!$E$10+1,1))</f>
        <v>188.94867378904664</v>
      </c>
      <c r="AO177" s="62">
        <f t="shared" si="144"/>
        <v>242.84781402593833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0.88735690300841596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3.2852043543236286E-21</v>
      </c>
      <c r="AX177" s="23">
        <f t="shared" si="166"/>
        <v>0.88735690300841596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-6.7984728957526396E-14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367.11994336501527</v>
      </c>
      <c r="BJ177" s="62">
        <f t="shared" si="146"/>
        <v>390.81417197867484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0.90968130933698932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4.4267654673325455E-21</v>
      </c>
      <c r="BS177" s="24">
        <f t="shared" si="169"/>
        <v>0.90968130933698932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-3.3992364478763198E-14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396.15172163885632</v>
      </c>
      <c r="CE177" s="62">
        <f t="shared" si="148"/>
        <v>624.94568617205198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1.3598747693983135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9.1101231102221976E-21</v>
      </c>
      <c r="CN177" s="24">
        <f t="shared" si="172"/>
        <v>1.3598747693983135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89.800041997398182</v>
      </c>
      <c r="CZ177" s="62">
        <f t="shared" si="150"/>
        <v>286.94570078060917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2.8353010353138335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7.3280622634746215E-23</v>
      </c>
      <c r="DI177" s="24">
        <f t="shared" si="175"/>
        <v>2.8353010353138335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367.51466260429623</v>
      </c>
      <c r="T178" s="62">
        <f t="shared" si="142"/>
        <v>297.32483725004136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1.748056736735374E-21</v>
      </c>
      <c r="AC178" s="24">
        <f t="shared" si="163"/>
        <v>1.748056736735374E-21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2.6602720026858149E-14</v>
      </c>
      <c r="AK178" s="14">
        <f t="shared" si="164"/>
        <v>4.6624771586320878E-13</v>
      </c>
      <c r="AL178" s="22">
        <f t="shared" si="165"/>
        <v>8.583811758418665E-13</v>
      </c>
      <c r="AM178" s="62">
        <f t="shared" si="113"/>
        <v>289.04602628147126</v>
      </c>
      <c r="AN178" s="62">
        <f ca="1">AVERAGE(OFFSET($AM$3,0,0,'Données projet'!$E$10+1,1))-AVERAGE(OFFSET($H$3,0,0,'Données projet'!$E$10+1,1))</f>
        <v>188.94867378904664</v>
      </c>
      <c r="AO178" s="62">
        <f t="shared" si="144"/>
        <v>242.84781402593833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0.86995637537468928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2.3229902765258112E-21</v>
      </c>
      <c r="AX178" s="23">
        <f t="shared" si="166"/>
        <v>0.86995637537468928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-6.7984728957526396E-14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367.11994336501527</v>
      </c>
      <c r="BJ178" s="62">
        <f t="shared" si="146"/>
        <v>390.81417197867484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0.89184301371170271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3.1301958806732791E-21</v>
      </c>
      <c r="BS178" s="24">
        <f t="shared" si="169"/>
        <v>0.89184301371170271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-3.3992364478763198E-14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396.15172163885632</v>
      </c>
      <c r="CE178" s="62">
        <f t="shared" si="148"/>
        <v>624.94568617205198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1.3332084546121215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6.4418298286823973E-21</v>
      </c>
      <c r="CN178" s="24">
        <f t="shared" si="172"/>
        <v>1.3332084546121215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89.800041997398182</v>
      </c>
      <c r="CZ178" s="62">
        <f t="shared" si="150"/>
        <v>286.94570078060917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2.7797025113742002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5.1817225194601457E-23</v>
      </c>
      <c r="DI178" s="24">
        <f t="shared" si="175"/>
        <v>2.7797025113742002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367.51466260429623</v>
      </c>
      <c r="T179" s="62">
        <f t="shared" si="142"/>
        <v>297.32483725004136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1.2360627724444105E-21</v>
      </c>
      <c r="AC179" s="24">
        <f t="shared" si="163"/>
        <v>1.2360627724444105E-21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2.6602720026858149E-14</v>
      </c>
      <c r="AK179" s="14">
        <f t="shared" si="164"/>
        <v>4.6624771586320878E-13</v>
      </c>
      <c r="AL179" s="22">
        <f t="shared" si="165"/>
        <v>8.583811758418665E-13</v>
      </c>
      <c r="AM179" s="62">
        <f t="shared" si="113"/>
        <v>289.12040147383846</v>
      </c>
      <c r="AN179" s="62">
        <f ca="1">AVERAGE(OFFSET($AM$3,0,0,'Données projet'!$E$10+1,1))-AVERAGE(OFFSET($H$3,0,0,'Données projet'!$E$10+1,1))</f>
        <v>188.94867378904664</v>
      </c>
      <c r="AO179" s="62">
        <f t="shared" si="144"/>
        <v>242.84781402593833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0.8528970614745861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1.6426021771618143E-21</v>
      </c>
      <c r="AX179" s="23">
        <f t="shared" si="166"/>
        <v>0.8528970614745861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-6.7984728957526396E-14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367.11994336501527</v>
      </c>
      <c r="BJ179" s="62">
        <f t="shared" si="146"/>
        <v>390.81417197867484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0.87435451618334192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2.2133827336662728E-21</v>
      </c>
      <c r="BS179" s="24">
        <f t="shared" si="169"/>
        <v>0.87435451618334192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-3.3992364478763198E-14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396.15172163885632</v>
      </c>
      <c r="CE179" s="62">
        <f t="shared" si="148"/>
        <v>624.94568617205198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1.3070650499940406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4.5550615551110988E-21</v>
      </c>
      <c r="CN179" s="24">
        <f t="shared" si="172"/>
        <v>1.3070650499940406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89.800041997398182</v>
      </c>
      <c r="CZ179" s="62">
        <f t="shared" si="150"/>
        <v>286.94570078060917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2.725194240577272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3.6640311317373114E-23</v>
      </c>
      <c r="DI179" s="24">
        <f t="shared" si="175"/>
        <v>2.725194240577272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367.51466260429623</v>
      </c>
      <c r="T180" s="62">
        <f t="shared" si="142"/>
        <v>297.32483725004136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8.74028368367687E-22</v>
      </c>
      <c r="AC180" s="24">
        <f t="shared" si="163"/>
        <v>8.74028368367687E-22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2.6602720026858149E-14</v>
      </c>
      <c r="AK180" s="14">
        <f t="shared" si="164"/>
        <v>4.6624771586320878E-13</v>
      </c>
      <c r="AL180" s="22">
        <f t="shared" si="165"/>
        <v>8.583811758418665E-13</v>
      </c>
      <c r="AM180" s="62">
        <f t="shared" si="113"/>
        <v>289.19348642289611</v>
      </c>
      <c r="AN180" s="62">
        <f ca="1">AVERAGE(OFFSET($AM$3,0,0,'Données projet'!$E$10+1,1))-AVERAGE(OFFSET($H$3,0,0,'Données projet'!$E$10+1,1))</f>
        <v>188.94867378904664</v>
      </c>
      <c r="AO180" s="62">
        <f t="shared" si="144"/>
        <v>242.84781402593833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0.83617227031490993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1.1614951382629056E-21</v>
      </c>
      <c r="AX180" s="23">
        <f t="shared" si="166"/>
        <v>0.83617227031490993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-6.7984728957526396E-14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367.11994336501527</v>
      </c>
      <c r="BJ180" s="62">
        <f t="shared" si="146"/>
        <v>390.81417197867484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0.85720895742458214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1.5650979403366396E-21</v>
      </c>
      <c r="BS180" s="24">
        <f t="shared" si="169"/>
        <v>0.85720895742458214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-3.3992364478763198E-14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396.15172163885632</v>
      </c>
      <c r="CE180" s="62">
        <f t="shared" si="148"/>
        <v>624.94568617205198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1.2814343015946179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3.2209149143411987E-21</v>
      </c>
      <c r="CN180" s="24">
        <f t="shared" si="172"/>
        <v>1.2814343015946179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89.800041997398182</v>
      </c>
      <c r="CZ180" s="62">
        <f t="shared" si="150"/>
        <v>286.94570078060917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2.6717548437239094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2.5908612597300731E-23</v>
      </c>
      <c r="DI180" s="24">
        <f t="shared" si="175"/>
        <v>2.6717548437239094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367.51466260429623</v>
      </c>
      <c r="T181" s="62">
        <f t="shared" si="142"/>
        <v>297.32483725004136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6.1803138622220523E-22</v>
      </c>
      <c r="AC181" s="24">
        <f t="shared" si="163"/>
        <v>6.1803138622220523E-22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2.6602720026858149E-14</v>
      </c>
      <c r="AK181" s="14">
        <f t="shared" si="164"/>
        <v>4.6624771586320878E-13</v>
      </c>
      <c r="AL181" s="22">
        <f t="shared" si="165"/>
        <v>8.583811758418665E-13</v>
      </c>
      <c r="AM181" s="62">
        <f t="shared" si="113"/>
        <v>289.26530351148102</v>
      </c>
      <c r="AN181" s="62">
        <f ca="1">AVERAGE(OFFSET($AM$3,0,0,'Données projet'!$E$10+1,1))-AVERAGE(OFFSET($H$3,0,0,'Données projet'!$E$10+1,1))</f>
        <v>188.94867378904664</v>
      </c>
      <c r="AO181" s="62">
        <f t="shared" si="144"/>
        <v>242.84781402593833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0.81977544210875963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8.2130108858090716E-22</v>
      </c>
      <c r="AX181" s="23">
        <f t="shared" si="166"/>
        <v>0.81977544210875963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-6.7984728957526396E-14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367.11994336501527</v>
      </c>
      <c r="BJ181" s="62">
        <f t="shared" si="146"/>
        <v>390.81417197867484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0.84039961261532337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1.1066913668331364E-21</v>
      </c>
      <c r="BS181" s="24">
        <f t="shared" si="169"/>
        <v>0.84039961261532337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-3.3992364478763198E-14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396.15172163885632</v>
      </c>
      <c r="CE181" s="62">
        <f t="shared" si="148"/>
        <v>624.94568617205198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1.2563061565380951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2.2775307775555494E-21</v>
      </c>
      <c r="CN181" s="24">
        <f t="shared" si="172"/>
        <v>1.2563061565380951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89.800041997398182</v>
      </c>
      <c r="CZ181" s="62">
        <f t="shared" si="150"/>
        <v>286.94570078060917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2.6193633608480278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1.832015565868656E-23</v>
      </c>
      <c r="DI181" s="24">
        <f t="shared" si="175"/>
        <v>2.6193633608480278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367.51466260429623</v>
      </c>
      <c r="T182" s="62">
        <f t="shared" si="142"/>
        <v>297.32483725004136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4.370141841838435E-22</v>
      </c>
      <c r="AC182" s="24">
        <f t="shared" si="163"/>
        <v>4.370141841838435E-22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2.6602720026858149E-14</v>
      </c>
      <c r="AK182" s="14">
        <f t="shared" si="164"/>
        <v>4.6624771586320878E-13</v>
      </c>
      <c r="AL182" s="22">
        <f t="shared" si="165"/>
        <v>8.583811758418665E-13</v>
      </c>
      <c r="AM182" s="62">
        <f t="shared" si="113"/>
        <v>289.33587473413797</v>
      </c>
      <c r="AN182" s="62">
        <f ca="1">AVERAGE(OFFSET($AM$3,0,0,'Données projet'!$E$10+1,1))-AVERAGE(OFFSET($H$3,0,0,'Données projet'!$E$10+1,1))</f>
        <v>188.94867378904664</v>
      </c>
      <c r="AO182" s="62">
        <f t="shared" si="144"/>
        <v>242.84781402593833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0.80370014570265425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5.8074756913145279E-22</v>
      </c>
      <c r="AX182" s="23">
        <f t="shared" si="166"/>
        <v>0.80370014570265425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-6.7984728957526396E-14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367.11994336501527</v>
      </c>
      <c r="BJ182" s="62">
        <f t="shared" si="146"/>
        <v>390.81417197867484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0.82391988880508615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7.8254897016831978E-22</v>
      </c>
      <c r="BS182" s="24">
        <f t="shared" si="169"/>
        <v>0.82391988880508615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-3.3992364478763198E-14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396.15172163885632</v>
      </c>
      <c r="CE182" s="62">
        <f t="shared" si="148"/>
        <v>624.94568617205198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1.2316707590794755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1.6104574571705993E-21</v>
      </c>
      <c r="CN182" s="24">
        <f t="shared" si="172"/>
        <v>1.2316707590794755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89.800041997398182</v>
      </c>
      <c r="CZ182" s="62">
        <f t="shared" si="150"/>
        <v>286.94570078060917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2.5679992429956928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1.2954306298650369E-23</v>
      </c>
      <c r="DI182" s="24">
        <f t="shared" si="175"/>
        <v>2.5679992429956928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367.51466260429623</v>
      </c>
      <c r="T183" s="62">
        <f t="shared" si="142"/>
        <v>297.32483725004136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3.0901569311110261E-22</v>
      </c>
      <c r="AC183" s="24">
        <f t="shared" si="163"/>
        <v>3.0901569311110261E-22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2.6602720026858149E-14</v>
      </c>
      <c r="AK183" s="14">
        <f t="shared" si="164"/>
        <v>4.6624771586320878E-13</v>
      </c>
      <c r="AL183" s="22">
        <f t="shared" si="165"/>
        <v>8.583811758418665E-13</v>
      </c>
      <c r="AM183" s="62">
        <f t="shared" si="113"/>
        <v>289.40522170385549</v>
      </c>
      <c r="AN183" s="62">
        <f ca="1">AVERAGE(OFFSET($AM$3,0,0,'Données projet'!$E$10+1,1))-AVERAGE(OFFSET($H$3,0,0,'Données projet'!$E$10+1,1))</f>
        <v>188.94867378904664</v>
      </c>
      <c r="AO183" s="62">
        <f t="shared" si="144"/>
        <v>242.84781402593833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0.78794007605410998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4.1065054429045358E-22</v>
      </c>
      <c r="AX183" s="23">
        <f t="shared" si="166"/>
        <v>0.78794007605410998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-6.7984728957526396E-14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367.11994336501527</v>
      </c>
      <c r="BJ183" s="62">
        <f t="shared" si="146"/>
        <v>390.81417197867484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0.80776332232712877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5.5334568341656819E-22</v>
      </c>
      <c r="BS183" s="24">
        <f t="shared" si="169"/>
        <v>0.80776332232712877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-3.3992364478763198E-14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396.15172163885632</v>
      </c>
      <c r="CE183" s="62">
        <f t="shared" si="148"/>
        <v>624.94568617205198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1.2075184467389108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1.1387653887777747E-21</v>
      </c>
      <c r="CN183" s="24">
        <f t="shared" si="172"/>
        <v>1.2075184467389108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89.800041997398182</v>
      </c>
      <c r="CZ183" s="62">
        <f t="shared" si="150"/>
        <v>286.94570078060917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2.5176423441654237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9.1600778293432813E-24</v>
      </c>
      <c r="DI183" s="24">
        <f t="shared" si="175"/>
        <v>2.5176423441654237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367.51466260429623</v>
      </c>
      <c r="T184" s="62">
        <f t="shared" si="142"/>
        <v>297.32483725004136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2.1850709209192175E-22</v>
      </c>
      <c r="AC184" s="24">
        <f t="shared" si="163"/>
        <v>2.1850709209192175E-22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2.6602720026858149E-14</v>
      </c>
      <c r="AK184" s="14">
        <f t="shared" si="164"/>
        <v>4.6624771586320878E-13</v>
      </c>
      <c r="AL184" s="22">
        <f t="shared" si="165"/>
        <v>8.583811758418665E-13</v>
      </c>
      <c r="AM184" s="62">
        <f t="shared" si="113"/>
        <v>289.47336565868494</v>
      </c>
      <c r="AN184" s="62">
        <f ca="1">AVERAGE(OFFSET($AM$3,0,0,'Données projet'!$E$10+1,1))-AVERAGE(OFFSET($H$3,0,0,'Données projet'!$E$10+1,1))</f>
        <v>188.94867378904664</v>
      </c>
      <c r="AO184" s="62">
        <f t="shared" si="144"/>
        <v>242.84781402593833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0.77248905175868032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2.903737845657264E-22</v>
      </c>
      <c r="AX184" s="23">
        <f t="shared" si="166"/>
        <v>0.77248905175868032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-6.7984728957526396E-14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367.11994336501527</v>
      </c>
      <c r="BJ184" s="62">
        <f t="shared" si="146"/>
        <v>390.81417197867484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0.79192357626327159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3.9127448508415989E-22</v>
      </c>
      <c r="BS184" s="24">
        <f t="shared" si="169"/>
        <v>0.79192357626327159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-3.3992364478763198E-14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396.15172163885632</v>
      </c>
      <c r="CE184" s="62">
        <f t="shared" si="148"/>
        <v>624.94568617205198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1.1838397465118886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8.0522872858529967E-22</v>
      </c>
      <c r="CN184" s="24">
        <f t="shared" si="172"/>
        <v>1.1838397465118886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89.800041997398182</v>
      </c>
      <c r="CZ184" s="62">
        <f t="shared" si="150"/>
        <v>286.94570078060917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2.4682729134065409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6.4771531493251851E-24</v>
      </c>
      <c r="DI184" s="24">
        <f t="shared" si="175"/>
        <v>2.4682729134065409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367.51466260429623</v>
      </c>
      <c r="T185" s="62">
        <f t="shared" si="142"/>
        <v>297.32483725004136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1.5450784655555131E-22</v>
      </c>
      <c r="AC185" s="24">
        <f t="shared" si="163"/>
        <v>1.5450784655555131E-22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2.6602720026858149E-14</v>
      </c>
      <c r="AK185" s="14">
        <f t="shared" si="164"/>
        <v>4.6624771586320878E-13</v>
      </c>
      <c r="AL185" s="22">
        <f t="shared" si="165"/>
        <v>8.583811758418665E-13</v>
      </c>
      <c r="AM185" s="62">
        <f t="shared" si="113"/>
        <v>289.54032746824527</v>
      </c>
      <c r="AN185" s="62">
        <f ca="1">AVERAGE(OFFSET($AM$3,0,0,'Données projet'!$E$10+1,1))-AVERAGE(OFFSET($H$3,0,0,'Données projet'!$E$10+1,1))</f>
        <v>188.94867378904664</v>
      </c>
      <c r="AO185" s="62">
        <f t="shared" si="144"/>
        <v>242.84781402593833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0.75734101262548981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2.0532527214522679E-22</v>
      </c>
      <c r="AX185" s="23">
        <f t="shared" si="166"/>
        <v>0.75734101262548981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-6.7984728957526396E-14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367.11994336501527</v>
      </c>
      <c r="BJ185" s="62">
        <f t="shared" si="146"/>
        <v>390.81417197867484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0.77639443795843555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2.766728417082841E-22</v>
      </c>
      <c r="BS185" s="24">
        <f t="shared" si="169"/>
        <v>0.77639443795843555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-3.3992364478763198E-14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396.15172163885632</v>
      </c>
      <c r="CE185" s="62">
        <f t="shared" si="148"/>
        <v>624.94568617205198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1.1606253711537373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5.6938269438888735E-22</v>
      </c>
      <c r="CN185" s="24">
        <f t="shared" si="172"/>
        <v>1.1606253711537373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89.800041997398182</v>
      </c>
      <c r="CZ185" s="62">
        <f t="shared" si="150"/>
        <v>286.94570078060917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2.4198715870724601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4.5800389146716414E-24</v>
      </c>
      <c r="DI185" s="24">
        <f t="shared" si="175"/>
        <v>2.4198715870724601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367.51466260429623</v>
      </c>
      <c r="T186" s="62">
        <f t="shared" si="142"/>
        <v>297.32483725004136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1.0925354604596087E-22</v>
      </c>
      <c r="AC186" s="24">
        <f t="shared" si="163"/>
        <v>1.0925354604596087E-22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2.6602720026858149E-14</v>
      </c>
      <c r="AK186" s="14">
        <f t="shared" si="164"/>
        <v>4.6624771586320878E-13</v>
      </c>
      <c r="AL186" s="22">
        <f t="shared" si="165"/>
        <v>8.583811758418665E-13</v>
      </c>
      <c r="AM186" s="62">
        <f t="shared" si="113"/>
        <v>289.60612764011381</v>
      </c>
      <c r="AN186" s="62">
        <f ca="1">AVERAGE(OFFSET($AM$3,0,0,'Données projet'!$E$10+1,1))-AVERAGE(OFFSET($H$3,0,0,'Données projet'!$E$10+1,1))</f>
        <v>188.94867378904664</v>
      </c>
      <c r="AO186" s="62">
        <f t="shared" si="144"/>
        <v>242.84781402593833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0.74249001730030961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1.451868922828632E-22</v>
      </c>
      <c r="AX186" s="23">
        <f t="shared" si="166"/>
        <v>0.74249001730030961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-6.7984728957526396E-14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367.11994336501527</v>
      </c>
      <c r="BJ186" s="62">
        <f t="shared" si="146"/>
        <v>390.81417197867484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0.76116981658391825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1.9563724254207995E-22</v>
      </c>
      <c r="BS186" s="24">
        <f t="shared" si="169"/>
        <v>0.76116981658391825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-3.3992364478763198E-14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396.15172163885632</v>
      </c>
      <c r="CE186" s="62">
        <f t="shared" si="148"/>
        <v>624.94568617205198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1.1378662155369885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4.0261436429264983E-22</v>
      </c>
      <c r="CN186" s="24">
        <f t="shared" si="172"/>
        <v>1.1378662155369885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89.800041997398182</v>
      </c>
      <c r="CZ186" s="62">
        <f t="shared" si="150"/>
        <v>286.94570078060917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2.3724193812258969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3.2385765746625933E-24</v>
      </c>
      <c r="DI186" s="24">
        <f t="shared" si="175"/>
        <v>2.3724193812258969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367.51466260429623</v>
      </c>
      <c r="T187" s="62">
        <f t="shared" si="142"/>
        <v>297.32483725004136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7.7253923277775654E-23</v>
      </c>
      <c r="AC187" s="24">
        <f t="shared" si="163"/>
        <v>7.7253923277775654E-23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2.6602720026858149E-14</v>
      </c>
      <c r="AK187" s="14">
        <f t="shared" si="164"/>
        <v>4.6624771586320878E-13</v>
      </c>
      <c r="AL187" s="22">
        <f t="shared" si="165"/>
        <v>8.583811758418665E-13</v>
      </c>
      <c r="AM187" s="62">
        <f t="shared" si="113"/>
        <v>289.67078632610759</v>
      </c>
      <c r="AN187" s="62">
        <f ca="1">AVERAGE(OFFSET($AM$3,0,0,'Données projet'!$E$10+1,1))-AVERAGE(OFFSET($H$3,0,0,'Données projet'!$E$10+1,1))</f>
        <v>188.94867378904664</v>
      </c>
      <c r="AO187" s="62">
        <f t="shared" si="144"/>
        <v>242.84781402593833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0.7279302409352435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1.0266263607261339E-22</v>
      </c>
      <c r="AX187" s="23">
        <f t="shared" si="166"/>
        <v>0.7279302409352435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-6.7984728957526396E-14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367.11994336501527</v>
      </c>
      <c r="BJ187" s="62">
        <f t="shared" si="146"/>
        <v>390.81417197867484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0.74624374074845312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1.3833642085414205E-22</v>
      </c>
      <c r="BS187" s="24">
        <f t="shared" si="169"/>
        <v>0.74624374074845312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-3.3992364478763198E-14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396.15172163885632</v>
      </c>
      <c r="CE187" s="62">
        <f t="shared" si="148"/>
        <v>624.94568617205198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1.11555335308017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2.8469134719444368E-22</v>
      </c>
      <c r="CN187" s="24">
        <f t="shared" si="172"/>
        <v>1.11555335308017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89.800041997398182</v>
      </c>
      <c r="CZ187" s="62">
        <f t="shared" si="150"/>
        <v>286.94570078060917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2.3258976841929968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2.2900194573358211E-24</v>
      </c>
      <c r="DI187" s="24">
        <f t="shared" si="175"/>
        <v>2.3258976841929968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367.51466260429623</v>
      </c>
      <c r="T188" s="62">
        <f t="shared" si="142"/>
        <v>297.32483725004136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5.4626773022980437E-23</v>
      </c>
      <c r="AC188" s="24">
        <f t="shared" si="163"/>
        <v>5.4626773022980437E-23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2.6602720026858149E-14</v>
      </c>
      <c r="AK188" s="14">
        <f t="shared" si="164"/>
        <v>4.6624771586320878E-13</v>
      </c>
      <c r="AL188" s="22">
        <f t="shared" si="165"/>
        <v>8.583811758418665E-13</v>
      </c>
      <c r="AM188" s="62">
        <f t="shared" si="113"/>
        <v>289.73432332845459</v>
      </c>
      <c r="AN188" s="62">
        <f ca="1">AVERAGE(OFFSET($AM$3,0,0,'Données projet'!$E$10+1,1))-AVERAGE(OFFSET($H$3,0,0,'Données projet'!$E$10+1,1))</f>
        <v>188.94867378904664</v>
      </c>
      <c r="AO188" s="62">
        <f t="shared" si="144"/>
        <v>242.84781402593833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0.71365597290410965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7.2593446141431599E-23</v>
      </c>
      <c r="AX188" s="23">
        <f t="shared" si="166"/>
        <v>0.71365597290410965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-6.7984728957526396E-14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367.11994336501527</v>
      </c>
      <c r="BJ188" s="62">
        <f t="shared" si="146"/>
        <v>390.81417197867484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0.73161035615611414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9.7818621271039973E-23</v>
      </c>
      <c r="BS188" s="24">
        <f t="shared" si="169"/>
        <v>0.73161035615611414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-3.3992364478763198E-14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396.15172163885632</v>
      </c>
      <c r="CE188" s="62">
        <f t="shared" si="148"/>
        <v>624.94568617205198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1.0936780322466273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2.0130718214632492E-22</v>
      </c>
      <c r="CN188" s="24">
        <f t="shared" si="172"/>
        <v>1.0936780322466273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89.800041997398182</v>
      </c>
      <c r="CZ188" s="62">
        <f t="shared" si="150"/>
        <v>286.94570078060917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2.2802882492634788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1.6192882873312968E-24</v>
      </c>
      <c r="DI188" s="24">
        <f t="shared" si="175"/>
        <v>2.2802882492634788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367.51466260429623</v>
      </c>
      <c r="T189" s="62">
        <f t="shared" si="142"/>
        <v>297.32483725004136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3.8626961638887827E-23</v>
      </c>
      <c r="AC189" s="24">
        <f t="shared" si="163"/>
        <v>3.8626961638887827E-23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2.6602720026858149E-14</v>
      </c>
      <c r="AK189" s="14">
        <f t="shared" si="164"/>
        <v>4.6624771586320878E-13</v>
      </c>
      <c r="AL189" s="22">
        <f t="shared" si="165"/>
        <v>8.583811758418665E-13</v>
      </c>
      <c r="AM189" s="62">
        <f t="shared" si="113"/>
        <v>289.79675810585826</v>
      </c>
      <c r="AN189" s="62">
        <f ca="1">AVERAGE(OFFSET($AM$3,0,0,'Données projet'!$E$10+1,1))-AVERAGE(OFFSET($H$3,0,0,'Données projet'!$E$10+1,1))</f>
        <v>188.94867378904664</v>
      </c>
      <c r="AO189" s="62">
        <f t="shared" si="144"/>
        <v>242.84781402593833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0.69966161456262255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5.1331318036306697E-23</v>
      </c>
      <c r="AX189" s="23">
        <f t="shared" si="166"/>
        <v>0.69966161456262255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-6.7984728957526396E-14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367.11994336501527</v>
      </c>
      <c r="BJ189" s="62">
        <f t="shared" si="146"/>
        <v>390.81417197867484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0.71726392331014766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6.9168210427071024E-23</v>
      </c>
      <c r="BS189" s="24">
        <f t="shared" si="169"/>
        <v>0.71726392331014766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-3.3992364478763198E-14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396.15172163885632</v>
      </c>
      <c r="CE189" s="62">
        <f t="shared" si="148"/>
        <v>624.94568617205198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1.0722316731120021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1.4234567359722184E-22</v>
      </c>
      <c r="CN189" s="24">
        <f t="shared" si="172"/>
        <v>1.0722316731120021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89.800041997398182</v>
      </c>
      <c r="CZ189" s="62">
        <f t="shared" si="150"/>
        <v>286.94570078060917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2.23557318753392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1.1450097286679107E-24</v>
      </c>
      <c r="DI189" s="24">
        <f t="shared" si="175"/>
        <v>2.23557318753392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367.51466260429623</v>
      </c>
      <c r="T190" s="62">
        <f t="shared" si="142"/>
        <v>297.32483725004136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2.7313386511490219E-23</v>
      </c>
      <c r="AC190" s="24">
        <f t="shared" si="163"/>
        <v>2.7313386511490219E-23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2.6602720026858149E-14</v>
      </c>
      <c r="AK190" s="14">
        <f t="shared" si="164"/>
        <v>4.6624771586320878E-13</v>
      </c>
      <c r="AL190" s="22">
        <f t="shared" si="165"/>
        <v>8.583811758418665E-13</v>
      </c>
      <c r="AM190" s="62">
        <f t="shared" si="113"/>
        <v>289.85810977945727</v>
      </c>
      <c r="AN190" s="62">
        <f ca="1">AVERAGE(OFFSET($AM$3,0,0,'Données projet'!$E$10+1,1))-AVERAGE(OFFSET($H$3,0,0,'Données projet'!$E$10+1,1))</f>
        <v>188.94867378904664</v>
      </c>
      <c r="AO190" s="62">
        <f t="shared" si="144"/>
        <v>242.84781402593833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0.6859416770524962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3.62967230707158E-23</v>
      </c>
      <c r="AX190" s="23">
        <f t="shared" si="166"/>
        <v>0.6859416770524962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-6.7984728957526396E-14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367.11994336501527</v>
      </c>
      <c r="BJ190" s="62">
        <f t="shared" si="146"/>
        <v>390.81417197867484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0.70319881526183059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4.8909310635519986E-23</v>
      </c>
      <c r="BS190" s="24">
        <f t="shared" si="169"/>
        <v>0.70319881526183059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-3.3992364478763198E-14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396.15172163885632</v>
      </c>
      <c r="CE190" s="62">
        <f t="shared" si="148"/>
        <v>624.94568617205198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1.0512058639990194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1.0065359107316246E-22</v>
      </c>
      <c r="CN190" s="24">
        <f t="shared" si="172"/>
        <v>1.0512058639990194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89.800041997398182</v>
      </c>
      <c r="CZ190" s="62">
        <f t="shared" si="150"/>
        <v>286.94570078060917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2.1917349608913832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8.0964414366564859E-25</v>
      </c>
      <c r="DI190" s="24">
        <f t="shared" si="175"/>
        <v>2.1917349608913832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367.51466260429623</v>
      </c>
      <c r="T191" s="62">
        <f t="shared" si="142"/>
        <v>297.32483725004136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1.9313480819443913E-23</v>
      </c>
      <c r="AC191" s="24">
        <f t="shared" si="163"/>
        <v>1.9313480819443913E-23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2.6602720026858149E-14</v>
      </c>
      <c r="AK191" s="14">
        <f t="shared" si="164"/>
        <v>4.6624771586320878E-13</v>
      </c>
      <c r="AL191" s="22">
        <f t="shared" si="165"/>
        <v>8.583811758418665E-13</v>
      </c>
      <c r="AM191" s="62">
        <f t="shared" si="113"/>
        <v>289.91839713868109</v>
      </c>
      <c r="AN191" s="62">
        <f ca="1">AVERAGE(OFFSET($AM$3,0,0,'Données projet'!$E$10+1,1))-AVERAGE(OFFSET($H$3,0,0,'Données projet'!$E$10+1,1))</f>
        <v>188.94867378904664</v>
      </c>
      <c r="AO191" s="62">
        <f t="shared" si="144"/>
        <v>242.84781402593833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0.67249077914860789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2.5665659018153349E-23</v>
      </c>
      <c r="AX191" s="23">
        <f t="shared" si="166"/>
        <v>0.67249077914860789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-6.7984728957526396E-14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367.11994336501527</v>
      </c>
      <c r="BJ191" s="62">
        <f t="shared" si="146"/>
        <v>390.81417197867484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0.68940951540347217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3.4584105213535512E-23</v>
      </c>
      <c r="BS191" s="24">
        <f t="shared" si="169"/>
        <v>0.68940951540347217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-3.3992364478763198E-14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396.15172163885632</v>
      </c>
      <c r="CE191" s="62">
        <f t="shared" si="148"/>
        <v>624.94568617205198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1.0305923581782652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7.1172836798610919E-23</v>
      </c>
      <c r="CN191" s="24">
        <f t="shared" si="172"/>
        <v>1.0305923581782652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89.800041997398182</v>
      </c>
      <c r="CZ191" s="62">
        <f t="shared" si="150"/>
        <v>286.94570078060917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2.1487563751346288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5.7250486433395545E-25</v>
      </c>
      <c r="DI191" s="24">
        <f t="shared" si="175"/>
        <v>2.1487563751346288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367.51466260429623</v>
      </c>
      <c r="T192" s="62">
        <f t="shared" si="142"/>
        <v>297.32483725004136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1.3656693255745109E-23</v>
      </c>
      <c r="AC192" s="24">
        <f t="shared" si="163"/>
        <v>1.3656693255745109E-23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2.6602720026858149E-14</v>
      </c>
      <c r="AK192" s="14">
        <f t="shared" si="164"/>
        <v>4.6624771586320878E-13</v>
      </c>
      <c r="AL192" s="22">
        <f t="shared" si="165"/>
        <v>8.583811758418665E-13</v>
      </c>
      <c r="AM192" s="62">
        <f t="shared" si="113"/>
        <v>289.97763864700471</v>
      </c>
      <c r="AN192" s="62">
        <f ca="1">AVERAGE(OFFSET($AM$3,0,0,'Données projet'!$E$10+1,1))-AVERAGE(OFFSET($H$3,0,0,'Données projet'!$E$10+1,1))</f>
        <v>188.94867378904664</v>
      </c>
      <c r="AO192" s="62">
        <f t="shared" si="144"/>
        <v>242.84781402593833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0.65930364514837714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1.81483615353579E-23</v>
      </c>
      <c r="AX192" s="23">
        <f t="shared" si="166"/>
        <v>0.65930364514837714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-6.7984728957526396E-14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367.11994336501527</v>
      </c>
      <c r="BJ192" s="62">
        <f t="shared" si="146"/>
        <v>390.81417197867484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0.67589061530469374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2.4454655317759993E-23</v>
      </c>
      <c r="BS192" s="24">
        <f t="shared" si="169"/>
        <v>0.67589061530469374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-3.3992364478763198E-14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396.15172163885632</v>
      </c>
      <c r="CE192" s="62">
        <f t="shared" si="148"/>
        <v>624.94568617205198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1.010383070633659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5.0326795536581229E-23</v>
      </c>
      <c r="CN192" s="24">
        <f t="shared" si="172"/>
        <v>1.010383070633659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89.800041997398182</v>
      </c>
      <c r="CZ192" s="62">
        <f t="shared" si="150"/>
        <v>286.94570078060917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2.1066205732302152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4.0482207183282434E-25</v>
      </c>
      <c r="DI192" s="24">
        <f t="shared" si="175"/>
        <v>2.1066205732302152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367.51466260429623</v>
      </c>
      <c r="T193" s="62">
        <f t="shared" si="142"/>
        <v>297.32483725004136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9.6567404097219567E-24</v>
      </c>
      <c r="AC193" s="24">
        <f t="shared" si="163"/>
        <v>9.6567404097219567E-24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2.6602720026858149E-14</v>
      </c>
      <c r="AK193" s="14">
        <f t="shared" si="164"/>
        <v>4.6624771586320878E-13</v>
      </c>
      <c r="AL193" s="22">
        <f t="shared" si="165"/>
        <v>8.583811758418665E-13</v>
      </c>
      <c r="AM193" s="62">
        <f t="shared" si="113"/>
        <v>290.03585244760313</v>
      </c>
      <c r="AN193" s="62">
        <f ca="1">AVERAGE(OFFSET($AM$3,0,0,'Données projet'!$E$10+1,1))-AVERAGE(OFFSET($H$3,0,0,'Données projet'!$E$10+1,1))</f>
        <v>188.94867378904664</v>
      </c>
      <c r="AO193" s="62">
        <f t="shared" si="144"/>
        <v>242.84781402593833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0.64637510280253341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1.2832829509076674E-23</v>
      </c>
      <c r="AX193" s="23">
        <f t="shared" si="166"/>
        <v>0.64637510280253341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-6.7984728957526396E-14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367.11994336501527</v>
      </c>
      <c r="BJ193" s="62">
        <f t="shared" si="146"/>
        <v>390.81417197867484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0.66263681259113749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1.7292052606767756E-23</v>
      </c>
      <c r="BS193" s="24">
        <f t="shared" si="169"/>
        <v>0.66263681259113749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-3.3992364478763198E-14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396.15172163885632</v>
      </c>
      <c r="CE193" s="62">
        <f t="shared" si="148"/>
        <v>624.94568617205198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0.99057007489135407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3.558641839930546E-23</v>
      </c>
      <c r="CN193" s="24">
        <f t="shared" si="172"/>
        <v>0.99057007489135407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89.800041997398182</v>
      </c>
      <c r="CZ193" s="62">
        <f t="shared" si="150"/>
        <v>286.94570078060917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2.065311028700846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2.8625243216697777E-25</v>
      </c>
      <c r="DI193" s="24">
        <f t="shared" si="175"/>
        <v>2.065311028700846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367.51466260429623</v>
      </c>
      <c r="T194" s="62">
        <f t="shared" si="142"/>
        <v>297.32483725004136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6.8283466278725547E-24</v>
      </c>
      <c r="AC194" s="24">
        <f t="shared" si="163"/>
        <v>6.8283466278725547E-24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2.6602720026858149E-14</v>
      </c>
      <c r="AK194" s="14">
        <f t="shared" si="164"/>
        <v>4.6624771586320878E-13</v>
      </c>
      <c r="AL194" s="22">
        <f t="shared" si="165"/>
        <v>8.583811758418665E-13</v>
      </c>
      <c r="AM194" s="62">
        <f t="shared" si="113"/>
        <v>290.0930563689077</v>
      </c>
      <c r="AN194" s="62">
        <f ca="1">AVERAGE(OFFSET($AM$3,0,0,'Données projet'!$E$10+1,1))-AVERAGE(OFFSET($H$3,0,0,'Données projet'!$E$10+1,1))</f>
        <v>188.94867378904664</v>
      </c>
      <c r="AO194" s="62">
        <f t="shared" si="144"/>
        <v>242.84781402593833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0.63370008128645949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9.0741807676789499E-24</v>
      </c>
      <c r="AX194" s="23">
        <f t="shared" si="166"/>
        <v>0.63370008128645949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-6.7984728957526396E-14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367.11994336501527</v>
      </c>
      <c r="BJ194" s="62">
        <f t="shared" si="146"/>
        <v>390.81417197867484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0.64964290886477261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1.2227327658879997E-23</v>
      </c>
      <c r="BS194" s="24">
        <f t="shared" si="169"/>
        <v>0.64964290886477261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-3.3992364478763198E-14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396.15172163885632</v>
      </c>
      <c r="CE194" s="62">
        <f t="shared" si="148"/>
        <v>624.94568617205198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0.97114559991082172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2.5163397768290615E-23</v>
      </c>
      <c r="CN194" s="24">
        <f t="shared" si="172"/>
        <v>0.97114559991082172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89.800041997398182</v>
      </c>
      <c r="CZ194" s="62">
        <f t="shared" si="150"/>
        <v>286.94570078060917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2.0248115391433634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2.0241103591641219E-25</v>
      </c>
      <c r="DI194" s="24">
        <f t="shared" si="175"/>
        <v>2.0248115391433634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367.51466260429623</v>
      </c>
      <c r="T195" s="62">
        <f t="shared" si="142"/>
        <v>297.32483725004136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4.8283702048609783E-24</v>
      </c>
      <c r="AC195" s="24">
        <f t="shared" si="163"/>
        <v>4.8283702048609783E-24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2.6602720026858149E-14</v>
      </c>
      <c r="AK195" s="14">
        <f t="shared" si="164"/>
        <v>4.6624771586320878E-13</v>
      </c>
      <c r="AL195" s="22">
        <f t="shared" si="165"/>
        <v>8.583811758418665E-13</v>
      </c>
      <c r="AM195" s="62">
        <f t="shared" si="113"/>
        <v>290.14926793006651</v>
      </c>
      <c r="AN195" s="62">
        <f ca="1">AVERAGE(OFFSET($AM$3,0,0,'Données projet'!$E$10+1,1))-AVERAGE(OFFSET($H$3,0,0,'Données projet'!$E$10+1,1))</f>
        <v>188.94867378904664</v>
      </c>
      <c r="AO195" s="62">
        <f t="shared" si="144"/>
        <v>242.84781402593833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0.62127360921131602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6.4164147545383372E-24</v>
      </c>
      <c r="AX195" s="23">
        <f t="shared" si="166"/>
        <v>0.62127360921131602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-6.7984728957526396E-14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367.11994336501527</v>
      </c>
      <c r="BJ195" s="62">
        <f t="shared" si="146"/>
        <v>390.81417197867484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0.63690380766498311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8.646026303383878E-24</v>
      </c>
      <c r="BS195" s="24">
        <f t="shared" si="169"/>
        <v>0.63690380766498311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-3.3992364478763198E-14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396.15172163885632</v>
      </c>
      <c r="CE195" s="62">
        <f t="shared" si="148"/>
        <v>624.94568617205198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0.95210202703689772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1.779320919965273E-23</v>
      </c>
      <c r="CN195" s="24">
        <f t="shared" si="172"/>
        <v>0.95210202703689772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89.800041997398182</v>
      </c>
      <c r="CZ195" s="62">
        <f t="shared" si="150"/>
        <v>286.94570078060917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1.9851062198738536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1.4312621608348891E-25</v>
      </c>
      <c r="DI195" s="24">
        <f t="shared" si="175"/>
        <v>1.9851062198738536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367.51466260429623</v>
      </c>
      <c r="T196" s="62">
        <f t="shared" si="142"/>
        <v>297.32483725004136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3.4141733139362773E-24</v>
      </c>
      <c r="AC196" s="24">
        <f t="shared" si="163"/>
        <v>3.4141733139362773E-24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2.6602720026858149E-14</v>
      </c>
      <c r="AK196" s="14">
        <f t="shared" si="164"/>
        <v>4.6624771586320878E-13</v>
      </c>
      <c r="AL196" s="22">
        <f t="shared" si="165"/>
        <v>8.583811758418665E-13</v>
      </c>
      <c r="AM196" s="62">
        <f t="shared" ref="AM196:AM203" si="193">AL196+(AD196+AE196)*44/12</f>
        <v>290.20450434630936</v>
      </c>
      <c r="AN196" s="62">
        <f ca="1">AVERAGE(OFFSET($AM$3,0,0,'Données projet'!$E$10+1,1))-AVERAGE(OFFSET($H$3,0,0,'Données projet'!$E$10+1,1))</f>
        <v>188.94867378904664</v>
      </c>
      <c r="AO196" s="62">
        <f t="shared" si="144"/>
        <v>242.84781402593833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0.60909081267416654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4.537090383839475E-24</v>
      </c>
      <c r="AX196" s="23">
        <f t="shared" si="166"/>
        <v>0.60909081267416654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-6.7984728957526396E-14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367.11994336501527</v>
      </c>
      <c r="BJ196" s="62">
        <f t="shared" si="146"/>
        <v>390.81417197867484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0.62441451246963697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6.1136638294399983E-24</v>
      </c>
      <c r="BS196" s="24">
        <f t="shared" si="169"/>
        <v>0.62441451246963697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-3.3992364478763198E-14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396.15172163885632</v>
      </c>
      <c r="CE196" s="62">
        <f t="shared" si="148"/>
        <v>624.94568617205198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0.93343188701159885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1.2581698884145307E-23</v>
      </c>
      <c r="CN196" s="24">
        <f t="shared" si="172"/>
        <v>0.93343188701159885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89.800041997398182</v>
      </c>
      <c r="CZ196" s="62">
        <f t="shared" si="150"/>
        <v>286.94570078060917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1.9461794976973654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1.0120551795820612E-25</v>
      </c>
      <c r="DI196" s="24">
        <f t="shared" si="175"/>
        <v>1.9461794976973654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367.51466260429623</v>
      </c>
      <c r="T197" s="62">
        <f t="shared" ref="T197:T203" si="204">$T$3</f>
        <v>297.32483725004136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2.4141851024304892E-24</v>
      </c>
      <c r="AC197" s="24">
        <f t="shared" si="163"/>
        <v>2.4141851024304892E-24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2.6602720026858149E-14</v>
      </c>
      <c r="AK197" s="14">
        <f t="shared" si="164"/>
        <v>4.6624771586320878E-13</v>
      </c>
      <c r="AL197" s="22">
        <f t="shared" si="165"/>
        <v>8.583811758418665E-13</v>
      </c>
      <c r="AM197" s="62">
        <f t="shared" si="193"/>
        <v>290.25878253422059</v>
      </c>
      <c r="AN197" s="62">
        <f ca="1">AVERAGE(OFFSET($AM$3,0,0,'Données projet'!$E$10+1,1))-AVERAGE(OFFSET($H$3,0,0,'Données projet'!$E$10+1,1))</f>
        <v>188.94867378904664</v>
      </c>
      <c r="AO197" s="62">
        <f t="shared" ref="AO197:AO203" si="205">$AO$3</f>
        <v>242.84781402593833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0.5971469133463384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3.2082073772691686E-24</v>
      </c>
      <c r="AX197" s="23">
        <f t="shared" si="166"/>
        <v>0.5971469133463384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-6.7984728957526396E-14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367.11994336501527</v>
      </c>
      <c r="BJ197" s="62">
        <f t="shared" ref="BJ197:BJ203" si="206">$BJ$3</f>
        <v>390.81417197867484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0.6121701247353537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4.323013151691939E-24</v>
      </c>
      <c r="BS197" s="24">
        <f t="shared" si="169"/>
        <v>0.6121701247353537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-3.3992364478763198E-14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396.15172163885632</v>
      </c>
      <c r="CE197" s="62">
        <f t="shared" ref="CE197:CE203" si="207">$CE$3</f>
        <v>624.94568617205198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0.91512785704453514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8.8966045998263649E-24</v>
      </c>
      <c r="CN197" s="24">
        <f t="shared" si="172"/>
        <v>0.91512785704453514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89.800041997398182</v>
      </c>
      <c r="CZ197" s="62">
        <f t="shared" ref="CZ197:CZ203" si="208">$CZ$3</f>
        <v>286.94570078060917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1.9080161047998021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7.1563108041744466E-26</v>
      </c>
      <c r="DI197" s="24">
        <f t="shared" si="175"/>
        <v>1.9080161047998021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367.51466260429623</v>
      </c>
      <c r="T198" s="62">
        <f t="shared" si="204"/>
        <v>297.32483725004136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1.7070866569681387E-24</v>
      </c>
      <c r="AC198" s="24">
        <f t="shared" si="163"/>
        <v>1.7070866569681387E-24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2.6602720026858149E-14</v>
      </c>
      <c r="AK198" s="14">
        <f t="shared" si="164"/>
        <v>4.6624771586320878E-13</v>
      </c>
      <c r="AL198" s="22">
        <f t="shared" si="165"/>
        <v>8.583811758418665E-13</v>
      </c>
      <c r="AM198" s="62">
        <f t="shared" si="193"/>
        <v>290.31211911691935</v>
      </c>
      <c r="AN198" s="62">
        <f ca="1">AVERAGE(OFFSET($AM$3,0,0,'Données projet'!$E$10+1,1))-AVERAGE(OFFSET($H$3,0,0,'Données projet'!$E$10+1,1))</f>
        <v>188.94867378904664</v>
      </c>
      <c r="AO198" s="62">
        <f t="shared" si="205"/>
        <v>242.84781402593833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0.58543722659926978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2.2685451919197375E-24</v>
      </c>
      <c r="AX198" s="23">
        <f t="shared" si="166"/>
        <v>0.58543722659926978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-6.7984728957526396E-14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367.11994336501527</v>
      </c>
      <c r="BJ198" s="62">
        <f t="shared" si="206"/>
        <v>390.81417197867484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0.6001658419762006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3.0568319147199992E-24</v>
      </c>
      <c r="BS198" s="24">
        <f t="shared" si="169"/>
        <v>0.6001658419762006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-3.3992364478763198E-14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396.15172163885632</v>
      </c>
      <c r="CE198" s="62">
        <f t="shared" si="207"/>
        <v>624.94568617205198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0.89718275794076963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6.2908494420726537E-24</v>
      </c>
      <c r="CN198" s="24">
        <f t="shared" si="172"/>
        <v>0.89718275794076963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89.800041997398182</v>
      </c>
      <c r="CZ198" s="62">
        <f t="shared" si="208"/>
        <v>286.94570078060917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1.8706010727595888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5.0602758979103066E-26</v>
      </c>
      <c r="DI198" s="24">
        <f t="shared" si="175"/>
        <v>1.8706010727595888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367.51466260429623</v>
      </c>
      <c r="T199" s="62">
        <f t="shared" si="204"/>
        <v>297.32483725004136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1.2070925512152446E-24</v>
      </c>
      <c r="AC199" s="24">
        <f t="shared" si="163"/>
        <v>1.2070925512152446E-24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2.6602720026858149E-14</v>
      </c>
      <c r="AK199" s="14">
        <f t="shared" si="164"/>
        <v>4.6624771586320878E-13</v>
      </c>
      <c r="AL199" s="22">
        <f t="shared" si="165"/>
        <v>8.583811758418665E-13</v>
      </c>
      <c r="AM199" s="62">
        <f t="shared" si="193"/>
        <v>290.36453042915105</v>
      </c>
      <c r="AN199" s="62">
        <f ca="1">AVERAGE(OFFSET($AM$3,0,0,'Données projet'!$E$10+1,1))-AVERAGE(OFFSET($H$3,0,0,'Données projet'!$E$10+1,1))</f>
        <v>188.94867378904664</v>
      </c>
      <c r="AO199" s="62">
        <f t="shared" si="205"/>
        <v>242.84781402593833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0.57395715966710747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1.6041036886345843E-24</v>
      </c>
      <c r="AX199" s="23">
        <f t="shared" si="166"/>
        <v>0.57395715966710747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-6.7984728957526396E-14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367.11994336501527</v>
      </c>
      <c r="BJ199" s="62">
        <f t="shared" si="206"/>
        <v>390.81417197867484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0.58839695588006502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2.1615065758459695E-24</v>
      </c>
      <c r="BS199" s="24">
        <f t="shared" si="169"/>
        <v>0.58839695588006502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-3.3992364478763198E-14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396.15172163885632</v>
      </c>
      <c r="CE199" s="62">
        <f t="shared" si="207"/>
        <v>624.94568617205198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0.87958955128499927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4.4483022999131824E-24</v>
      </c>
      <c r="CN199" s="24">
        <f t="shared" si="172"/>
        <v>0.87958955128499927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89.800041997398182</v>
      </c>
      <c r="CZ199" s="62">
        <f t="shared" si="208"/>
        <v>286.94570078060917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1.8339197266767677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3.5781554020872239E-26</v>
      </c>
      <c r="DI199" s="24">
        <f t="shared" si="175"/>
        <v>1.8339197266767677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367.51466260429623</v>
      </c>
      <c r="T200" s="62">
        <f t="shared" si="204"/>
        <v>297.32483725004136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8.5354332848406933E-25</v>
      </c>
      <c r="AC200" s="24">
        <f t="shared" si="163"/>
        <v>8.5354332848406933E-25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2.6602720026858149E-14</v>
      </c>
      <c r="AK200" s="14">
        <f t="shared" si="164"/>
        <v>4.6624771586320878E-13</v>
      </c>
      <c r="AL200" s="22">
        <f t="shared" si="165"/>
        <v>8.583811758418665E-13</v>
      </c>
      <c r="AM200" s="62">
        <f t="shared" si="193"/>
        <v>290.41603252228964</v>
      </c>
      <c r="AN200" s="62">
        <f ca="1">AVERAGE(OFFSET($AM$3,0,0,'Données projet'!$E$10+1,1))-AVERAGE(OFFSET($H$3,0,0,'Données projet'!$E$10+1,1))</f>
        <v>188.94867378904664</v>
      </c>
      <c r="AO200" s="62">
        <f t="shared" si="205"/>
        <v>242.84781402593833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0.56270220984533548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1.1342725959598687E-24</v>
      </c>
      <c r="AX200" s="23">
        <f t="shared" si="166"/>
        <v>0.56270220984533548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-6.7984728957526396E-14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367.11994336501527</v>
      </c>
      <c r="BJ200" s="62">
        <f t="shared" si="206"/>
        <v>390.81417197867484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0.57685885046196295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1.5284159573599996E-24</v>
      </c>
      <c r="BS200" s="24">
        <f t="shared" si="169"/>
        <v>0.57685885046196295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-3.3992364478763198E-14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396.15172163885632</v>
      </c>
      <c r="CE200" s="62">
        <f t="shared" si="207"/>
        <v>624.94568617205198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0.86234133668095203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3.1454247210363268E-24</v>
      </c>
      <c r="CN200" s="24">
        <f t="shared" si="172"/>
        <v>0.86234133668095203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89.800041997398182</v>
      </c>
      <c r="CZ200" s="62">
        <f t="shared" si="208"/>
        <v>286.94570078060917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1.797957679417219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2.5301379489551539E-26</v>
      </c>
      <c r="DI200" s="24">
        <f t="shared" si="175"/>
        <v>1.797957679417219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367.51466260429623</v>
      </c>
      <c r="T201" s="62">
        <f t="shared" si="204"/>
        <v>297.32483725004136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6.0354627560762229E-25</v>
      </c>
      <c r="AC201" s="24">
        <f t="shared" si="163"/>
        <v>6.0354627560762229E-25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2.6602720026858149E-14</v>
      </c>
      <c r="AK201" s="14">
        <f t="shared" si="164"/>
        <v>4.6624771586320878E-13</v>
      </c>
      <c r="AL201" s="22">
        <f t="shared" si="165"/>
        <v>8.583811758418665E-13</v>
      </c>
      <c r="AM201" s="62">
        <f t="shared" si="193"/>
        <v>290.46664116925376</v>
      </c>
      <c r="AN201" s="62">
        <f ca="1">AVERAGE(OFFSET($AM$3,0,0,'Données projet'!$E$10+1,1))-AVERAGE(OFFSET($H$3,0,0,'Données projet'!$E$10+1,1))</f>
        <v>188.94867378904664</v>
      </c>
      <c r="AO201" s="62">
        <f t="shared" si="205"/>
        <v>242.84781402593833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0.55166796272472685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8.0205184431729214E-25</v>
      </c>
      <c r="AX201" s="23">
        <f t="shared" si="166"/>
        <v>0.55166796272472685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-6.7984728957526396E-14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367.11994336501527</v>
      </c>
      <c r="BJ201" s="62">
        <f t="shared" si="206"/>
        <v>390.81417197867484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0.56554700025356042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1.0807532879229848E-24</v>
      </c>
      <c r="BS201" s="24">
        <f t="shared" si="169"/>
        <v>0.56554700025356042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-3.3992364478763198E-14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396.15172163885632</v>
      </c>
      <c r="CE201" s="62">
        <f t="shared" si="207"/>
        <v>624.94568617205198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0.84543134904491812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2.2241511499565912E-24</v>
      </c>
      <c r="CN201" s="24">
        <f t="shared" si="172"/>
        <v>0.84543134904491812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89.800041997398182</v>
      </c>
      <c r="CZ201" s="62">
        <f t="shared" si="208"/>
        <v>286.94570078060917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1.762700825969747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1.7890777010436122E-26</v>
      </c>
      <c r="DI201" s="24">
        <f t="shared" si="175"/>
        <v>1.762700825969747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367.51466260429623</v>
      </c>
      <c r="T202" s="62">
        <f t="shared" si="204"/>
        <v>297.32483725004136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4.2677166424203467E-25</v>
      </c>
      <c r="AC202" s="24">
        <f t="shared" si="163"/>
        <v>4.2677166424203467E-25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2.6602720026858149E-14</v>
      </c>
      <c r="AK202" s="14">
        <f t="shared" si="164"/>
        <v>4.6624771586320878E-13</v>
      </c>
      <c r="AL202" s="22">
        <f t="shared" si="165"/>
        <v>8.583811758418665E-13</v>
      </c>
      <c r="AM202" s="62">
        <f t="shared" si="193"/>
        <v>290.51637186933698</v>
      </c>
      <c r="AN202" s="62">
        <f ca="1">AVERAGE(OFFSET($AM$3,0,0,'Données projet'!$E$10+1,1))-AVERAGE(OFFSET($H$3,0,0,'Données projet'!$E$10+1,1))</f>
        <v>188.94867378904664</v>
      </c>
      <c r="AO202" s="62">
        <f t="shared" si="205"/>
        <v>242.84781402593833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0.54085009045992716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5.6713629797993437E-25</v>
      </c>
      <c r="AX202" s="23">
        <f t="shared" si="166"/>
        <v>0.54085009045992716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-6.7984728957526396E-14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367.11994336501527</v>
      </c>
      <c r="BJ202" s="62">
        <f t="shared" si="206"/>
        <v>390.81417197867484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0.55445696852819726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7.6420797867999979E-25</v>
      </c>
      <c r="BS202" s="24">
        <f t="shared" si="169"/>
        <v>0.55445696852819726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-3.3992364478763198E-14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396.15172163885632</v>
      </c>
      <c r="CE202" s="62">
        <f t="shared" si="207"/>
        <v>624.94568617205198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0.82885295595235275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1.5727123605181634E-24</v>
      </c>
      <c r="CN202" s="24">
        <f t="shared" si="172"/>
        <v>0.82885295595235275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89.800041997398182</v>
      </c>
      <c r="CZ202" s="62">
        <f t="shared" si="208"/>
        <v>286.94570078060917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1.7281353379138227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1.2650689744775771E-26</v>
      </c>
      <c r="DI202" s="24">
        <f t="shared" si="175"/>
        <v>1.7281353379138227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367.51466260429623</v>
      </c>
      <c r="T203" s="62">
        <f t="shared" si="204"/>
        <v>297.32483725004136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3.0177313780381115E-25</v>
      </c>
      <c r="AC203" s="24">
        <f t="shared" si="163"/>
        <v>3.0177313780381115E-25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2.6602720026858149E-14</v>
      </c>
      <c r="AK203" s="14">
        <f t="shared" si="164"/>
        <v>4.6624771586320878E-13</v>
      </c>
      <c r="AL203" s="22">
        <f t="shared" si="165"/>
        <v>8.583811758418665E-13</v>
      </c>
      <c r="AM203" s="62">
        <f t="shared" si="193"/>
        <v>290.56523985295496</v>
      </c>
      <c r="AN203" s="62">
        <f ca="1">AVERAGE(OFFSET($AM$3,0,0,'Données projet'!$E$10+1,1))-AVERAGE(OFFSET($H$3,0,0,'Données projet'!$E$10+1,1))</f>
        <v>188.94867378904664</v>
      </c>
      <c r="AO203" s="62">
        <f t="shared" si="205"/>
        <v>242.84781402593833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0.53024435007198967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4.0102592215864607E-25</v>
      </c>
      <c r="AX203" s="23">
        <f t="shared" si="166"/>
        <v>0.53024435007198967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-6.7984728957526396E-14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367.11994336501527</v>
      </c>
      <c r="BJ203" s="62">
        <f t="shared" si="206"/>
        <v>390.81417197867484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0.54358440556071708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5.4037664396149238E-25</v>
      </c>
      <c r="BS203" s="24">
        <f t="shared" si="169"/>
        <v>0.54358440556071708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-3.3992364478763198E-14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396.15172163885632</v>
      </c>
      <c r="CE203" s="62">
        <f t="shared" si="207"/>
        <v>624.94568617205198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0.81259965503651133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1.1120755749782956E-24</v>
      </c>
      <c r="CN203" s="24">
        <f t="shared" si="172"/>
        <v>0.81259965503651133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89.800041997398182</v>
      </c>
      <c r="CZ203" s="62">
        <f t="shared" si="208"/>
        <v>286.94570078060917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1.694247657995809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8.9453885052180625E-27</v>
      </c>
      <c r="DI203" s="24">
        <f t="shared" si="175"/>
        <v>1.694247657995809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>
        <f>EXP(LN('Données projet'!B88)/'Données projet'!A88)</f>
        <v>1.3239616704988877</v>
      </c>
      <c r="BV205" s="88">
        <f>EXP(LN('Données projet'!B114)/'Données projet'!A114)</f>
        <v>1.5058780240422445</v>
      </c>
      <c r="CQ205" s="88">
        <f>EXP(LN('Données projet'!B140)/'Données projet'!A140)</f>
        <v>1.4787576366283137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C18" sqref="C1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2.2590720000000002</v>
      </c>
      <c r="C6" s="156">
        <f ca="1">IF(OR('Données projet'!B9="",'Données projet'!C9="",'Données projet'!C9=0%),0,Calculateur!S3)</f>
        <v>367.51466260429623</v>
      </c>
      <c r="D6" s="156">
        <f>IF(OR('Données projet'!B9="",'Données projet'!C9="",'Données projet'!C9=0%),0,Calculateur!T3)</f>
        <v>297.32483725004136</v>
      </c>
      <c r="E6" s="156">
        <f ca="1">MIN(C6,D6)</f>
        <v>297.32483725004136</v>
      </c>
      <c r="F6" s="156">
        <f ca="1">E6*B6</f>
        <v>671.67821473612548</v>
      </c>
      <c r="G6" s="156">
        <f ca="1">F6*(100%-'Données projet'!$C$24)*(100%-'Données projet'!$C$25)*(100%-'Données projet'!$C$26)*(100%-'Données projet'!$C$27)</f>
        <v>574.28487359938731</v>
      </c>
      <c r="H6" s="157">
        <f>IF(OR('Données projet'!B9="",'Données projet'!C9="",'Données projet'!C9=0%),0,AVERAGE(Calculateur!$AC$3:$AC$33)*B6)</f>
        <v>3.2987446735248231</v>
      </c>
      <c r="I6" s="158">
        <f>H6*(100%-'Données projet'!$C$24)*(100%-'Données projet'!$C$25)*(100%-'Données projet'!$C$26)*(100%-'Données projet'!$C$27)</f>
        <v>2.8204266958637239</v>
      </c>
      <c r="J6" s="159">
        <f>IF(OR('Données projet'!B9="",'Données projet'!C9="",'Données projet'!C9=0%),0,SUM(Calculateur!$V$3:$V$33)*VLOOKUP('Données projet'!$B$9,Paramètres!$A$1:$I$89,9,0)*B6)</f>
        <v>35.015616000000001</v>
      </c>
      <c r="K6" s="160">
        <f>J6*(100%-'Données projet'!$C$24)*(100%-'Données projet'!$C$25)*(100%-'Données projet'!$C$26)*(100%-'Données projet'!$C$27)</f>
        <v>29.93835168</v>
      </c>
      <c r="L6" s="161">
        <f ca="1">G6+I6+K6</f>
        <v>607.04365197525101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Cèdre de l'Atlas</v>
      </c>
      <c r="B7" s="163">
        <f>'Données projet'!D10</f>
        <v>0.69875200000000004</v>
      </c>
      <c r="C7" s="156">
        <f ca="1">IF(OR('Données projet'!B10="",'Données projet'!C10="",'Données projet'!C10=0%),0,Calculateur!AN3)</f>
        <v>188.94867378904664</v>
      </c>
      <c r="D7" s="156">
        <f>IF(OR('Données projet'!B10="",'Données projet'!C10="",'Données projet'!C10=0%),0,Calculateur!AO3)</f>
        <v>242.84781402593833</v>
      </c>
      <c r="E7" s="156">
        <f t="shared" ref="E7:E15" ca="1" si="0">MIN(C7,D7)</f>
        <v>188.94867378904664</v>
      </c>
      <c r="F7" s="156">
        <f t="shared" ref="F7:F15" ca="1" si="1">E7*B7</f>
        <v>132.02826370744393</v>
      </c>
      <c r="G7" s="156">
        <f ca="1">F7*(100%-'Données projet'!$C$24)*(100%-'Données projet'!$C$25)*(100%-'Données projet'!$C$26)*(100%-'Données projet'!$C$27)</f>
        <v>112.88416546986456</v>
      </c>
      <c r="H7" s="164">
        <f>IF(OR('Données projet'!B10="",'Données projet'!C10="",'Données projet'!C10=0%),0,AVERAGE(Calculateur!$AX$3:$AX$33)*B7)</f>
        <v>3.5248584737282287</v>
      </c>
      <c r="I7" s="158">
        <f>H7*(100%-'Données projet'!$C$24)*(100%-'Données projet'!$C$25)*(100%-'Données projet'!$C$26)*(100%-'Données projet'!$C$27)</f>
        <v>3.0137539950376353</v>
      </c>
      <c r="J7" s="159">
        <f>IF(OR('Données projet'!B10="",'Données projet'!C10="",'Données projet'!C10=0%),0,SUM(Calculateur!$AQ$3:$AQ$33)*VLOOKUP('Données projet'!$B$10,Paramètres!$A$1:$I$89,9,0)*B7)</f>
        <v>36.0556032</v>
      </c>
      <c r="K7" s="160">
        <f>J7*(100%-'Données projet'!$C$24)*(100%-'Données projet'!$C$25)*(100%-'Données projet'!$C$26)*(100%-'Données projet'!$C$27)</f>
        <v>30.827540735999996</v>
      </c>
      <c r="L7" s="161">
        <f t="shared" ref="L7:L15" ca="1" si="2">G7+I7+K7</f>
        <v>146.72546020090218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Pin laricio</v>
      </c>
      <c r="B8" s="163">
        <f>'Données projet'!D11</f>
        <v>10.325248</v>
      </c>
      <c r="C8" s="156">
        <f ca="1">IF(OR('Données projet'!B11="",'Données projet'!C11="",'Données projet'!C11=0%),0,Calculateur!BI3)</f>
        <v>367.11994336501527</v>
      </c>
      <c r="D8" s="156">
        <f>IF(OR('Données projet'!B11="",'Données projet'!C11="",'Données projet'!C11=0%),0,Calculateur!BJ3)</f>
        <v>390.81417197867484</v>
      </c>
      <c r="E8" s="156">
        <f t="shared" ca="1" si="0"/>
        <v>367.11994336501527</v>
      </c>
      <c r="F8" s="156">
        <f t="shared" ca="1" si="1"/>
        <v>3790.6044609897372</v>
      </c>
      <c r="G8" s="156">
        <f ca="1">F8*(100%-'Données projet'!$C$24)*(100%-'Données projet'!$C$25)*(100%-'Données projet'!$C$26)*(100%-'Données projet'!$C$27)</f>
        <v>3240.9668141462253</v>
      </c>
      <c r="H8" s="164">
        <f>IF(OR('Données projet'!B11="",'Données projet'!C11="",'Données projet'!C11=0%),0,AVERAGE(Calculateur!$BS$3:$BS$33)*B8)</f>
        <v>46.239844866431362</v>
      </c>
      <c r="I8" s="158">
        <f>H8*(100%-'Données projet'!$C$24)*(100%-'Données projet'!$C$25)*(100%-'Données projet'!$C$26)*(100%-'Données projet'!$C$27)</f>
        <v>39.535067360798813</v>
      </c>
      <c r="J8" s="159">
        <f>IF(OR('Données projet'!B11="",'Données projet'!C11="",'Données projet'!C11=0%),0,SUM(Calculateur!$BL$3:$BL$33)*VLOOKUP('Données projet'!$B$11,Paramètres!$A$1:$I$89,9,0)*B8)</f>
        <v>532.78279680000003</v>
      </c>
      <c r="K8" s="160">
        <f>J8*(100%-'Données projet'!$C$24)*(100%-'Données projet'!$C$25)*(100%-'Données projet'!$C$26)*(100%-'Données projet'!$C$27)</f>
        <v>455.52929126400005</v>
      </c>
      <c r="L8" s="161">
        <f t="shared" ca="1" si="2"/>
        <v>3736.0311727710241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Pin maritime</v>
      </c>
      <c r="B9" s="163">
        <f>'Données projet'!D12</f>
        <v>2.6254080000000002</v>
      </c>
      <c r="C9" s="156">
        <f ca="1">IF(OR('Données projet'!B12="",'Données projet'!C12="",'Données projet'!C12=0%),0,Calculateur!CD3)</f>
        <v>396.15172163885632</v>
      </c>
      <c r="D9" s="156">
        <f>IF(OR('Données projet'!B12="",'Données projet'!C12="",'Données projet'!C12=0%),0,Calculateur!CE3)</f>
        <v>624.94568617205198</v>
      </c>
      <c r="E9" s="156">
        <f t="shared" ca="1" si="0"/>
        <v>396.15172163885632</v>
      </c>
      <c r="F9" s="156">
        <f t="shared" ca="1" si="1"/>
        <v>1040.0598992044265</v>
      </c>
      <c r="G9" s="156">
        <f ca="1">F9*(100%-'Données projet'!$C$24)*(100%-'Données projet'!$C$25)*(100%-'Données projet'!$C$26)*(100%-'Données projet'!$C$27)</f>
        <v>889.25121381978465</v>
      </c>
      <c r="H9" s="164">
        <f>IF(OR('Données projet'!B12="",'Données projet'!C12="",'Données projet'!C12=0%),0,AVERAGE(Calculateur!$CN$3:$CN$33)*B9)</f>
        <v>25.812274852645448</v>
      </c>
      <c r="I9" s="158">
        <f>H9*(100%-'Données projet'!$C$24)*(100%-'Données projet'!$C$25)*(100%-'Données projet'!$C$26)*(100%-'Données projet'!$C$27)</f>
        <v>22.069494999011855</v>
      </c>
      <c r="J9" s="159">
        <f>IF(OR('Données projet'!B12="",'Données projet'!C12="",'Données projet'!C12=0%),0,SUM(Calculateur!$CG$3:$CG$33)*VLOOKUP('Données projet'!$B$12,Paramètres!$A$1:$I$89,9,0)*B9)</f>
        <v>322.96456512000003</v>
      </c>
      <c r="K9" s="160">
        <f>J9*(100%-'Données projet'!$C$24)*(100%-'Données projet'!$C$25)*(100%-'Données projet'!$C$26)*(100%-'Données projet'!$C$27)</f>
        <v>276.13470317759999</v>
      </c>
      <c r="L9" s="161">
        <f t="shared" ca="1" si="2"/>
        <v>1187.4554119963966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Peuplier Robusta</v>
      </c>
      <c r="B10" s="163">
        <f>'Données projet'!D13</f>
        <v>1.0481280000000002</v>
      </c>
      <c r="C10" s="156">
        <f ca="1">IF(OR('Données projet'!B13="",'Données projet'!C13="",'Données projet'!C13=0%),0,Calculateur!CY3)</f>
        <v>89.800041997398182</v>
      </c>
      <c r="D10" s="156">
        <f>IF(OR('Données projet'!B13="",'Données projet'!C13="",'Données projet'!C13=0%),0,Calculateur!CZ3)</f>
        <v>286.94570078060917</v>
      </c>
      <c r="E10" s="156">
        <f t="shared" ca="1" si="0"/>
        <v>89.800041997398182</v>
      </c>
      <c r="F10" s="156">
        <f t="shared" ca="1" si="1"/>
        <v>94.12193841864898</v>
      </c>
      <c r="G10" s="156">
        <f ca="1">F10*(100%-'Données projet'!$C$24)*(100%-'Données projet'!$C$25)*(100%-'Données projet'!$C$26)*(100%-'Données projet'!$C$27)</f>
        <v>80.474257347944885</v>
      </c>
      <c r="H10" s="164">
        <f>IF(OR('Données projet'!B13="",'Données projet'!C13="",'Données projet'!C13=0%),0,AVERAGE(Calculateur!$DI$3:$DI$33)*B10)</f>
        <v>26.90176642486103</v>
      </c>
      <c r="I10" s="158">
        <f>H10*(100%-'Données projet'!$C$24)*(100%-'Données projet'!$C$25)*(100%-'Données projet'!$C$26)*(100%-'Données projet'!$C$27)</f>
        <v>23.001010293256183</v>
      </c>
      <c r="J10" s="159">
        <f>IF(OR('Données projet'!B13="",'Données projet'!C13="",'Données projet'!C13=0%),0,SUM(Calculateur!$DB$3:$DB$33)*VLOOKUP('Données projet'!$B$13,Paramètres!$A$1:$I$89,9,0)*B10)</f>
        <v>221.31222720000005</v>
      </c>
      <c r="K10" s="160">
        <f>J10*(100%-'Données projet'!$C$24)*(100%-'Données projet'!$C$25)*(100%-'Données projet'!$C$26)*(100%-'Données projet'!$C$27)</f>
        <v>189.22195425600003</v>
      </c>
      <c r="L10" s="161">
        <f t="shared" ca="1" si="2"/>
        <v>292.69722189720108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5728.4927770563818</v>
      </c>
      <c r="G16" s="175">
        <f t="shared" ca="1" si="3"/>
        <v>4897.8613243832069</v>
      </c>
      <c r="H16" s="176">
        <f t="shared" si="3"/>
        <v>105.7774892911909</v>
      </c>
      <c r="I16" s="176">
        <f t="shared" si="3"/>
        <v>90.439753343968206</v>
      </c>
      <c r="J16" s="177">
        <f t="shared" si="3"/>
        <v>1148.1308083200001</v>
      </c>
      <c r="K16" s="177">
        <f t="shared" si="3"/>
        <v>981.65184111359997</v>
      </c>
      <c r="L16" s="178">
        <f t="shared" ca="1" si="3"/>
        <v>5969.952918840776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Pin maritime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Peuplier Robusta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L6" zoomScale="90" zoomScaleNormal="9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-987.89396964615469</v>
      </c>
      <c r="U10" s="190">
        <f>'Données projet'!D9</f>
        <v>2.2590720000000002</v>
      </c>
      <c r="V10" s="189">
        <f>U10*T10</f>
        <v>-2231.7236057964783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-889.47391863376151</v>
      </c>
      <c r="U11" s="190">
        <f>'Données projet'!D10</f>
        <v>0.69875200000000004</v>
      </c>
      <c r="V11" s="189">
        <f t="shared" ref="V11" si="0">U11*T11</f>
        <v>-621.52167959317819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384.85492982759808</v>
      </c>
      <c r="U12" s="190">
        <f>'Données projet'!D11</f>
        <v>10.325248</v>
      </c>
      <c r="V12" s="189">
        <f t="shared" ref="V12:V19" si="1">U12*T12</f>
        <v>3973.7225944925476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maritime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893.23273307218597</v>
      </c>
      <c r="U13" s="190">
        <f>'Données projet'!D12</f>
        <v>2.6254080000000002</v>
      </c>
      <c r="V13" s="189">
        <f t="shared" si="1"/>
        <v>2345.100363269582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Peuplier Robusta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1629.7950274300244</v>
      </c>
      <c r="U14" s="190">
        <f>'Données projet'!D13</f>
        <v>1.0481280000000002</v>
      </c>
      <c r="V14" s="189">
        <f t="shared" si="1"/>
        <v>1708.2338025101769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(2820+(0.45*3000))/2.26</f>
        <v>1845.1327433628321</v>
      </c>
      <c r="F17" s="261" t="s">
        <v>328</v>
      </c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f>(10400+3328+5408+150)/16.96</f>
        <v>1137.1462264150944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(4000+2883.2+7632)/16.96</f>
        <v>855.84905660377353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f>7632/16.96</f>
        <v>450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6</v>
      </c>
      <c r="C23" s="206">
        <v>10</v>
      </c>
      <c r="D23" s="194">
        <f>B23*C23</f>
        <v>60</v>
      </c>
      <c r="E23" s="206"/>
      <c r="F23" s="261"/>
      <c r="H23" s="203">
        <v>3</v>
      </c>
      <c r="I23" s="204">
        <f>2883.2/16.96</f>
        <v>169.99999999999997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-39935.46148828997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28</v>
      </c>
      <c r="C24" s="206">
        <v>10</v>
      </c>
      <c r="D24" s="194">
        <f t="shared" ref="D24:D42" si="2">B24*C24</f>
        <v>280</v>
      </c>
      <c r="E24" s="206"/>
      <c r="F24" s="264"/>
      <c r="H24" s="203">
        <v>4</v>
      </c>
      <c r="I24" s="204">
        <f>2883.2/16.96</f>
        <v>169.99999999999997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55798.365246410649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28</v>
      </c>
      <c r="C25" s="206">
        <v>10</v>
      </c>
      <c r="D25" s="194">
        <f t="shared" si="2"/>
        <v>280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250</v>
      </c>
      <c r="Q25" s="265"/>
      <c r="R25" s="25"/>
      <c r="S25" s="198" t="s">
        <v>266</v>
      </c>
      <c r="T25" s="341">
        <f ca="1">T23-T24</f>
        <v>-95733.826734700619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28</v>
      </c>
      <c r="C26" s="206">
        <v>12</v>
      </c>
      <c r="D26" s="194">
        <f t="shared" si="2"/>
        <v>336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28</v>
      </c>
      <c r="C27" s="206">
        <v>15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28</v>
      </c>
      <c r="C28" s="206">
        <v>15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28</v>
      </c>
      <c r="C29" s="206">
        <v>18</v>
      </c>
      <c r="D29" s="194">
        <f t="shared" si="2"/>
        <v>504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28</v>
      </c>
      <c r="C30" s="206">
        <v>18</v>
      </c>
      <c r="D30" s="194">
        <f t="shared" si="2"/>
        <v>504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3289.9979508496845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28</v>
      </c>
      <c r="C31" s="206">
        <v>20</v>
      </c>
      <c r="D31" s="194">
        <f t="shared" si="2"/>
        <v>560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28</v>
      </c>
      <c r="C32" s="206">
        <v>20</v>
      </c>
      <c r="D32" s="194">
        <f t="shared" si="2"/>
        <v>560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28</v>
      </c>
      <c r="C33" s="206">
        <v>23</v>
      </c>
      <c r="D33" s="194">
        <f t="shared" si="2"/>
        <v>644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250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28</v>
      </c>
      <c r="C34" s="206">
        <v>23</v>
      </c>
      <c r="D34" s="194">
        <f t="shared" si="2"/>
        <v>644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239.23444976076556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320</v>
      </c>
      <c r="C35" s="206">
        <v>25</v>
      </c>
      <c r="D35" s="194">
        <f t="shared" si="2"/>
        <v>8000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228.93248780934508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219.07415101372735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209.64033589830373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200.61276162517103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191.97393456954171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183.70711442061406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175.79628174221446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168.22610693034878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160.98192050751081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154.0496846961826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147.41596621644271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141.06791025496909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134.99321555499438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(900+(0.45*900))/0.7</f>
        <v>1864.2857142857144</v>
      </c>
      <c r="F48" s="262" t="s">
        <v>329</v>
      </c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129.18011057894199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123.61733069755219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118.29409636129395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113.20009221176457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35</v>
      </c>
      <c r="C54" s="204">
        <v>7</v>
      </c>
      <c r="D54" s="191">
        <f>B54*C54</f>
        <v>245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35</v>
      </c>
      <c r="C55" s="204">
        <v>9</v>
      </c>
      <c r="D55" s="191">
        <f t="shared" ref="D55:D73" si="4">B55*C55</f>
        <v>315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50</v>
      </c>
      <c r="C56" s="204">
        <v>11</v>
      </c>
      <c r="D56" s="191">
        <f t="shared" si="4"/>
        <v>550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37</v>
      </c>
      <c r="B57" s="193">
        <f>'Données projet'!D65</f>
        <v>50</v>
      </c>
      <c r="C57" s="204">
        <v>12</v>
      </c>
      <c r="D57" s="191">
        <f t="shared" si="4"/>
        <v>600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44</v>
      </c>
      <c r="B58" s="193">
        <f>'Données projet'!D66</f>
        <v>60</v>
      </c>
      <c r="C58" s="204">
        <v>13</v>
      </c>
      <c r="D58" s="191">
        <f t="shared" si="4"/>
        <v>780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51</v>
      </c>
      <c r="B59" s="193">
        <f>'Données projet'!D67</f>
        <v>70</v>
      </c>
      <c r="C59" s="204">
        <v>15</v>
      </c>
      <c r="D59" s="191">
        <f t="shared" si="4"/>
        <v>1050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60</v>
      </c>
      <c r="B60" s="193">
        <f>'Données projet'!D68</f>
        <v>300</v>
      </c>
      <c r="C60" s="204">
        <v>18</v>
      </c>
      <c r="D60" s="191">
        <f t="shared" si="4"/>
        <v>5400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f>(4020+(0.45*13400))/10.33</f>
        <v>972.89448209099714</v>
      </c>
      <c r="F79" s="262" t="s">
        <v>324</v>
      </c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17</v>
      </c>
      <c r="B85" s="193">
        <f>'Données projet'!D88</f>
        <v>15</v>
      </c>
      <c r="C85" s="204">
        <v>7</v>
      </c>
      <c r="D85" s="191">
        <f>B85*C85</f>
        <v>105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15</v>
      </c>
      <c r="C86" s="204">
        <v>7</v>
      </c>
      <c r="D86" s="191">
        <f t="shared" ref="D86:D104" si="6">B86*C86</f>
        <v>105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25</v>
      </c>
      <c r="B87" s="193">
        <f>'Données projet'!D90</f>
        <v>36</v>
      </c>
      <c r="C87" s="204">
        <v>9</v>
      </c>
      <c r="D87" s="191">
        <f t="shared" si="6"/>
        <v>324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54</v>
      </c>
      <c r="C88" s="204">
        <v>9</v>
      </c>
      <c r="D88" s="191">
        <f t="shared" si="6"/>
        <v>486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35</v>
      </c>
      <c r="B89" s="193">
        <f>'Données projet'!D92</f>
        <v>52</v>
      </c>
      <c r="C89" s="204">
        <v>10</v>
      </c>
      <c r="D89" s="191">
        <f t="shared" si="6"/>
        <v>520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40</v>
      </c>
      <c r="B90" s="193">
        <f>'Données projet'!D93</f>
        <v>48</v>
      </c>
      <c r="C90" s="204">
        <v>10</v>
      </c>
      <c r="D90" s="191">
        <f t="shared" si="6"/>
        <v>480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45</v>
      </c>
      <c r="B91" s="193">
        <f>'Données projet'!D94</f>
        <v>57</v>
      </c>
      <c r="C91" s="204">
        <v>12</v>
      </c>
      <c r="D91" s="191">
        <f t="shared" si="6"/>
        <v>684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50</v>
      </c>
      <c r="B92" s="193">
        <f>'Données projet'!D95</f>
        <v>47</v>
      </c>
      <c r="C92" s="204">
        <v>12</v>
      </c>
      <c r="D92" s="191">
        <f t="shared" si="6"/>
        <v>564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55</v>
      </c>
      <c r="B93" s="193">
        <f>'Données projet'!D96</f>
        <v>48</v>
      </c>
      <c r="C93" s="204">
        <v>16</v>
      </c>
      <c r="D93" s="191">
        <f t="shared" si="6"/>
        <v>768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60</v>
      </c>
      <c r="B94" s="193">
        <f>'Données projet'!D97</f>
        <v>32</v>
      </c>
      <c r="C94" s="204">
        <v>16</v>
      </c>
      <c r="D94" s="191">
        <f t="shared" si="6"/>
        <v>512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65</v>
      </c>
      <c r="B95" s="193">
        <f>'Données projet'!D98</f>
        <v>555</v>
      </c>
      <c r="C95" s="204">
        <v>18</v>
      </c>
      <c r="D95" s="191">
        <f t="shared" si="6"/>
        <v>9990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Pin maritime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f>(1050+(0.45*3500))/2.627</f>
        <v>999.23867529501342</v>
      </c>
      <c r="F110" s="262" t="s">
        <v>325</v>
      </c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11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12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14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16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18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20</v>
      </c>
      <c r="B121" s="193">
        <f>'Données projet'!D119</f>
        <v>97.4</v>
      </c>
      <c r="C121" s="204">
        <v>9</v>
      </c>
      <c r="D121" s="191">
        <f t="shared" si="8"/>
        <v>876.6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22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24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26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28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30</v>
      </c>
      <c r="B126" s="193">
        <f>'Données projet'!D124</f>
        <v>111.1</v>
      </c>
      <c r="C126" s="204">
        <v>10</v>
      </c>
      <c r="D126" s="191">
        <f t="shared" si="8"/>
        <v>1111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32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34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36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38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40</v>
      </c>
      <c r="B131" s="193">
        <f>'Données projet'!D129</f>
        <v>92.5</v>
      </c>
      <c r="C131" s="204">
        <v>13</v>
      </c>
      <c r="D131" s="191">
        <f t="shared" si="8"/>
        <v>1202.5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42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44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48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50</v>
      </c>
      <c r="B135" s="193">
        <f>'Données projet'!D133</f>
        <v>463.2</v>
      </c>
      <c r="C135" s="204">
        <v>20</v>
      </c>
      <c r="D135" s="191">
        <f t="shared" si="8"/>
        <v>9264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Peuplier Robusta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f>(1000+700)/1.05</f>
        <v>1619.047619047619</v>
      </c>
      <c r="F141" s="262" t="s">
        <v>326</v>
      </c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18</v>
      </c>
      <c r="B148" s="187">
        <f>'Données projet'!D141</f>
        <v>205</v>
      </c>
      <c r="C148" s="204">
        <v>35</v>
      </c>
      <c r="D148" s="194">
        <f t="shared" ref="D148:D166" si="10">B148*C148</f>
        <v>7175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2022-03-04T18:03:13Z</dcterms:modified>
</cp:coreProperties>
</file>