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Coopératives partenaires\FBE\Belloy-Sailly\Doc fin\"/>
    </mc:Choice>
  </mc:AlternateContent>
  <xr:revisionPtr revIDLastSave="0" documentId="13_ncr:1_{CCC03E7D-D0F0-457C-B2EA-DDF61D1A0080}" xr6:coauthVersionLast="36" xr6:coauthVersionMax="36" xr10:uidLastSave="{00000000-0000-0000-0000-000000000000}"/>
  <bookViews>
    <workbookView xWindow="0" yWindow="0" windowWidth="28800" windowHeight="12615" tabRatio="866" firstSheet="1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BC82" i="2" a="1"/>
  <c r="BC82" i="2" s="1"/>
  <c r="BC126" i="2" a="1"/>
  <c r="BC126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14" i="2" l="1" a="1"/>
  <c r="BC114" i="2" s="1"/>
  <c r="BC47" i="2" a="1"/>
  <c r="BC47" i="2" s="1"/>
  <c r="BC58" i="2" a="1"/>
  <c r="BC58" i="2" s="1"/>
  <c r="BC34" i="2" a="1"/>
  <c r="BC34" i="2" s="1"/>
  <c r="AH166" i="2" a="1"/>
  <c r="AH166" i="2" s="1"/>
  <c r="AH163" i="2" a="1"/>
  <c r="AH163" i="2" s="1"/>
  <c r="AH19" i="2" a="1"/>
  <c r="AH19" i="2" s="1"/>
  <c r="AH90" i="2" a="1"/>
  <c r="AH90" i="2" s="1"/>
  <c r="AH151" i="2" a="1"/>
  <c r="AH151" i="2" s="1"/>
  <c r="AH62" i="2" a="1"/>
  <c r="AH62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<sst xmlns="http://schemas.openxmlformats.org/spreadsheetml/2006/main" count="1171" uniqueCount="324">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</sst>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1.8200025993930129</c:v>
                </c:pt>
                <c:pt idx="2">
                  <c:v>2.2271460557143614</c:v>
                </c:pt>
                <c:pt idx="3">
                  <c:v>2.7257223408805653</c:v>
                </c:pt>
                <c:pt idx="4">
                  <c:v>3.3363396054005867</c:v>
                </c:pt>
                <c:pt idx="5">
                  <c:v>4.0842667492458071</c:v>
                </c:pt>
                <c:pt idx="6">
                  <c:v>5.0004908413387135</c:v>
                </c:pt>
                <c:pt idx="7">
                  <c:v>6.1230151459017179</c:v>
                </c:pt>
                <c:pt idx="8">
                  <c:v>7.4984526507519211</c:v>
                </c:pt>
                <c:pt idx="9">
                  <c:v>9.1839825477855648</c:v>
                </c:pt>
                <c:pt idx="10">
                  <c:v>11.249752548961022</c:v>
                </c:pt>
                <c:pt idx="11">
                  <c:v>13.781828893065741</c:v>
                </c:pt>
                <c:pt idx="12">
                  <c:v>16.885819222543173</c:v>
                </c:pt>
                <c:pt idx="13">
                  <c:v>20.691322185911719</c:v>
                </c:pt>
                <c:pt idx="14">
                  <c:v>25.357392880378381</c:v>
                </c:pt>
                <c:pt idx="15">
                  <c:v>31.079256605083973</c:v>
                </c:pt>
                <c:pt idx="16">
                  <c:v>38.096556710736088</c:v>
                </c:pt>
                <c:pt idx="17">
                  <c:v>46.703487898146385</c:v>
                </c:pt>
                <c:pt idx="18">
                  <c:v>57.261246956647234</c:v>
                </c:pt>
                <c:pt idx="19">
                  <c:v>70.213332114011521</c:v>
                </c:pt>
                <c:pt idx="20">
                  <c:v>86.104344163215728</c:v>
                </c:pt>
                <c:pt idx="21">
                  <c:v>105.60309259425624</c:v>
                </c:pt>
                <c:pt idx="22">
                  <c:v>129.53099456014468</c:v>
                </c:pt>
                <c:pt idx="23">
                  <c:v>158.89698160706655</c:v>
                </c:pt>
                <c:pt idx="24">
                  <c:v>194.94040849944534</c:v>
                </c:pt>
                <c:pt idx="25">
                  <c:v>239.18380223416941</c:v>
                </c:pt>
                <c:pt idx="26">
                  <c:v>293.49771231347631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61" zoomScale="90" zoomScaleNormal="90" workbookViewId="0">
      <selection activeCell="J81" sqref="J8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129</v>
      </c>
      <c r="C9" s="35">
        <v>0.84</v>
      </c>
      <c r="D9" s="36">
        <f t="shared" ref="D9:D18" si="0">C9*$C$5</f>
        <v>5.04</v>
      </c>
      <c r="E9" s="37">
        <v>26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14</v>
      </c>
      <c r="C10" s="35">
        <v>0.16</v>
      </c>
      <c r="D10" s="36">
        <f t="shared" si="0"/>
        <v>0.96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Robusta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26</v>
      </c>
      <c r="B36" s="63">
        <v>233.48</v>
      </c>
      <c r="C36" s="63">
        <v>1</v>
      </c>
      <c r="D36" s="63">
        <v>233.48</v>
      </c>
      <c r="E36" s="54">
        <v>0.9</v>
      </c>
      <c r="F36" s="54">
        <v>0.1</v>
      </c>
      <c r="G36" s="54"/>
      <c r="H36" s="54"/>
      <c r="I36" s="52">
        <f>IFERROR(B36/A36,"")</f>
        <v>8.98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sessile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42</v>
      </c>
      <c r="C62" s="63">
        <v>1</v>
      </c>
      <c r="D62" s="63">
        <v>0</v>
      </c>
      <c r="E62" s="54"/>
      <c r="F62" s="54"/>
      <c r="G62" s="54"/>
      <c r="H62" s="54">
        <v>1</v>
      </c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70</v>
      </c>
      <c r="C63" s="63">
        <v>2</v>
      </c>
      <c r="D63" s="63">
        <v>8</v>
      </c>
      <c r="E63" s="54"/>
      <c r="F63" s="54"/>
      <c r="G63" s="54"/>
      <c r="H63" s="54">
        <v>1</v>
      </c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97</v>
      </c>
      <c r="C64" s="63">
        <v>3</v>
      </c>
      <c r="D64" s="63">
        <v>21</v>
      </c>
      <c r="E64" s="54"/>
      <c r="F64" s="54"/>
      <c r="G64" s="54"/>
      <c r="H64" s="54">
        <v>1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116</v>
      </c>
      <c r="C65" s="63">
        <v>4</v>
      </c>
      <c r="D65" s="63">
        <v>21</v>
      </c>
      <c r="E65" s="54"/>
      <c r="F65" s="54"/>
      <c r="G65" s="54"/>
      <c r="H65" s="54">
        <v>1</v>
      </c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137</v>
      </c>
      <c r="C66" s="63">
        <v>5</v>
      </c>
      <c r="D66" s="63">
        <v>21</v>
      </c>
      <c r="E66" s="54"/>
      <c r="F66" s="54"/>
      <c r="G66" s="54"/>
      <c r="H66" s="54">
        <v>1</v>
      </c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158</v>
      </c>
      <c r="C67" s="63">
        <v>6</v>
      </c>
      <c r="D67" s="63">
        <v>21</v>
      </c>
      <c r="E67" s="54"/>
      <c r="F67" s="54"/>
      <c r="G67" s="54"/>
      <c r="H67" s="54">
        <v>1</v>
      </c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178</v>
      </c>
      <c r="C68" s="63">
        <v>7</v>
      </c>
      <c r="D68" s="63">
        <v>21</v>
      </c>
      <c r="E68" s="54"/>
      <c r="F68" s="54"/>
      <c r="G68" s="54"/>
      <c r="H68" s="54">
        <v>1</v>
      </c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197</v>
      </c>
      <c r="C69" s="53">
        <v>8</v>
      </c>
      <c r="D69" s="53">
        <v>21</v>
      </c>
      <c r="E69" s="54"/>
      <c r="F69" s="54"/>
      <c r="G69" s="54"/>
      <c r="H69" s="54">
        <v>1</v>
      </c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214</v>
      </c>
      <c r="C70" s="53">
        <v>9</v>
      </c>
      <c r="D70" s="53">
        <v>21</v>
      </c>
      <c r="E70" s="54">
        <v>0.4</v>
      </c>
      <c r="F70" s="54"/>
      <c r="G70" s="54"/>
      <c r="H70" s="54">
        <v>0.6</v>
      </c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229</v>
      </c>
      <c r="C71" s="53">
        <v>10</v>
      </c>
      <c r="D71" s="53">
        <v>21</v>
      </c>
      <c r="E71" s="54">
        <v>0.4</v>
      </c>
      <c r="F71" s="54"/>
      <c r="G71" s="54"/>
      <c r="H71" s="54">
        <v>0.6</v>
      </c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242</v>
      </c>
      <c r="C72" s="53">
        <v>11</v>
      </c>
      <c r="D72" s="53">
        <v>21</v>
      </c>
      <c r="E72" s="54">
        <v>0.4</v>
      </c>
      <c r="F72" s="54"/>
      <c r="G72" s="54"/>
      <c r="H72" s="54">
        <v>0.6</v>
      </c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252</v>
      </c>
      <c r="C73" s="53">
        <v>12</v>
      </c>
      <c r="D73" s="53">
        <v>21</v>
      </c>
      <c r="E73" s="54">
        <v>0.4</v>
      </c>
      <c r="F73" s="54"/>
      <c r="G73" s="54"/>
      <c r="H73" s="54">
        <v>0.6</v>
      </c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261</v>
      </c>
      <c r="C74" s="53">
        <v>13</v>
      </c>
      <c r="D74" s="53">
        <v>21</v>
      </c>
      <c r="E74" s="54">
        <v>0.7</v>
      </c>
      <c r="F74" s="54"/>
      <c r="G74" s="54"/>
      <c r="H74" s="54">
        <v>0.3</v>
      </c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53">
        <v>269</v>
      </c>
      <c r="C75" s="53">
        <v>14</v>
      </c>
      <c r="D75" s="53">
        <v>21</v>
      </c>
      <c r="E75" s="54">
        <v>0.7</v>
      </c>
      <c r="F75" s="54"/>
      <c r="G75" s="54"/>
      <c r="H75" s="54">
        <v>0.3</v>
      </c>
      <c r="I75" s="52">
        <f t="shared" si="2"/>
        <v>5.8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90</v>
      </c>
      <c r="B76" s="53">
        <v>275</v>
      </c>
      <c r="C76" s="53">
        <v>15</v>
      </c>
      <c r="D76" s="53">
        <v>21</v>
      </c>
      <c r="E76" s="54">
        <v>0.8</v>
      </c>
      <c r="F76" s="54"/>
      <c r="G76" s="54"/>
      <c r="H76" s="54">
        <v>0.2</v>
      </c>
      <c r="I76" s="52">
        <f t="shared" si="2"/>
        <v>5.4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95</v>
      </c>
      <c r="B77" s="53">
        <v>279</v>
      </c>
      <c r="C77" s="53">
        <v>16</v>
      </c>
      <c r="D77" s="53">
        <v>21</v>
      </c>
      <c r="E77" s="54">
        <v>0.8</v>
      </c>
      <c r="F77" s="54"/>
      <c r="G77" s="54"/>
      <c r="H77" s="54">
        <v>0.2</v>
      </c>
      <c r="I77" s="52">
        <f t="shared" si="2"/>
        <v>5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100</v>
      </c>
      <c r="B78" s="53">
        <v>282</v>
      </c>
      <c r="C78" s="53">
        <v>17</v>
      </c>
      <c r="D78" s="53">
        <v>282</v>
      </c>
      <c r="E78" s="54">
        <v>0.8</v>
      </c>
      <c r="F78" s="54"/>
      <c r="G78" s="54"/>
      <c r="H78" s="54">
        <v>0.2</v>
      </c>
      <c r="I78" s="52">
        <f t="shared" si="2"/>
        <v>4.8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42</v>
      </c>
      <c r="B88" s="63">
        <v>113</v>
      </c>
      <c r="C88" s="63">
        <v>1</v>
      </c>
      <c r="D88" s="63">
        <v>30</v>
      </c>
      <c r="E88" s="54"/>
      <c r="F88" s="54"/>
      <c r="G88" s="54"/>
      <c r="H88" s="54">
        <v>1</v>
      </c>
      <c r="I88" s="56">
        <f>IFERROR(B88/A88,"")</f>
        <v>2.6904761904761907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48</v>
      </c>
      <c r="B89" s="63">
        <v>120</v>
      </c>
      <c r="C89" s="63">
        <v>2</v>
      </c>
      <c r="D89" s="63">
        <v>28</v>
      </c>
      <c r="E89" s="54"/>
      <c r="F89" s="54"/>
      <c r="G89" s="54"/>
      <c r="H89" s="54">
        <v>1</v>
      </c>
      <c r="I89" s="56">
        <f t="shared" ref="I89:I107" si="3">IF(A89&lt;&gt;0,(B89-(B88-D88))/(A89-A88),"")</f>
        <v>6.166666666666667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56</v>
      </c>
      <c r="B90" s="63">
        <v>138</v>
      </c>
      <c r="C90" s="63">
        <v>3</v>
      </c>
      <c r="D90" s="63">
        <v>36</v>
      </c>
      <c r="E90" s="54"/>
      <c r="F90" s="54"/>
      <c r="G90" s="54"/>
      <c r="H90" s="54">
        <v>1</v>
      </c>
      <c r="I90" s="56">
        <f t="shared" si="3"/>
        <v>5.75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64</v>
      </c>
      <c r="B91" s="63">
        <v>155</v>
      </c>
      <c r="C91" s="63">
        <v>4</v>
      </c>
      <c r="D91" s="63">
        <v>41</v>
      </c>
      <c r="E91" s="54">
        <v>0.4</v>
      </c>
      <c r="F91" s="54"/>
      <c r="G91" s="54"/>
      <c r="H91" s="54">
        <v>0.6</v>
      </c>
      <c r="I91" s="56">
        <f t="shared" si="3"/>
        <v>6.625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72</v>
      </c>
      <c r="B92" s="63">
        <v>160</v>
      </c>
      <c r="C92" s="63">
        <v>5</v>
      </c>
      <c r="D92" s="63">
        <v>32</v>
      </c>
      <c r="E92" s="54">
        <v>0.4</v>
      </c>
      <c r="F92" s="54"/>
      <c r="G92" s="54"/>
      <c r="H92" s="54">
        <v>0.6</v>
      </c>
      <c r="I92" s="56">
        <f t="shared" si="3"/>
        <v>5.75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81</v>
      </c>
      <c r="B93" s="63">
        <v>173</v>
      </c>
      <c r="C93" s="63">
        <v>6</v>
      </c>
      <c r="D93" s="63">
        <v>31</v>
      </c>
      <c r="E93" s="54">
        <v>0.7</v>
      </c>
      <c r="F93" s="54"/>
      <c r="G93" s="54"/>
      <c r="H93" s="54">
        <v>0.3</v>
      </c>
      <c r="I93" s="56">
        <f t="shared" si="3"/>
        <v>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90</v>
      </c>
      <c r="B94" s="63">
        <v>184</v>
      </c>
      <c r="C94" s="63">
        <v>7</v>
      </c>
      <c r="D94" s="63">
        <v>30</v>
      </c>
      <c r="E94" s="54">
        <v>0.8</v>
      </c>
      <c r="F94" s="54"/>
      <c r="G94" s="54"/>
      <c r="H94" s="54">
        <v>0.2</v>
      </c>
      <c r="I94" s="56">
        <f t="shared" si="3"/>
        <v>4.666666666666667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102</v>
      </c>
      <c r="B95" s="53">
        <v>211</v>
      </c>
      <c r="C95" s="53">
        <v>8</v>
      </c>
      <c r="D95" s="53">
        <v>211</v>
      </c>
      <c r="E95" s="54">
        <v>0.8</v>
      </c>
      <c r="F95" s="54"/>
      <c r="G95" s="54"/>
      <c r="H95" s="54">
        <v>0.2</v>
      </c>
      <c r="I95" s="56">
        <f t="shared" si="3"/>
        <v>4.75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17" sqref="C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Robusta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sessile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74.447287056432231</v>
      </c>
      <c r="T3" s="62">
        <f>IF('Données projet'!E9&gt;30,$R$33-$H$33,LOOKUP('Données projet'!$E$9,$A$3:$A$203,R3:R203)-LOOKUP('Données projet'!$E$9,$A$3:$A$203,$H$3:$H$203))</f>
        <v>325.27549009125408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332.68760696564266</v>
      </c>
      <c r="AO3" s="62">
        <f>IF('Données projet'!E10&gt;30,$AM$33-$H$33,LOOKUP('Données projet'!$E$10,$A$3:$A$203,AM3:AM203)-LOOKUP('Données projet'!$E$10,$A$3:$A$203,$H$3:$H$203))</f>
        <v>231.36959598460686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8.98</v>
      </c>
      <c r="N4" s="14">
        <f>IF('Données projet'!$A$36&gt;35,N3+M4-V3,IF(A4&lt;'Données projet'!$A$36,$K$205^A4,IF(A4='Données projet'!$A$36,'Données projet'!$B$36,N3+M4-V3)))</f>
        <v>1.233350534411829</v>
      </c>
      <c r="O4" s="14">
        <f>N4*VLOOKUP('Données projet'!$B$9,Paramètres!$A$1:$I$89,3,0)*VLOOKUP('Données projet'!$B$9,Paramètres!$A$1:$I$89,5,0)</f>
        <v>0.70611784796146027</v>
      </c>
      <c r="P4" s="14">
        <f>EXP(-1.0587+0.8836*LN(O4)+0.284)</f>
        <v>0.33885972106802087</v>
      </c>
      <c r="Q4" s="22">
        <f t="shared" ref="Q4:Q34" si="2">(O4+P4)*0.475*44/12</f>
        <v>1.8200025993930129</v>
      </c>
      <c r="R4" s="62">
        <f t="shared" si="0"/>
        <v>259.70889148828189</v>
      </c>
      <c r="S4" s="62">
        <f ca="1">AVERAGE(OFFSET($R$3,0,0,'Données projet'!$E$9+1,1))-AVERAGE(OFFSET($H$3,0,0,'Données projet'!$E$9+1,1))</f>
        <v>74.447287056432231</v>
      </c>
      <c r="T4" s="62">
        <f>$T$3</f>
        <v>325.27549009125408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1.0907244698905405</v>
      </c>
      <c r="AK4" s="14">
        <f>EXP(-1.0587+0.8836*LN(AJ4)+0.284)</f>
        <v>0.49759623852608204</v>
      </c>
      <c r="AL4" s="22">
        <f t="shared" ref="AL4:AL67" si="4">(AJ4+AK4)*0.475*44/12</f>
        <v>2.7663252338256172</v>
      </c>
      <c r="AM4" s="62">
        <f t="shared" ref="AM4:AM67" si="5">AL4+(AD4+AE4)*44/12</f>
        <v>260.65521412271448</v>
      </c>
      <c r="AN4" s="62">
        <f ca="1">AVERAGE(OFFSET($AM$3,0,0,'Données projet'!$E$10+1,1))-AVERAGE(OFFSET($H$3,0,0,'Données projet'!$E$10+1,1))</f>
        <v>332.68760696564266</v>
      </c>
      <c r="AO4" s="62">
        <f>$AO$3</f>
        <v>231.36959598460686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2.6904761904761907</v>
      </c>
      <c r="BD4" s="13">
        <f>IF('Données projet'!$A$88&gt;35,BD3+BC4-BL3,IF(A4&lt;'Données projet'!$A$88,$BA$205^A4,IF(A4='Données projet'!$A$88,'Données projet'!$B$88,BD3+BC4-BL3)))</f>
        <v>2.6904761904761907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8.98</v>
      </c>
      <c r="N5" s="14">
        <f>IF('Données projet'!$A$36&gt;35,N4+M5-V4,IF(A5&lt;'Données projet'!$A$36,$K$205^A5,IF(A5='Données projet'!$A$36,'Données projet'!$B$36,N4+M5-V4)))</f>
        <v>1.521153540733944</v>
      </c>
      <c r="O5" s="14">
        <f>N5*VLOOKUP('Données projet'!$B$9,Paramètres!$A$1:$I$89,3,0)*VLOOKUP('Données projet'!$B$9,Paramètres!$A$1:$I$89,5,0)</f>
        <v>0.87089082514099758</v>
      </c>
      <c r="P5" s="14">
        <f t="shared" ref="P5:P68" si="33">EXP(-1.0587+0.8836*LN(O5)+0.284)</f>
        <v>0.40785332168064536</v>
      </c>
      <c r="Q5" s="22">
        <f t="shared" si="2"/>
        <v>2.2271460557143614</v>
      </c>
      <c r="R5" s="62">
        <f t="shared" si="0"/>
        <v>261.33825716682549</v>
      </c>
      <c r="S5" s="62">
        <f ca="1">AVERAGE(OFFSET($R$3,0,0,'Données projet'!$E$9+1,1))-AVERAGE(OFFSET($H$3,0,0,'Données projet'!$E$9+1,1))</f>
        <v>74.447287056432231</v>
      </c>
      <c r="T5" s="62">
        <f t="shared" ref="T5:T68" si="34">$T$3</f>
        <v>325.27549009125408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1.3148539668633961</v>
      </c>
      <c r="AK5" s="14">
        <f t="shared" ref="AK5:AK68" si="35">EXP(-1.0587+0.8836*LN(AJ5)+0.284)</f>
        <v>0.58693801963664449</v>
      </c>
      <c r="AL5" s="22">
        <f t="shared" si="4"/>
        <v>3.3122877098209038</v>
      </c>
      <c r="AM5" s="62">
        <f t="shared" si="5"/>
        <v>262.42339882093205</v>
      </c>
      <c r="AN5" s="62">
        <f ca="1">AVERAGE(OFFSET($AM$3,0,0,'Données projet'!$E$10+1,1))-AVERAGE(OFFSET($H$3,0,0,'Données projet'!$E$10+1,1))</f>
        <v>332.68760696564266</v>
      </c>
      <c r="AO5" s="62">
        <f t="shared" ref="AO5:AO68" si="36">$AO$3</f>
        <v>231.36959598460686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2.6904761904761907</v>
      </c>
      <c r="BD5" s="13">
        <f>IF('Données projet'!$A$88&gt;35,BD4+BC5-BL4,IF(A5&lt;'Données projet'!$A$88,$BA$205^A5,IF(A5='Données projet'!$A$88,'Données projet'!$B$88,BD4+BC5-BL4)))</f>
        <v>5.3809523809523814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8.98</v>
      </c>
      <c r="N6" s="14">
        <f>IF('Données projet'!$A$36&gt;35,N5+M6-V5,IF(A6&lt;'Données projet'!$A$36,$K$205^A6,IF(A6='Données projet'!$A$36,'Données projet'!$B$36,N5+M6-V5)))</f>
        <v>1.8761155323866556</v>
      </c>
      <c r="O6" s="14">
        <f>N6*VLOOKUP('Données projet'!$B$9,Paramètres!$A$1:$I$89,3,0)*VLOOKUP('Données projet'!$B$9,Paramètres!$A$1:$I$89,5,0)</f>
        <v>1.0741136646020082</v>
      </c>
      <c r="P6" s="14">
        <f t="shared" si="33"/>
        <v>0.49089437800884267</v>
      </c>
      <c r="Q6" s="22">
        <f t="shared" si="2"/>
        <v>2.7257223408805653</v>
      </c>
      <c r="R6" s="62">
        <f t="shared" si="0"/>
        <v>263.05905567421388</v>
      </c>
      <c r="S6" s="62">
        <f ca="1">AVERAGE(OFFSET($R$3,0,0,'Données projet'!$E$9+1,1))-AVERAGE(OFFSET($H$3,0,0,'Données projet'!$E$9+1,1))</f>
        <v>74.447287056432231</v>
      </c>
      <c r="T6" s="62">
        <f t="shared" si="34"/>
        <v>325.27549009125408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1.5850391202371266</v>
      </c>
      <c r="AK6" s="14">
        <f t="shared" si="35"/>
        <v>0.69232082604846479</v>
      </c>
      <c r="AL6" s="22">
        <f t="shared" si="4"/>
        <v>3.966401906447405</v>
      </c>
      <c r="AM6" s="62">
        <f t="shared" si="5"/>
        <v>264.29973523978072</v>
      </c>
      <c r="AN6" s="62">
        <f ca="1">AVERAGE(OFFSET($AM$3,0,0,'Données projet'!$E$10+1,1))-AVERAGE(OFFSET($H$3,0,0,'Données projet'!$E$10+1,1))</f>
        <v>332.68760696564266</v>
      </c>
      <c r="AO6" s="62">
        <f t="shared" si="36"/>
        <v>231.36959598460686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2.6904761904761907</v>
      </c>
      <c r="BD6" s="13">
        <f>IF('Données projet'!$A$88&gt;35,BD5+BC6-BL5,IF(A6&lt;'Données projet'!$A$88,$BA$205^A6,IF(A6='Données projet'!$A$88,'Données projet'!$B$88,BD5+BC6-BL5)))</f>
        <v>8.071428571428573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8.98</v>
      </c>
      <c r="N7" s="14">
        <f>IF('Données projet'!$A$36&gt;35,N6+M7-V6,IF(A7&lt;'Données projet'!$A$36,$K$205^A7,IF(A7='Données projet'!$A$36,'Données projet'!$B$36,N6+M7-V6)))</f>
        <v>2.3139080944874149</v>
      </c>
      <c r="O7" s="14">
        <f>N7*VLOOKUP('Données projet'!$B$9,Paramètres!$A$1:$I$89,3,0)*VLOOKUP('Données projet'!$B$9,Paramètres!$A$1:$I$89,5,0)</f>
        <v>1.3247586622559346</v>
      </c>
      <c r="P7" s="14">
        <f t="shared" si="33"/>
        <v>0.59084302505540687</v>
      </c>
      <c r="Q7" s="22">
        <f t="shared" si="2"/>
        <v>3.3363396054005867</v>
      </c>
      <c r="R7" s="62">
        <f t="shared" si="0"/>
        <v>264.89189516095615</v>
      </c>
      <c r="S7" s="62">
        <f ca="1">AVERAGE(OFFSET($R$3,0,0,'Données projet'!$E$9+1,1))-AVERAGE(OFFSET($H$3,0,0,'Données projet'!$E$9+1,1))</f>
        <v>74.447287056432231</v>
      </c>
      <c r="T7" s="62">
        <f t="shared" si="34"/>
        <v>325.27549009125408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1.9107437601419195</v>
      </c>
      <c r="AK7" s="14">
        <f t="shared" si="35"/>
        <v>0.81662477151702284</v>
      </c>
      <c r="AL7" s="22">
        <f t="shared" si="4"/>
        <v>4.7501668593059909</v>
      </c>
      <c r="AM7" s="62">
        <f t="shared" si="5"/>
        <v>266.30572241486152</v>
      </c>
      <c r="AN7" s="62">
        <f ca="1">AVERAGE(OFFSET($AM$3,0,0,'Données projet'!$E$10+1,1))-AVERAGE(OFFSET($H$3,0,0,'Données projet'!$E$10+1,1))</f>
        <v>332.68760696564266</v>
      </c>
      <c r="AO7" s="62">
        <f t="shared" si="36"/>
        <v>231.36959598460686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2.6904761904761907</v>
      </c>
      <c r="BD7" s="13">
        <f>IF('Données projet'!$A$88&gt;35,BD6+BC7-BL6,IF(A7&lt;'Données projet'!$A$88,$BA$205^A7,IF(A7='Données projet'!$A$88,'Données projet'!$B$88,BD6+BC7-BL6)))</f>
        <v>10.761904761904763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8.98</v>
      </c>
      <c r="N8" s="14">
        <f>IF('Données projet'!$A$36&gt;35,N7+M8-V7,IF(A8&lt;'Données projet'!$A$36,$K$205^A8,IF(A8='Données projet'!$A$36,'Données projet'!$B$36,N7+M8-V7)))</f>
        <v>2.85385978491591</v>
      </c>
      <c r="O8" s="14">
        <f>N8*VLOOKUP('Données projet'!$B$9,Paramètres!$A$1:$I$89,3,0)*VLOOKUP('Données projet'!$B$9,Paramètres!$A$1:$I$89,5,0)</f>
        <v>1.6338918040600567</v>
      </c>
      <c r="P8" s="14">
        <f t="shared" si="33"/>
        <v>0.71114173617677023</v>
      </c>
      <c r="Q8" s="22">
        <f t="shared" si="2"/>
        <v>4.0842667492458071</v>
      </c>
      <c r="R8" s="62">
        <f t="shared" si="0"/>
        <v>266.86204452702356</v>
      </c>
      <c r="S8" s="62">
        <f ca="1">AVERAGE(OFFSET($R$3,0,0,'Données projet'!$E$9+1,1))-AVERAGE(OFFSET($H$3,0,0,'Données projet'!$E$9+1,1))</f>
        <v>74.447287056432231</v>
      </c>
      <c r="T8" s="62">
        <f t="shared" si="34"/>
        <v>325.27549009125408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2.3033764090157529</v>
      </c>
      <c r="AK8" s="14">
        <f t="shared" si="35"/>
        <v>0.96324708482559218</v>
      </c>
      <c r="AL8" s="22">
        <f t="shared" si="4"/>
        <v>5.6893692517736758</v>
      </c>
      <c r="AM8" s="62">
        <f t="shared" si="5"/>
        <v>268.46714702955143</v>
      </c>
      <c r="AN8" s="62">
        <f ca="1">AVERAGE(OFFSET($AM$3,0,0,'Données projet'!$E$10+1,1))-AVERAGE(OFFSET($H$3,0,0,'Données projet'!$E$10+1,1))</f>
        <v>332.68760696564266</v>
      </c>
      <c r="AO8" s="62">
        <f t="shared" si="36"/>
        <v>231.36959598460686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2.6904761904761907</v>
      </c>
      <c r="BD8" s="13">
        <f>IF('Données projet'!$A$88&gt;35,BD7+BC8-BL7,IF(A8&lt;'Données projet'!$A$88,$BA$205^A8,IF(A8='Données projet'!$A$88,'Données projet'!$B$88,BD7+BC8-BL7)))</f>
        <v>13.452380952380953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8.98</v>
      </c>
      <c r="N9" s="14">
        <f>IF('Données projet'!$A$36&gt;35,N8+M9-V8,IF(A9&lt;'Données projet'!$A$36,$K$205^A9,IF(A9='Données projet'!$A$36,'Données projet'!$B$36,N8+M9-V8)))</f>
        <v>3.5198094908624649</v>
      </c>
      <c r="O9" s="14">
        <f>N9*VLOOKUP('Données projet'!$B$9,Paramètres!$A$1:$I$89,3,0)*VLOOKUP('Données projet'!$B$9,Paramètres!$A$1:$I$89,5,0)</f>
        <v>2.0151613297085786</v>
      </c>
      <c r="P9" s="14">
        <f t="shared" si="33"/>
        <v>0.8559338901988166</v>
      </c>
      <c r="Q9" s="22">
        <f t="shared" si="2"/>
        <v>5.0004908413387135</v>
      </c>
      <c r="R9" s="62">
        <f t="shared" si="0"/>
        <v>269.00049084133872</v>
      </c>
      <c r="S9" s="62">
        <f ca="1">AVERAGE(OFFSET($R$3,0,0,'Données projet'!$E$9+1,1))-AVERAGE(OFFSET($H$3,0,0,'Données projet'!$E$9+1,1))</f>
        <v>74.447287056432231</v>
      </c>
      <c r="T9" s="62">
        <f t="shared" si="34"/>
        <v>325.27549009125408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2.7766898902321886</v>
      </c>
      <c r="AK9" s="14">
        <f t="shared" si="35"/>
        <v>1.1361949561012803</v>
      </c>
      <c r="AL9" s="22">
        <f t="shared" si="4"/>
        <v>6.8149411073641248</v>
      </c>
      <c r="AM9" s="62">
        <f t="shared" si="5"/>
        <v>270.81494110736412</v>
      </c>
      <c r="AN9" s="62">
        <f ca="1">AVERAGE(OFFSET($AM$3,0,0,'Données projet'!$E$10+1,1))-AVERAGE(OFFSET($H$3,0,0,'Données projet'!$E$10+1,1))</f>
        <v>332.68760696564266</v>
      </c>
      <c r="AO9" s="62">
        <f t="shared" si="36"/>
        <v>231.36959598460686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2.6904761904761907</v>
      </c>
      <c r="BD9" s="13">
        <f>IF('Données projet'!$A$88&gt;35,BD8+BC9-BL8,IF(A9&lt;'Données projet'!$A$88,$BA$205^A9,IF(A9='Données projet'!$A$88,'Données projet'!$B$88,BD8+BC9-BL8)))</f>
        <v>16.142857142857142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8.98</v>
      </c>
      <c r="N10" s="14">
        <f>IF('Données projet'!$A$36&gt;35,N9+M10-V9,IF(A10&lt;'Données projet'!$A$36,$K$205^A10,IF(A10='Données projet'!$A$36,'Données projet'!$B$36,N9+M10-V9)))</f>
        <v>4.3411589165830478</v>
      </c>
      <c r="O10" s="14">
        <f>N10*VLOOKUP('Données projet'!$B$9,Paramètres!$A$1:$I$89,3,0)*VLOOKUP('Données projet'!$B$9,Paramètres!$A$1:$I$89,5,0)</f>
        <v>2.4854003029221268</v>
      </c>
      <c r="P10" s="14">
        <f t="shared" si="33"/>
        <v>1.0302064794137882</v>
      </c>
      <c r="Q10" s="22">
        <f t="shared" si="2"/>
        <v>6.1230151459017179</v>
      </c>
      <c r="R10" s="62">
        <f t="shared" si="0"/>
        <v>271.34523736812395</v>
      </c>
      <c r="S10" s="62">
        <f ca="1">AVERAGE(OFFSET($R$3,0,0,'Données projet'!$E$9+1,1))-AVERAGE(OFFSET($H$3,0,0,'Données projet'!$E$9+1,1))</f>
        <v>74.447287056432231</v>
      </c>
      <c r="T10" s="62">
        <f t="shared" si="34"/>
        <v>325.27549009125408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3.3472630510321921</v>
      </c>
      <c r="AK10" s="14">
        <f t="shared" si="35"/>
        <v>1.34019505338418</v>
      </c>
      <c r="AL10" s="22">
        <f t="shared" si="4"/>
        <v>8.1639895318585136</v>
      </c>
      <c r="AM10" s="62">
        <f t="shared" si="5"/>
        <v>273.38621175408076</v>
      </c>
      <c r="AN10" s="62">
        <f ca="1">AVERAGE(OFFSET($AM$3,0,0,'Données projet'!$E$10+1,1))-AVERAGE(OFFSET($H$3,0,0,'Données projet'!$E$10+1,1))</f>
        <v>332.68760696564266</v>
      </c>
      <c r="AO10" s="62">
        <f t="shared" si="36"/>
        <v>231.36959598460686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2.6904761904761907</v>
      </c>
      <c r="BD10" s="13">
        <f>IF('Données projet'!$A$88&gt;35,BD9+BC10-BL9,IF(A10&lt;'Données projet'!$A$88,$BA$205^A10,IF(A10='Données projet'!$A$88,'Données projet'!$B$88,BD9+BC10-BL9)))</f>
        <v>18.833333333333332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8.98</v>
      </c>
      <c r="N11" s="14">
        <f>IF('Données projet'!$A$36&gt;35,N10+M11-V10,IF(A11&lt;'Données projet'!$A$36,$K$205^A11,IF(A11='Données projet'!$A$36,'Données projet'!$B$36,N10+M11-V10)))</f>
        <v>5.3541706697343789</v>
      </c>
      <c r="O11" s="14">
        <f>N11*VLOOKUP('Données projet'!$B$9,Paramètres!$A$1:$I$89,3,0)*VLOOKUP('Données projet'!$B$9,Paramètres!$A$1:$I$89,5,0)</f>
        <v>3.0653697918363267</v>
      </c>
      <c r="P11" s="14">
        <f t="shared" si="33"/>
        <v>1.2399618736671676</v>
      </c>
      <c r="Q11" s="22">
        <f t="shared" si="2"/>
        <v>7.4984526507519211</v>
      </c>
      <c r="R11" s="62">
        <f t="shared" si="0"/>
        <v>273.94289709519637</v>
      </c>
      <c r="S11" s="62">
        <f ca="1">AVERAGE(OFFSET($R$3,0,0,'Données projet'!$E$9+1,1))-AVERAGE(OFFSET($H$3,0,0,'Données projet'!$E$9+1,1))</f>
        <v>74.447287056432231</v>
      </c>
      <c r="T11" s="62">
        <f t="shared" si="34"/>
        <v>325.27549009125408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4.0350814731667564</v>
      </c>
      <c r="AK11" s="14">
        <f t="shared" si="35"/>
        <v>1.5808227025391921</v>
      </c>
      <c r="AL11" s="22">
        <f t="shared" si="4"/>
        <v>9.7810331060211926</v>
      </c>
      <c r="AM11" s="62">
        <f t="shared" si="5"/>
        <v>276.22547755046565</v>
      </c>
      <c r="AN11" s="62">
        <f ca="1">AVERAGE(OFFSET($AM$3,0,0,'Données projet'!$E$10+1,1))-AVERAGE(OFFSET($H$3,0,0,'Données projet'!$E$10+1,1))</f>
        <v>332.68760696564266</v>
      </c>
      <c r="AO11" s="62">
        <f t="shared" si="36"/>
        <v>231.36959598460686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2.6904761904761907</v>
      </c>
      <c r="BD11" s="13">
        <f>IF('Données projet'!$A$88&gt;35,BD10+BC11-BL10,IF(A11&lt;'Données projet'!$A$88,$BA$205^A11,IF(A11='Données projet'!$A$88,'Données projet'!$B$88,BD10+BC11-BL10)))</f>
        <v>21.523809523809522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8.98</v>
      </c>
      <c r="N12" s="14">
        <f>IF('Données projet'!$A$36&gt;35,N11+M12-V11,IF(A12&lt;'Données projet'!$A$36,$K$205^A12,IF(A12='Données projet'!$A$36,'Données projet'!$B$36,N11+M12-V11)))</f>
        <v>6.6035692568490365</v>
      </c>
      <c r="O12" s="14">
        <f>N12*VLOOKUP('Données projet'!$B$9,Paramètres!$A$1:$I$89,3,0)*VLOOKUP('Données projet'!$B$9,Paramètres!$A$1:$I$89,5,0)</f>
        <v>3.7806754709312105</v>
      </c>
      <c r="P12" s="14">
        <f t="shared" si="33"/>
        <v>1.4924245565054783</v>
      </c>
      <c r="Q12" s="22">
        <f t="shared" si="2"/>
        <v>9.1839825477855648</v>
      </c>
      <c r="R12" s="62">
        <f t="shared" si="0"/>
        <v>276.85064921445223</v>
      </c>
      <c r="S12" s="62">
        <f ca="1">AVERAGE(OFFSET($R$3,0,0,'Données projet'!$E$9+1,1))-AVERAGE(OFFSET($H$3,0,0,'Données projet'!$E$9+1,1))</f>
        <v>74.447287056432231</v>
      </c>
      <c r="T12" s="62">
        <f t="shared" si="34"/>
        <v>325.27549009125408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4.8642375119197085</v>
      </c>
      <c r="AK12" s="14">
        <f t="shared" si="35"/>
        <v>1.8646542609995393</v>
      </c>
      <c r="AL12" s="22">
        <f t="shared" si="4"/>
        <v>11.719486504501022</v>
      </c>
      <c r="AM12" s="62">
        <f t="shared" si="5"/>
        <v>279.38615317116773</v>
      </c>
      <c r="AN12" s="62">
        <f ca="1">AVERAGE(OFFSET($AM$3,0,0,'Données projet'!$E$10+1,1))-AVERAGE(OFFSET($H$3,0,0,'Données projet'!$E$10+1,1))</f>
        <v>332.68760696564266</v>
      </c>
      <c r="AO12" s="62">
        <f t="shared" si="36"/>
        <v>231.36959598460686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2.6904761904761907</v>
      </c>
      <c r="BD12" s="13">
        <f>IF('Données projet'!$A$88&gt;35,BD11+BC12-BL11,IF(A12&lt;'Données projet'!$A$88,$BA$205^A12,IF(A12='Données projet'!$A$88,'Données projet'!$B$88,BD11+BC12-BL11)))</f>
        <v>24.214285714285712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8.98</v>
      </c>
      <c r="N13" s="14">
        <f>IF('Données projet'!$A$36&gt;35,N12+M13-V12,IF(A13&lt;'Données projet'!$A$36,$K$205^A13,IF(A13='Données projet'!$A$36,'Données projet'!$B$36,N12+M13-V12)))</f>
        <v>8.1445156719602831</v>
      </c>
      <c r="O13" s="14">
        <f>N13*VLOOKUP('Données projet'!$B$9,Paramètres!$A$1:$I$89,3,0)*VLOOKUP('Données projet'!$B$9,Paramètres!$A$1:$I$89,5,0)</f>
        <v>4.6628981125107014</v>
      </c>
      <c r="P13" s="14">
        <f t="shared" si="33"/>
        <v>1.7962899538784016</v>
      </c>
      <c r="Q13" s="22">
        <f t="shared" si="2"/>
        <v>11.249752548961022</v>
      </c>
      <c r="R13" s="62">
        <f t="shared" si="0"/>
        <v>280.13864143784986</v>
      </c>
      <c r="S13" s="62">
        <f ca="1">AVERAGE(OFFSET($R$3,0,0,'Données projet'!$E$9+1,1))-AVERAGE(OFFSET($H$3,0,0,'Données projet'!$E$9+1,1))</f>
        <v>74.447287056432231</v>
      </c>
      <c r="T13" s="62">
        <f t="shared" si="34"/>
        <v>325.27549009125408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5.8637741839194364</v>
      </c>
      <c r="AK13" s="14">
        <f t="shared" si="35"/>
        <v>2.1994468497187687</v>
      </c>
      <c r="AL13" s="22">
        <f t="shared" si="4"/>
        <v>14.043443300253207</v>
      </c>
      <c r="AM13" s="62">
        <f t="shared" si="5"/>
        <v>282.93233218914207</v>
      </c>
      <c r="AN13" s="62">
        <f ca="1">AVERAGE(OFFSET($AM$3,0,0,'Données projet'!$E$10+1,1))-AVERAGE(OFFSET($H$3,0,0,'Données projet'!$E$10+1,1))</f>
        <v>332.68760696564266</v>
      </c>
      <c r="AO13" s="62">
        <f t="shared" si="36"/>
        <v>231.36959598460686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2.6904761904761907</v>
      </c>
      <c r="BD13" s="13">
        <f>IF('Données projet'!$A$88&gt;35,BD12+BC13-BL12,IF(A13&lt;'Données projet'!$A$88,$BA$205^A13,IF(A13='Données projet'!$A$88,'Données projet'!$B$88,BD12+BC13-BL12)))</f>
        <v>26.904761904761902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8.98</v>
      </c>
      <c r="N14" s="14">
        <f>IF('Données projet'!$A$36&gt;35,N13+M14-V13,IF(A14&lt;'Données projet'!$A$36,$K$205^A14,IF(A14='Données projet'!$A$36,'Données projet'!$B$36,N13+M14-V13)))</f>
        <v>10.045042756537731</v>
      </c>
      <c r="O14" s="14">
        <f>N14*VLOOKUP('Données projet'!$B$9,Paramètres!$A$1:$I$89,3,0)*VLOOKUP('Données projet'!$B$9,Paramètres!$A$1:$I$89,5,0)</f>
        <v>5.7509878789729818</v>
      </c>
      <c r="P14" s="14">
        <f t="shared" si="33"/>
        <v>2.1620239256580653</v>
      </c>
      <c r="Q14" s="22">
        <f t="shared" si="2"/>
        <v>13.781828893065741</v>
      </c>
      <c r="R14" s="62">
        <f t="shared" si="0"/>
        <v>283.89294000417686</v>
      </c>
      <c r="S14" s="62">
        <f ca="1">AVERAGE(OFFSET($R$3,0,0,'Données projet'!$E$9+1,1))-AVERAGE(OFFSET($H$3,0,0,'Données projet'!$E$9+1,1))</f>
        <v>74.447287056432231</v>
      </c>
      <c r="T14" s="62">
        <f t="shared" si="34"/>
        <v>325.27549009125408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7.0687024627689707</v>
      </c>
      <c r="AK14" s="14">
        <f t="shared" si="35"/>
        <v>2.5943503554083325</v>
      </c>
      <c r="AL14" s="22">
        <f t="shared" si="4"/>
        <v>16.829816991658799</v>
      </c>
      <c r="AM14" s="62">
        <f t="shared" si="5"/>
        <v>286.94092810276993</v>
      </c>
      <c r="AN14" s="62">
        <f ca="1">AVERAGE(OFFSET($AM$3,0,0,'Données projet'!$E$10+1,1))-AVERAGE(OFFSET($H$3,0,0,'Données projet'!$E$10+1,1))</f>
        <v>332.68760696564266</v>
      </c>
      <c r="AO14" s="62">
        <f t="shared" si="36"/>
        <v>231.36959598460686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2.6904761904761907</v>
      </c>
      <c r="BD14" s="13">
        <f>IF('Données projet'!$A$88&gt;35,BD13+BC14-BL13,IF(A14&lt;'Données projet'!$A$88,$BA$205^A14,IF(A14='Données projet'!$A$88,'Données projet'!$B$88,BD13+BC14-BL13)))</f>
        <v>29.595238095238091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8.98</v>
      </c>
      <c r="N15" s="14">
        <f>IF('Données projet'!$A$36&gt;35,N14+M15-V14,IF(A15&lt;'Données projet'!$A$36,$K$205^A15,IF(A15='Données projet'!$A$36,'Données projet'!$B$36,N14+M15-V14)))</f>
        <v>12.389058851965483</v>
      </c>
      <c r="O15" s="14">
        <f>N15*VLOOKUP('Données projet'!$B$9,Paramètres!$A$1:$I$89,3,0)*VLOOKUP('Données projet'!$B$9,Paramètres!$A$1:$I$89,5,0)</f>
        <v>7.0929839739272795</v>
      </c>
      <c r="P15" s="14">
        <f t="shared" si="33"/>
        <v>2.6022232351884198</v>
      </c>
      <c r="Q15" s="22">
        <f t="shared" si="2"/>
        <v>16.885819222543173</v>
      </c>
      <c r="R15" s="62">
        <f t="shared" si="0"/>
        <v>288.21915255587646</v>
      </c>
      <c r="S15" s="62">
        <f ca="1">AVERAGE(OFFSET($R$3,0,0,'Données projet'!$E$9+1,1))-AVERAGE(OFFSET($H$3,0,0,'Données projet'!$E$9+1,1))</f>
        <v>74.447287056432231</v>
      </c>
      <c r="T15" s="62">
        <f t="shared" si="34"/>
        <v>325.27549009125408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8.521227615514638</v>
      </c>
      <c r="AK15" s="14">
        <f t="shared" si="35"/>
        <v>3.0601574970852128</v>
      </c>
      <c r="AL15" s="22">
        <f t="shared" si="4"/>
        <v>20.170912404444739</v>
      </c>
      <c r="AM15" s="62">
        <f t="shared" si="5"/>
        <v>291.50424573777804</v>
      </c>
      <c r="AN15" s="62">
        <f ca="1">AVERAGE(OFFSET($AM$3,0,0,'Données projet'!$E$10+1,1))-AVERAGE(OFFSET($H$3,0,0,'Données projet'!$E$10+1,1))</f>
        <v>332.68760696564266</v>
      </c>
      <c r="AO15" s="62">
        <f t="shared" si="36"/>
        <v>231.36959598460686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2.6904761904761907</v>
      </c>
      <c r="BD15" s="13">
        <f>IF('Données projet'!$A$88&gt;35,BD14+BC15-BL14,IF(A15&lt;'Données projet'!$A$88,$BA$205^A15,IF(A15='Données projet'!$A$88,'Données projet'!$B$88,BD14+BC15-BL14)))</f>
        <v>32.285714285714285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8.98</v>
      </c>
      <c r="N16" s="14">
        <f>IF('Données projet'!$A$36&gt;35,N15+M16-V15,IF(A16&lt;'Données projet'!$A$36,$K$205^A16,IF(A16='Données projet'!$A$36,'Données projet'!$B$36,N15+M16-V15)))</f>
        <v>15.280052355931229</v>
      </c>
      <c r="O16" s="14">
        <f>N16*VLOOKUP('Données projet'!$B$9,Paramètres!$A$1:$I$89,3,0)*VLOOKUP('Données projet'!$B$9,Paramètres!$A$1:$I$89,5,0)</f>
        <v>8.7481355748177467</v>
      </c>
      <c r="P16" s="14">
        <f t="shared" si="33"/>
        <v>3.1320494123086027</v>
      </c>
      <c r="Q16" s="22">
        <f t="shared" si="2"/>
        <v>20.691322185911719</v>
      </c>
      <c r="R16" s="62">
        <f t="shared" si="0"/>
        <v>293.24687774146724</v>
      </c>
      <c r="S16" s="62">
        <f ca="1">AVERAGE(OFFSET($R$3,0,0,'Données projet'!$E$9+1,1))-AVERAGE(OFFSET($H$3,0,0,'Données projet'!$E$9+1,1))</f>
        <v>74.447287056432231</v>
      </c>
      <c r="T16" s="62">
        <f t="shared" si="34"/>
        <v>325.27549009125408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10.272227535089344</v>
      </c>
      <c r="AK16" s="14">
        <f t="shared" si="35"/>
        <v>3.6095987912522753</v>
      </c>
      <c r="AL16" s="22">
        <f t="shared" si="4"/>
        <v>24.177514185044988</v>
      </c>
      <c r="AM16" s="62">
        <f t="shared" si="5"/>
        <v>296.73306974060051</v>
      </c>
      <c r="AN16" s="62">
        <f ca="1">AVERAGE(OFFSET($AM$3,0,0,'Données projet'!$E$10+1,1))-AVERAGE(OFFSET($H$3,0,0,'Données projet'!$E$10+1,1))</f>
        <v>332.68760696564266</v>
      </c>
      <c r="AO16" s="62">
        <f t="shared" si="36"/>
        <v>231.36959598460686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2.6904761904761907</v>
      </c>
      <c r="BD16" s="13">
        <f>IF('Données projet'!$A$88&gt;35,BD15+BC16-BL15,IF(A16&lt;'Données projet'!$A$88,$BA$205^A16,IF(A16='Données projet'!$A$88,'Données projet'!$B$88,BD15+BC16-BL15)))</f>
        <v>34.976190476190474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8.98</v>
      </c>
      <c r="N17" s="14">
        <f>IF('Données projet'!$A$36&gt;35,N16+M17-V16,IF(A17&lt;'Données projet'!$A$36,$K$205^A17,IF(A17='Données projet'!$A$36,'Données projet'!$B$36,N16+M17-V16)))</f>
        <v>18.845660739028506</v>
      </c>
      <c r="O17" s="14">
        <f>N17*VLOOKUP('Données projet'!$B$9,Paramètres!$A$1:$I$89,3,0)*VLOOKUP('Données projet'!$B$9,Paramètres!$A$1:$I$89,5,0)</f>
        <v>10.789517686308601</v>
      </c>
      <c r="P17" s="14">
        <f t="shared" si="33"/>
        <v>3.7697509531431015</v>
      </c>
      <c r="Q17" s="22">
        <f t="shared" si="2"/>
        <v>25.357392880378381</v>
      </c>
      <c r="R17" s="62">
        <f t="shared" si="0"/>
        <v>299.13517065815614</v>
      </c>
      <c r="S17" s="62">
        <f ca="1">AVERAGE(OFFSET($R$3,0,0,'Données projet'!$E$9+1,1))-AVERAGE(OFFSET($H$3,0,0,'Données projet'!$E$9+1,1))</f>
        <v>74.447287056432231</v>
      </c>
      <c r="T17" s="62">
        <f t="shared" si="34"/>
        <v>325.27549009125408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12.383034850580612</v>
      </c>
      <c r="AK17" s="14">
        <f t="shared" si="35"/>
        <v>4.2576904771143838</v>
      </c>
      <c r="AL17" s="22">
        <f t="shared" si="4"/>
        <v>28.982596612402116</v>
      </c>
      <c r="AM17" s="62">
        <f t="shared" si="5"/>
        <v>302.76037439017989</v>
      </c>
      <c r="AN17" s="62">
        <f ca="1">AVERAGE(OFFSET($AM$3,0,0,'Données projet'!$E$10+1,1))-AVERAGE(OFFSET($H$3,0,0,'Données projet'!$E$10+1,1))</f>
        <v>332.68760696564266</v>
      </c>
      <c r="AO17" s="62">
        <f t="shared" si="36"/>
        <v>231.36959598460686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2.6904761904761907</v>
      </c>
      <c r="BD17" s="13">
        <f>IF('Données projet'!$A$88&gt;35,BD16+BC17-BL16,IF(A17&lt;'Données projet'!$A$88,$BA$205^A17,IF(A17='Données projet'!$A$88,'Données projet'!$B$88,BD16+BC17-BL16)))</f>
        <v>37.666666666666664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8.98</v>
      </c>
      <c r="N18" s="14">
        <f>IF('Données projet'!$A$36&gt;35,N17+M18-V17,IF(A18&lt;'Données projet'!$A$36,$K$205^A18,IF(A18='Données projet'!$A$36,'Données projet'!$B$36,N17+M18-V17)))</f>
        <v>23.243305743824827</v>
      </c>
      <c r="O18" s="14">
        <f>N18*VLOOKUP('Données projet'!$B$9,Paramètres!$A$1:$I$89,3,0)*VLOOKUP('Données projet'!$B$9,Paramètres!$A$1:$I$89,5,0)</f>
        <v>13.307257404454589</v>
      </c>
      <c r="P18" s="14">
        <f t="shared" si="33"/>
        <v>4.5372918424835786</v>
      </c>
      <c r="Q18" s="22">
        <f t="shared" si="2"/>
        <v>31.079256605083973</v>
      </c>
      <c r="R18" s="62">
        <f t="shared" si="0"/>
        <v>306.07925660508397</v>
      </c>
      <c r="S18" s="62">
        <f ca="1">AVERAGE(OFFSET($R$3,0,0,'Données projet'!$E$9+1,1))-AVERAGE(OFFSET($H$3,0,0,'Données projet'!$E$9+1,1))</f>
        <v>74.447287056432231</v>
      </c>
      <c r="T18" s="62">
        <f t="shared" si="34"/>
        <v>325.27549009125408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14.927585237660953</v>
      </c>
      <c r="AK18" s="14">
        <f t="shared" si="35"/>
        <v>5.0221449106318534</v>
      </c>
      <c r="AL18" s="22">
        <f t="shared" si="4"/>
        <v>34.745780008276633</v>
      </c>
      <c r="AM18" s="62">
        <f t="shared" si="5"/>
        <v>309.74578000827665</v>
      </c>
      <c r="AN18" s="62">
        <f ca="1">AVERAGE(OFFSET($AM$3,0,0,'Données projet'!$E$10+1,1))-AVERAGE(OFFSET($H$3,0,0,'Données projet'!$E$10+1,1))</f>
        <v>332.68760696564266</v>
      </c>
      <c r="AO18" s="62">
        <f t="shared" si="36"/>
        <v>231.36959598460686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2.6904761904761907</v>
      </c>
      <c r="BD18" s="13">
        <f>IF('Données projet'!$A$88&gt;35,BD17+BC18-BL17,IF(A18&lt;'Données projet'!$A$88,$BA$205^A18,IF(A18='Données projet'!$A$88,'Données projet'!$B$88,BD17+BC18-BL17)))</f>
        <v>40.357142857142854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8.98</v>
      </c>
      <c r="N19" s="14">
        <f>IF('Données projet'!$A$36&gt;35,N18+M19-V18,IF(A19&lt;'Données projet'!$A$36,$K$205^A19,IF(A19='Données projet'!$A$36,'Données projet'!$B$36,N18+M19-V18)))</f>
        <v>28.667143560643886</v>
      </c>
      <c r="O19" s="14">
        <f>N19*VLOOKUP('Données projet'!$B$9,Paramètres!$A$1:$I$89,3,0)*VLOOKUP('Données projet'!$B$9,Paramètres!$A$1:$I$89,5,0)</f>
        <v>16.412513031339838</v>
      </c>
      <c r="P19" s="14">
        <f t="shared" si="33"/>
        <v>5.4611080465947586</v>
      </c>
      <c r="Q19" s="22">
        <f t="shared" si="2"/>
        <v>38.096556710736088</v>
      </c>
      <c r="R19" s="62">
        <f t="shared" si="0"/>
        <v>314.31877893295831</v>
      </c>
      <c r="S19" s="62">
        <f ca="1">AVERAGE(OFFSET($R$3,0,0,'Données projet'!$E$9+1,1))-AVERAGE(OFFSET($H$3,0,0,'Données projet'!$E$9+1,1))</f>
        <v>74.447287056432231</v>
      </c>
      <c r="T19" s="62">
        <f t="shared" si="34"/>
        <v>325.27549009125408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17.995007178485412</v>
      </c>
      <c r="AK19" s="14">
        <f t="shared" si="35"/>
        <v>5.9238546434872337</v>
      </c>
      <c r="AL19" s="22">
        <f t="shared" si="4"/>
        <v>41.658684339935689</v>
      </c>
      <c r="AM19" s="62">
        <f t="shared" si="5"/>
        <v>317.88090656215792</v>
      </c>
      <c r="AN19" s="62">
        <f ca="1">AVERAGE(OFFSET($AM$3,0,0,'Données projet'!$E$10+1,1))-AVERAGE(OFFSET($H$3,0,0,'Données projet'!$E$10+1,1))</f>
        <v>332.68760696564266</v>
      </c>
      <c r="AO19" s="62">
        <f t="shared" si="36"/>
        <v>231.36959598460686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2.6904761904761907</v>
      </c>
      <c r="BD19" s="13">
        <f>IF('Données projet'!$A$88&gt;35,BD18+BC19-BL18,IF(A19&lt;'Données projet'!$A$88,$BA$205^A19,IF(A19='Données projet'!$A$88,'Données projet'!$B$88,BD18+BC19-BL18)))</f>
        <v>43.047619047619044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8.98</v>
      </c>
      <c r="N20" s="14">
        <f>IF('Données projet'!$A$36&gt;35,N19+M20-V19,IF(A20&lt;'Données projet'!$A$36,$K$205^A20,IF(A20='Données projet'!$A$36,'Données projet'!$B$36,N19+M20-V19)))</f>
        <v>35.356636830580761</v>
      </c>
      <c r="O20" s="14">
        <f>N20*VLOOKUP('Données projet'!$B$9,Paramètres!$A$1:$I$89,3,0)*VLOOKUP('Données projet'!$B$9,Paramètres!$A$1:$I$89,5,0)</f>
        <v>20.242381718244097</v>
      </c>
      <c r="P20" s="14">
        <f t="shared" si="33"/>
        <v>6.5730180318878029</v>
      </c>
      <c r="Q20" s="22">
        <f t="shared" si="2"/>
        <v>46.703487898146385</v>
      </c>
      <c r="R20" s="62">
        <f t="shared" si="0"/>
        <v>324.14793234259082</v>
      </c>
      <c r="S20" s="62">
        <f ca="1">AVERAGE(OFFSET($R$3,0,0,'Données projet'!$E$9+1,1))-AVERAGE(OFFSET($H$3,0,0,'Données projet'!$E$9+1,1))</f>
        <v>74.447287056432231</v>
      </c>
      <c r="T20" s="62">
        <f t="shared" si="34"/>
        <v>325.27549009125408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21.692743883101215</v>
      </c>
      <c r="AK20" s="14">
        <f t="shared" si="35"/>
        <v>6.98746341685115</v>
      </c>
      <c r="AL20" s="22">
        <f t="shared" si="4"/>
        <v>49.951361047417038</v>
      </c>
      <c r="AM20" s="62">
        <f t="shared" si="5"/>
        <v>327.39580549186149</v>
      </c>
      <c r="AN20" s="62">
        <f ca="1">AVERAGE(OFFSET($AM$3,0,0,'Données projet'!$E$10+1,1))-AVERAGE(OFFSET($H$3,0,0,'Données projet'!$E$10+1,1))</f>
        <v>332.68760696564266</v>
      </c>
      <c r="AO20" s="62">
        <f t="shared" si="36"/>
        <v>231.36959598460686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2.6904761904761907</v>
      </c>
      <c r="BD20" s="13">
        <f>IF('Données projet'!$A$88&gt;35,BD19+BC20-BL19,IF(A20&lt;'Données projet'!$A$88,$BA$205^A20,IF(A20='Données projet'!$A$88,'Données projet'!$B$88,BD19+BC20-BL19)))</f>
        <v>45.738095238095234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8.98</v>
      </c>
      <c r="N21" s="14">
        <f>IF('Données projet'!$A$36&gt;35,N20+M21-V20,IF(A21&lt;'Données projet'!$A$36,$K$205^A21,IF(A21='Données projet'!$A$36,'Données projet'!$B$36,N20+M21-V20)))</f>
        <v>43.607126930001733</v>
      </c>
      <c r="O21" s="14">
        <f>N21*VLOOKUP('Données projet'!$B$9,Paramètres!$A$1:$I$89,3,0)*VLOOKUP('Données projet'!$B$9,Paramètres!$A$1:$I$89,5,0)</f>
        <v>24.965952309964592</v>
      </c>
      <c r="P21" s="14">
        <f t="shared" si="33"/>
        <v>7.911318669928562</v>
      </c>
      <c r="Q21" s="22">
        <f t="shared" si="2"/>
        <v>57.261246956647234</v>
      </c>
      <c r="R21" s="62">
        <f t="shared" si="0"/>
        <v>335.92791362331394</v>
      </c>
      <c r="S21" s="62">
        <f ca="1">AVERAGE(OFFSET($R$3,0,0,'Données projet'!$E$9+1,1))-AVERAGE(OFFSET($H$3,0,0,'Données projet'!$E$9+1,1))</f>
        <v>74.447287056432231</v>
      </c>
      <c r="T21" s="62">
        <f t="shared" si="34"/>
        <v>325.27549009125408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26.150316724543362</v>
      </c>
      <c r="AK21" s="14">
        <f t="shared" si="35"/>
        <v>8.2420396752158016</v>
      </c>
      <c r="AL21" s="22">
        <f t="shared" si="4"/>
        <v>59.900020729580547</v>
      </c>
      <c r="AM21" s="62">
        <f t="shared" si="5"/>
        <v>338.56668739624723</v>
      </c>
      <c r="AN21" s="62">
        <f ca="1">AVERAGE(OFFSET($AM$3,0,0,'Données projet'!$E$10+1,1))-AVERAGE(OFFSET($H$3,0,0,'Données projet'!$E$10+1,1))</f>
        <v>332.68760696564266</v>
      </c>
      <c r="AO21" s="62">
        <f t="shared" si="36"/>
        <v>231.36959598460686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2.6904761904761907</v>
      </c>
      <c r="BD21" s="13">
        <f>IF('Données projet'!$A$88&gt;35,BD20+BC21-BL20,IF(A21&lt;'Données projet'!$A$88,$BA$205^A21,IF(A21='Données projet'!$A$88,'Données projet'!$B$88,BD20+BC21-BL20)))</f>
        <v>48.428571428571423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8.98</v>
      </c>
      <c r="N22" s="14">
        <f>IF('Données projet'!$A$36&gt;35,N21+M22-V21,IF(A22&lt;'Données projet'!$A$36,$K$205^A22,IF(A22='Données projet'!$A$36,'Données projet'!$B$36,N21+M22-V21)))</f>
        <v>53.782873303282088</v>
      </c>
      <c r="O22" s="14">
        <f>N22*VLOOKUP('Données projet'!$B$9,Paramètres!$A$1:$I$89,3,0)*VLOOKUP('Données projet'!$B$9,Paramètres!$A$1:$I$89,5,0)</f>
        <v>30.79177062359506</v>
      </c>
      <c r="P22" s="14">
        <f t="shared" si="33"/>
        <v>9.5221042744019933</v>
      </c>
      <c r="Q22" s="22">
        <f t="shared" si="2"/>
        <v>70.213332114011521</v>
      </c>
      <c r="R22" s="62">
        <f t="shared" si="0"/>
        <v>350.10222100290036</v>
      </c>
      <c r="S22" s="62">
        <f ca="1">AVERAGE(OFFSET($R$3,0,0,'Données projet'!$E$9+1,1))-AVERAGE(OFFSET($H$3,0,0,'Données projet'!$E$9+1,1))</f>
        <v>74.447287056432231</v>
      </c>
      <c r="T22" s="62">
        <f t="shared" si="34"/>
        <v>325.27549009125408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31.52386201022027</v>
      </c>
      <c r="AK22" s="14">
        <f t="shared" si="35"/>
        <v>9.7218710074397983</v>
      </c>
      <c r="AL22" s="22">
        <f t="shared" si="4"/>
        <v>71.836318339091292</v>
      </c>
      <c r="AM22" s="62">
        <f t="shared" si="5"/>
        <v>351.72520722798015</v>
      </c>
      <c r="AN22" s="62">
        <f ca="1">AVERAGE(OFFSET($AM$3,0,0,'Données projet'!$E$10+1,1))-AVERAGE(OFFSET($H$3,0,0,'Données projet'!$E$10+1,1))</f>
        <v>332.68760696564266</v>
      </c>
      <c r="AO22" s="62">
        <f t="shared" si="36"/>
        <v>231.36959598460686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2.6904761904761907</v>
      </c>
      <c r="BD22" s="13">
        <f>IF('Données projet'!$A$88&gt;35,BD21+BC22-BL21,IF(A22&lt;'Données projet'!$A$88,$BA$205^A22,IF(A22='Données projet'!$A$88,'Données projet'!$B$88,BD21+BC22-BL21)))</f>
        <v>51.119047619047613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8.98</v>
      </c>
      <c r="N23" s="14">
        <f>IF('Données projet'!$A$36&gt;35,N22+M23-V22,IF(A23&lt;'Données projet'!$A$36,$K$205^A23,IF(A23='Données projet'!$A$36,'Données projet'!$B$36,N22+M23-V22)))</f>
        <v>66.333135530806658</v>
      </c>
      <c r="O23" s="14">
        <f>N23*VLOOKUP('Données projet'!$B$9,Paramètres!$A$1:$I$89,3,0)*VLOOKUP('Données projet'!$B$9,Paramètres!$A$1:$I$89,5,0)</f>
        <v>37.977046754097429</v>
      </c>
      <c r="P23" s="14">
        <f t="shared" si="33"/>
        <v>11.460854200858972</v>
      </c>
      <c r="Q23" s="22">
        <f t="shared" si="2"/>
        <v>86.104344163215728</v>
      </c>
      <c r="R23" s="62">
        <f t="shared" si="0"/>
        <v>367.21545527432687</v>
      </c>
      <c r="S23" s="62">
        <f ca="1">AVERAGE(OFFSET($R$3,0,0,'Données projet'!$E$9+1,1))-AVERAGE(OFFSET($H$3,0,0,'Données projet'!$E$9+1,1))</f>
        <v>74.447287056432231</v>
      </c>
      <c r="T23" s="62">
        <f t="shared" si="34"/>
        <v>325.27549009125408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38.001600000000003</v>
      </c>
      <c r="AK23" s="14">
        <f t="shared" si="35"/>
        <v>11.467401227090512</v>
      </c>
      <c r="AL23" s="22">
        <f t="shared" si="4"/>
        <v>86.158510470515978</v>
      </c>
      <c r="AM23" s="62">
        <f t="shared" si="5"/>
        <v>367.26962158162712</v>
      </c>
      <c r="AN23" s="62">
        <f ca="1">AVERAGE(OFFSET($AM$3,0,0,'Données projet'!$E$10+1,1))-AVERAGE(OFFSET($H$3,0,0,'Données projet'!$E$10+1,1))</f>
        <v>332.68760696564266</v>
      </c>
      <c r="AO23" s="62">
        <f t="shared" si="36"/>
        <v>231.36959598460686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2.6904761904761907</v>
      </c>
      <c r="BD23" s="13">
        <f>IF('Données projet'!$A$88&gt;35,BD22+BC23-BL22,IF(A23&lt;'Données projet'!$A$88,$BA$205^A23,IF(A23='Données projet'!$A$88,'Données projet'!$B$88,BD22+BC23-BL22)))</f>
        <v>53.809523809523803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8.98</v>
      </c>
      <c r="N24" s="14">
        <f>IF('Données projet'!$A$36&gt;35,N23+M24-V23,IF(A24&lt;'Données projet'!$A$36,$K$205^A24,IF(A24='Données projet'!$A$36,'Données projet'!$B$36,N23+M24-V23)))</f>
        <v>81.812008156132677</v>
      </c>
      <c r="O24" s="14">
        <f>N24*VLOOKUP('Données projet'!$B$9,Paramètres!$A$1:$I$89,3,0)*VLOOKUP('Données projet'!$B$9,Paramètres!$A$1:$I$89,5,0)</f>
        <v>46.839010909549081</v>
      </c>
      <c r="P24" s="14">
        <f t="shared" si="33"/>
        <v>13.79434369002389</v>
      </c>
      <c r="Q24" s="22">
        <f t="shared" si="2"/>
        <v>105.60309259425624</v>
      </c>
      <c r="R24" s="62">
        <f t="shared" si="0"/>
        <v>387.93642592758954</v>
      </c>
      <c r="S24" s="62">
        <f ca="1">AVERAGE(OFFSET($R$3,0,0,'Données projet'!$E$9+1,1))-AVERAGE(OFFSET($H$3,0,0,'Données projet'!$E$9+1,1))</f>
        <v>74.447287056432231</v>
      </c>
      <c r="T24" s="62">
        <f t="shared" si="34"/>
        <v>325.27549009125408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43.068480000000001</v>
      </c>
      <c r="AK24" s="14">
        <f t="shared" si="35"/>
        <v>12.808416415102187</v>
      </c>
      <c r="AL24" s="22">
        <f t="shared" si="4"/>
        <v>97.318927922969635</v>
      </c>
      <c r="AM24" s="62">
        <f t="shared" si="5"/>
        <v>379.65226125630295</v>
      </c>
      <c r="AN24" s="62">
        <f ca="1">AVERAGE(OFFSET($AM$3,0,0,'Données projet'!$E$10+1,1))-AVERAGE(OFFSET($H$3,0,0,'Données projet'!$E$10+1,1))</f>
        <v>332.68760696564266</v>
      </c>
      <c r="AO24" s="62">
        <f t="shared" si="36"/>
        <v>231.36959598460686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2.6904761904761907</v>
      </c>
      <c r="BD24" s="13">
        <f>IF('Données projet'!$A$88&gt;35,BD23+BC24-BL23,IF(A24&lt;'Données projet'!$A$88,$BA$205^A24,IF(A24='Données projet'!$A$88,'Données projet'!$B$88,BD23+BC24-BL23)))</f>
        <v>56.499999999999993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8.98</v>
      </c>
      <c r="N25" s="14">
        <f>IF('Données projet'!$A$36&gt;35,N24+M25-V24,IF(A25&lt;'Données projet'!$A$36,$K$205^A25,IF(A25='Données projet'!$A$36,'Données projet'!$B$36,N24+M25-V24)))</f>
        <v>100.90288398067115</v>
      </c>
      <c r="O25" s="14">
        <f>N25*VLOOKUP('Données projet'!$B$9,Paramètres!$A$1:$I$89,3,0)*VLOOKUP('Données projet'!$B$9,Paramètres!$A$1:$I$89,5,0)</f>
        <v>57.768919136613846</v>
      </c>
      <c r="P25" s="14">
        <f t="shared" si="33"/>
        <v>16.602943768732388</v>
      </c>
      <c r="Q25" s="22">
        <f t="shared" si="2"/>
        <v>129.53099456014468</v>
      </c>
      <c r="R25" s="62">
        <f t="shared" si="0"/>
        <v>413.08655011570022</v>
      </c>
      <c r="S25" s="62">
        <f ca="1">AVERAGE(OFFSET($R$3,0,0,'Données projet'!$E$9+1,1))-AVERAGE(OFFSET($H$3,0,0,'Données projet'!$E$9+1,1))</f>
        <v>74.447287056432231</v>
      </c>
      <c r="T25" s="62">
        <f t="shared" si="34"/>
        <v>325.27549009125408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48.135359999999999</v>
      </c>
      <c r="AK25" s="14">
        <f t="shared" si="35"/>
        <v>14.131148275361113</v>
      </c>
      <c r="AL25" s="22">
        <f t="shared" si="4"/>
        <v>108.4475019129206</v>
      </c>
      <c r="AM25" s="62">
        <f t="shared" si="5"/>
        <v>392.00305746847613</v>
      </c>
      <c r="AN25" s="62">
        <f ca="1">AVERAGE(OFFSET($AM$3,0,0,'Données projet'!$E$10+1,1))-AVERAGE(OFFSET($H$3,0,0,'Données projet'!$E$10+1,1))</f>
        <v>332.68760696564266</v>
      </c>
      <c r="AO25" s="62">
        <f t="shared" si="36"/>
        <v>231.36959598460686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2.6904761904761907</v>
      </c>
      <c r="BD25" s="13">
        <f>IF('Données projet'!$A$88&gt;35,BD24+BC25-BL24,IF(A25&lt;'Données projet'!$A$88,$BA$205^A25,IF(A25='Données projet'!$A$88,'Données projet'!$B$88,BD24+BC25-BL24)))</f>
        <v>59.190476190476183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8.98</v>
      </c>
      <c r="N26" s="14">
        <f>IF('Données projet'!$A$36&gt;35,N25+M26-V25,IF(A26&lt;'Données projet'!$A$36,$K$205^A26,IF(A26='Données projet'!$A$36,'Données projet'!$B$36,N25+M26-V25)))</f>
        <v>124.44862588125551</v>
      </c>
      <c r="O26" s="14">
        <f>N26*VLOOKUP('Données projet'!$B$9,Paramètres!$A$1:$I$89,3,0)*VLOOKUP('Données projet'!$B$9,Paramètres!$A$1:$I$89,5,0)</f>
        <v>71.24932728953641</v>
      </c>
      <c r="P26" s="14">
        <f t="shared" si="33"/>
        <v>19.983389422654902</v>
      </c>
      <c r="Q26" s="22">
        <f t="shared" si="2"/>
        <v>158.89698160706655</v>
      </c>
      <c r="R26" s="62">
        <f t="shared" si="0"/>
        <v>443.67475938484432</v>
      </c>
      <c r="S26" s="62">
        <f ca="1">AVERAGE(OFFSET($R$3,0,0,'Données projet'!$E$9+1,1))-AVERAGE(OFFSET($H$3,0,0,'Données projet'!$E$9+1,1))</f>
        <v>74.447287056432231</v>
      </c>
      <c r="T26" s="62">
        <f t="shared" si="34"/>
        <v>325.27549009125408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53.202240000000003</v>
      </c>
      <c r="AK26" s="14">
        <f t="shared" si="35"/>
        <v>15.437740642425908</v>
      </c>
      <c r="AL26" s="22">
        <f t="shared" si="4"/>
        <v>119.54796628555846</v>
      </c>
      <c r="AM26" s="62">
        <f t="shared" si="5"/>
        <v>404.32574406333623</v>
      </c>
      <c r="AN26" s="62">
        <f ca="1">AVERAGE(OFFSET($AM$3,0,0,'Données projet'!$E$10+1,1))-AVERAGE(OFFSET($H$3,0,0,'Données projet'!$E$10+1,1))</f>
        <v>332.68760696564266</v>
      </c>
      <c r="AO26" s="62">
        <f t="shared" si="36"/>
        <v>231.36959598460686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2.6904761904761907</v>
      </c>
      <c r="BD26" s="13">
        <f>IF('Données projet'!$A$88&gt;35,BD25+BC26-BL25,IF(A26&lt;'Données projet'!$A$88,$BA$205^A26,IF(A26='Données projet'!$A$88,'Données projet'!$B$88,BD25+BC26-BL25)))</f>
        <v>61.880952380952372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8.98</v>
      </c>
      <c r="N27" s="14">
        <f>IF('Données projet'!$A$36&gt;35,N26+M27-V26,IF(A27&lt;'Données projet'!$A$36,$K$205^A27,IF(A27='Données projet'!$A$36,'Données projet'!$B$36,N26+M27-V26)))</f>
        <v>153.48877923746426</v>
      </c>
      <c r="O27" s="14">
        <f>N27*VLOOKUP('Données projet'!$B$9,Paramètres!$A$1:$I$89,3,0)*VLOOKUP('Données projet'!$B$9,Paramètres!$A$1:$I$89,5,0)</f>
        <v>87.875395889033044</v>
      </c>
      <c r="P27" s="14">
        <f t="shared" si="33"/>
        <v>24.052111383375756</v>
      </c>
      <c r="Q27" s="22">
        <f t="shared" si="2"/>
        <v>194.94040849944534</v>
      </c>
      <c r="R27" s="62">
        <f t="shared" si="0"/>
        <v>480.94040849944531</v>
      </c>
      <c r="S27" s="62">
        <f ca="1">AVERAGE(OFFSET($R$3,0,0,'Données projet'!$E$9+1,1))-AVERAGE(OFFSET($H$3,0,0,'Données projet'!$E$9+1,1))</f>
        <v>74.447287056432231</v>
      </c>
      <c r="T27" s="62">
        <f t="shared" si="34"/>
        <v>325.27549009125408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58.269120000000008</v>
      </c>
      <c r="AK27" s="14">
        <f t="shared" si="35"/>
        <v>16.729905486873804</v>
      </c>
      <c r="AL27" s="22">
        <f t="shared" si="4"/>
        <v>130.62330272297189</v>
      </c>
      <c r="AM27" s="62">
        <f t="shared" si="5"/>
        <v>416.62330272297186</v>
      </c>
      <c r="AN27" s="62">
        <f ca="1">AVERAGE(OFFSET($AM$3,0,0,'Données projet'!$E$10+1,1))-AVERAGE(OFFSET($H$3,0,0,'Données projet'!$E$10+1,1))</f>
        <v>332.68760696564266</v>
      </c>
      <c r="AO27" s="62">
        <f t="shared" si="36"/>
        <v>231.36959598460686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2.6904761904761907</v>
      </c>
      <c r="BD27" s="13">
        <f>IF('Données projet'!$A$88&gt;35,BD26+BC27-BL26,IF(A27&lt;'Données projet'!$A$88,$BA$205^A27,IF(A27='Données projet'!$A$88,'Données projet'!$B$88,BD26+BC27-BL26)))</f>
        <v>64.571428571428569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8.98</v>
      </c>
      <c r="N28" s="14">
        <f>IF('Données projet'!$A$36&gt;35,N27+M28-V27,IF(A28&lt;'Données projet'!$A$36,$K$205^A28,IF(A28='Données projet'!$A$36,'Données projet'!$B$36,N27+M28-V27)))</f>
        <v>189.3054678987458</v>
      </c>
      <c r="O28" s="14">
        <f>N28*VLOOKUP('Données projet'!$B$9,Paramètres!$A$1:$I$89,3,0)*VLOOKUP('Données projet'!$B$9,Paramètres!$A$1:$I$89,5,0)</f>
        <v>108.38116648138995</v>
      </c>
      <c r="P28" s="14">
        <f t="shared" si="33"/>
        <v>28.949246284640342</v>
      </c>
      <c r="Q28" s="22">
        <f t="shared" si="2"/>
        <v>239.18380223416941</v>
      </c>
      <c r="R28" s="62">
        <f t="shared" si="0"/>
        <v>526.40602445639161</v>
      </c>
      <c r="S28" s="62">
        <f ca="1">AVERAGE(OFFSET($R$3,0,0,'Données projet'!$E$9+1,1))-AVERAGE(OFFSET($H$3,0,0,'Données projet'!$E$9+1,1))</f>
        <v>74.447287056432231</v>
      </c>
      <c r="T28" s="62">
        <f t="shared" si="34"/>
        <v>325.27549009125408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63.335999999999991</v>
      </c>
      <c r="AK28" s="14">
        <f t="shared" si="35"/>
        <v>18.009040022946227</v>
      </c>
      <c r="AL28" s="22">
        <f t="shared" si="4"/>
        <v>141.67594470663133</v>
      </c>
      <c r="AM28" s="62">
        <f t="shared" si="5"/>
        <v>428.89816692885358</v>
      </c>
      <c r="AN28" s="62">
        <f ca="1">AVERAGE(OFFSET($AM$3,0,0,'Données projet'!$E$10+1,1))-AVERAGE(OFFSET($H$3,0,0,'Données projet'!$E$10+1,1))</f>
        <v>332.68760696564266</v>
      </c>
      <c r="AO28" s="62">
        <f t="shared" si="36"/>
        <v>231.36959598460686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2.6904761904761907</v>
      </c>
      <c r="BD28" s="13">
        <f>IF('Données projet'!$A$88&gt;35,BD27+BC28-BL27,IF(A28&lt;'Données projet'!$A$88,$BA$205^A28,IF(A28='Données projet'!$A$88,'Données projet'!$B$88,BD27+BC28-BL27)))</f>
        <v>67.261904761904759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>
        <f>VLOOKUP(A29,'Données projet'!$A$35:$I$55,2,0)</f>
        <v>233.48</v>
      </c>
      <c r="L29" s="13">
        <f>VLOOKUP(A29,'Données projet'!$A$35:$I$55,9,0)</f>
        <v>8.98</v>
      </c>
      <c r="M29" s="13">
        <f t="array" ref="M29">INDEX(L:L,MIN(IF(ISNUMBER(L29:L225),ROW(L29:L225),"")))</f>
        <v>8.98</v>
      </c>
      <c r="N29" s="14">
        <f>IF('Données projet'!$A$36&gt;35,N28+M29-V28,IF(A29&lt;'Données projet'!$A$36,$K$205^A29,IF(A29='Données projet'!$A$36,'Données projet'!$B$36,N28+M29-V28)))</f>
        <v>233.48</v>
      </c>
      <c r="O29" s="14">
        <f>N29*VLOOKUP('Données projet'!$B$9,Paramètres!$A$1:$I$89,3,0)*VLOOKUP('Données projet'!$B$9,Paramètres!$A$1:$I$89,5,0)</f>
        <v>133.67196959999998</v>
      </c>
      <c r="P29" s="14">
        <f t="shared" si="33"/>
        <v>34.843463307259171</v>
      </c>
      <c r="Q29" s="22">
        <f t="shared" si="2"/>
        <v>293.49771231347631</v>
      </c>
      <c r="R29" s="62">
        <f t="shared" si="0"/>
        <v>581.94215675792077</v>
      </c>
      <c r="S29" s="62">
        <f ca="1">AVERAGE(OFFSET($R$3,0,0,'Données projet'!$E$9+1,1))-AVERAGE(OFFSET($H$3,0,0,'Données projet'!$E$9+1,1))</f>
        <v>74.447287056432231</v>
      </c>
      <c r="T29" s="62">
        <f t="shared" si="34"/>
        <v>325.27549009125408</v>
      </c>
      <c r="U29" s="16">
        <f>IF(ISNA(VLOOKUP(A29,'Données projet'!$A$35:$I$55,3,0)),0,VLOOKUP(A29,'Données projet'!$A$35:$I$55,3,0))</f>
        <v>1</v>
      </c>
      <c r="V29" s="16">
        <f>IF(ISNA(VLOOKUP(A29,'Données projet'!$A$35:$I$55,4,0)),0,VLOOKUP(A29,'Données projet'!$A$35:$I$55,4,0))</f>
        <v>233.48</v>
      </c>
      <c r="W29" s="17">
        <f>IF(ISNA(VLOOKUP(A29,'Données projet'!$A$35:$I$55,5,0)),0%,VLOOKUP(A29,'Données projet'!$A$35:$I$55,5,0)*VLOOKUP('Données projet'!$B$9,Paramètres!$A$1:$I$89,7,0))</f>
        <v>0.54</v>
      </c>
      <c r="X29" s="17">
        <f>IF(ISNA(VLOOKUP(A29,'Données projet'!$A$35:$I$55,6,0)),0%,VLOOKUP(A29,'Données projet'!$A$35:$I$55,6,0)*VLOOKUP('Données projet'!$B$9,Paramètres!$A$1:$I$89,7,0))</f>
        <v>0.06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79.796017601979642</v>
      </c>
      <c r="AA29" s="23">
        <f>EXP(-LN(2)/25)*AA28+(1-EXP(-LN(2)/25))/(LN(2)/25)*Calculateur!V29*Calculateur!X29*VLOOKUP('Données projet'!$B$9,Paramètres!$A$1:$I$89,3,0)*0.475*44/12</f>
        <v>8.8313144751126931</v>
      </c>
      <c r="AB29" s="23">
        <f>EXP(-LN(2)/2)*AB28+(1-EXP(-LN(2)/2))/(LN(2)/2)*V29*Y29*VLOOKUP('Données projet'!$B$9,Paramètres!$A$1:$I$89,3,0)*0.475*44/12</f>
        <v>0</v>
      </c>
      <c r="AC29" s="24">
        <f t="shared" si="3"/>
        <v>88.627332077092333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</v>
      </c>
      <c r="AJ29" s="14">
        <f>AI29*VLOOKUP('Données projet'!$B$10,Paramètres!$A$1:$I$89,3,0)*VLOOKUP('Données projet'!$B$10,Paramètres!$A$1:$I$89,5,0)</f>
        <v>62.431199999999997</v>
      </c>
      <c r="AK29" s="14">
        <f t="shared" si="35"/>
        <v>17.781524466058684</v>
      </c>
      <c r="AL29" s="22">
        <f t="shared" si="4"/>
        <v>139.70382844505221</v>
      </c>
      <c r="AM29" s="62">
        <f t="shared" si="5"/>
        <v>428.14827288949664</v>
      </c>
      <c r="AN29" s="62">
        <f ca="1">AVERAGE(OFFSET($AM$3,0,0,'Données projet'!$E$10+1,1))-AVERAGE(OFFSET($H$3,0,0,'Données projet'!$E$10+1,1))</f>
        <v>332.68760696564266</v>
      </c>
      <c r="AO29" s="62">
        <f t="shared" si="36"/>
        <v>231.36959598460686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2.6904761904761907</v>
      </c>
      <c r="BD29" s="13">
        <f>IF('Données projet'!$A$88&gt;35,BD28+BC29-BL28,IF(A29&lt;'Données projet'!$A$88,$BA$205^A29,IF(A29='Données projet'!$A$88,'Données projet'!$B$88,BD28+BC29-BL28)))</f>
        <v>69.952380952380949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74.447287056432231</v>
      </c>
      <c r="T30" s="62">
        <f t="shared" si="34"/>
        <v>325.27549009125408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78.231266367569717</v>
      </c>
      <c r="AA30" s="23">
        <f>EXP(-LN(2)/25)*AA29+(1-EXP(-LN(2)/25))/(LN(2)/25)*Calculateur!V30*Calculateur!X30*VLOOKUP('Données projet'!$B$9,Paramètres!$A$1:$I$89,3,0)*0.475*44/12</f>
        <v>8.5898217163720929</v>
      </c>
      <c r="AB30" s="23">
        <f>EXP(-LN(2)/2)*AB29+(1-EXP(-LN(2)/2))/(LN(2)/2)*V30*Y30*VLOOKUP('Données projet'!$B$9,Paramètres!$A$1:$I$89,3,0)*0.475*44/12</f>
        <v>0</v>
      </c>
      <c r="AC30" s="24">
        <f t="shared" si="3"/>
        <v>86.821088083941817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</v>
      </c>
      <c r="AJ30" s="14">
        <f>AI30*VLOOKUP('Données projet'!$B$10,Paramètres!$A$1:$I$89,3,0)*VLOOKUP('Données projet'!$B$10,Paramètres!$A$1:$I$89,5,0)</f>
        <v>68.764799999999994</v>
      </c>
      <c r="AK30" s="14">
        <f t="shared" si="35"/>
        <v>19.366396769521369</v>
      </c>
      <c r="AL30" s="22">
        <f t="shared" si="4"/>
        <v>153.49516770691636</v>
      </c>
      <c r="AM30" s="62">
        <f t="shared" si="5"/>
        <v>443.16183437358302</v>
      </c>
      <c r="AN30" s="62">
        <f ca="1">AVERAGE(OFFSET($AM$3,0,0,'Données projet'!$E$10+1,1))-AVERAGE(OFFSET($H$3,0,0,'Données projet'!$E$10+1,1))</f>
        <v>332.68760696564266</v>
      </c>
      <c r="AO30" s="62">
        <f t="shared" si="36"/>
        <v>231.36959598460686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2.6904761904761907</v>
      </c>
      <c r="BD30" s="13">
        <f>IF('Données projet'!$A$88&gt;35,BD29+BC30-BL29,IF(A30&lt;'Données projet'!$A$88,$BA$205^A30,IF(A30='Données projet'!$A$88,'Données projet'!$B$88,BD29+BC30-BL29)))</f>
        <v>72.642857142857139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74.447287056432231</v>
      </c>
      <c r="T31" s="62">
        <f t="shared" si="34"/>
        <v>325.27549009125408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76.697198950462564</v>
      </c>
      <c r="AA31" s="23">
        <f>EXP(-LN(2)/25)*AA30+(1-EXP(-LN(2)/25))/(LN(2)/25)*Calculateur!V31*Calculateur!X31*VLOOKUP('Données projet'!$B$9,Paramètres!$A$1:$I$89,3,0)*0.475*44/12</f>
        <v>8.3549325898188069</v>
      </c>
      <c r="AB31" s="23">
        <f>EXP(-LN(2)/2)*AB30+(1-EXP(-LN(2)/2))/(LN(2)/2)*V31*Y31*VLOOKUP('Données projet'!$B$9,Paramètres!$A$1:$I$89,3,0)*0.475*44/12</f>
        <v>0</v>
      </c>
      <c r="AC31" s="24">
        <f t="shared" si="3"/>
        <v>85.052131540281366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</v>
      </c>
      <c r="AJ31" s="14">
        <f>AI31*VLOOKUP('Données projet'!$B$10,Paramètres!$A$1:$I$89,3,0)*VLOOKUP('Données projet'!$B$10,Paramètres!$A$1:$I$89,5,0)</f>
        <v>75.098399999999998</v>
      </c>
      <c r="AK31" s="14">
        <f t="shared" si="35"/>
        <v>20.934343091450742</v>
      </c>
      <c r="AL31" s="22">
        <f t="shared" si="4"/>
        <v>167.25702755094335</v>
      </c>
      <c r="AM31" s="62">
        <f t="shared" si="5"/>
        <v>458.14591643983221</v>
      </c>
      <c r="AN31" s="62">
        <f ca="1">AVERAGE(OFFSET($AM$3,0,0,'Données projet'!$E$10+1,1))-AVERAGE(OFFSET($H$3,0,0,'Données projet'!$E$10+1,1))</f>
        <v>332.68760696564266</v>
      </c>
      <c r="AO31" s="62">
        <f t="shared" si="36"/>
        <v>231.36959598460686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2.6904761904761907</v>
      </c>
      <c r="BD31" s="13">
        <f>IF('Données projet'!$A$88&gt;35,BD30+BC31-BL30,IF(A31&lt;'Données projet'!$A$88,$BA$205^A31,IF(A31='Données projet'!$A$88,'Données projet'!$B$88,BD30+BC31-BL30)))</f>
        <v>75.333333333333329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74.447287056432231</v>
      </c>
      <c r="T32" s="62">
        <f t="shared" si="34"/>
        <v>325.27549009125408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75.19321365971615</v>
      </c>
      <c r="AA32" s="23">
        <f>EXP(-LN(2)/25)*AA31+(1-EXP(-LN(2)/25))/(LN(2)/25)*Calculateur!V32*Calculateur!X32*VLOOKUP('Données projet'!$B$9,Paramètres!$A$1:$I$89,3,0)*0.475*44/12</f>
        <v>8.1264665187834026</v>
      </c>
      <c r="AB32" s="23">
        <f>EXP(-LN(2)/2)*AB31+(1-EXP(-LN(2)/2))/(LN(2)/2)*V32*Y32*VLOOKUP('Données projet'!$B$9,Paramètres!$A$1:$I$89,3,0)*0.475*44/12</f>
        <v>0</v>
      </c>
      <c r="AC32" s="24">
        <f t="shared" si="3"/>
        <v>83.319680178499553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</v>
      </c>
      <c r="AJ32" s="14">
        <f>AI32*VLOOKUP('Données projet'!$B$10,Paramètres!$A$1:$I$89,3,0)*VLOOKUP('Données projet'!$B$10,Paramètres!$A$1:$I$89,5,0)</f>
        <v>81.432000000000002</v>
      </c>
      <c r="AK32" s="14">
        <f t="shared" si="35"/>
        <v>22.486953220240881</v>
      </c>
      <c r="AL32" s="22">
        <f t="shared" si="4"/>
        <v>180.99217685858619</v>
      </c>
      <c r="AM32" s="62">
        <f t="shared" si="5"/>
        <v>473.10328796969736</v>
      </c>
      <c r="AN32" s="62">
        <f ca="1">AVERAGE(OFFSET($AM$3,0,0,'Données projet'!$E$10+1,1))-AVERAGE(OFFSET($H$3,0,0,'Données projet'!$E$10+1,1))</f>
        <v>332.68760696564266</v>
      </c>
      <c r="AO32" s="62">
        <f t="shared" si="36"/>
        <v>231.36959598460686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2.6904761904761907</v>
      </c>
      <c r="BD32" s="13">
        <f>IF('Données projet'!$A$88&gt;35,BD31+BC32-BL31,IF(A32&lt;'Données projet'!$A$88,$BA$205^A32,IF(A32='Données projet'!$A$88,'Données projet'!$B$88,BD31+BC32-BL31)))</f>
        <v>78.023809523809518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74.447287056432231</v>
      </c>
      <c r="T33" s="62">
        <f t="shared" si="34"/>
        <v>325.27549009125408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73.718720603180827</v>
      </c>
      <c r="AA33" s="23">
        <f>EXP(-LN(2)/25)*AA32+(1-EXP(-LN(2)/25))/(LN(2)/25)*Calculateur!V33*Calculateur!X33*VLOOKUP('Données projet'!$B$9,Paramètres!$A$1:$I$89,3,0)*0.475*44/12</f>
        <v>7.9042478644749696</v>
      </c>
      <c r="AB33" s="23">
        <f>EXP(-LN(2)/2)*AB32+(1-EXP(-LN(2)/2))/(LN(2)/2)*V33*Y33*VLOOKUP('Données projet'!$B$9,Paramètres!$A$1:$I$89,3,0)*0.475*44/12</f>
        <v>0</v>
      </c>
      <c r="AC33" s="24">
        <f t="shared" si="3"/>
        <v>81.622968467655795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</v>
      </c>
      <c r="AJ33" s="14">
        <f>AI33*VLOOKUP('Données projet'!$B$10,Paramètres!$A$1:$I$89,3,0)*VLOOKUP('Données projet'!$B$10,Paramètres!$A$1:$I$89,5,0)</f>
        <v>87.765600000000006</v>
      </c>
      <c r="AK33" s="14">
        <f t="shared" si="35"/>
        <v>24.025555589247954</v>
      </c>
      <c r="AL33" s="22">
        <f t="shared" si="4"/>
        <v>194.7029293179402</v>
      </c>
      <c r="AM33" s="62">
        <f t="shared" si="5"/>
        <v>488.03626265127355</v>
      </c>
      <c r="AN33" s="62">
        <f ca="1">AVERAGE(OFFSET($AM$3,0,0,'Données projet'!$E$10+1,1))-AVERAGE(OFFSET($H$3,0,0,'Données projet'!$E$10+1,1))</f>
        <v>332.68760696564266</v>
      </c>
      <c r="AO33" s="62">
        <f t="shared" si="36"/>
        <v>231.36959598460686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2.6904761904761907</v>
      </c>
      <c r="BD33" s="13">
        <f>IF('Données projet'!$A$88&gt;35,BD32+BC33-BL32,IF(A33&lt;'Données projet'!$A$88,$BA$205^A33,IF(A33='Données projet'!$A$88,'Données projet'!$B$88,BD32+BC33-BL32)))</f>
        <v>80.714285714285708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74.447287056432231</v>
      </c>
      <c r="T34" s="62">
        <f t="shared" si="34"/>
        <v>325.27549009125408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72.273141456132194</v>
      </c>
      <c r="AA34" s="23">
        <f>EXP(-LN(2)/25)*AA33+(1-EXP(-LN(2)/25))/(LN(2)/25)*Calculateur!V34*Calculateur!X34*VLOOKUP('Données projet'!$B$9,Paramètres!$A$1:$I$89,3,0)*0.475*44/12</f>
        <v>7.6881057909545714</v>
      </c>
      <c r="AB34" s="23">
        <f>EXP(-LN(2)/2)*AB33+(1-EXP(-LN(2)/2))/(LN(2)/2)*V34*Y34*VLOOKUP('Données projet'!$B$9,Paramètres!$A$1:$I$89,3,0)*0.475*44/12</f>
        <v>0</v>
      </c>
      <c r="AC34" s="24">
        <f t="shared" si="3"/>
        <v>79.96124724708676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76.003200000000007</v>
      </c>
      <c r="AK34" s="14">
        <f t="shared" si="35"/>
        <v>21.157049992000456</v>
      </c>
      <c r="AL34" s="22">
        <f t="shared" si="4"/>
        <v>169.22076873606747</v>
      </c>
      <c r="AM34" s="62">
        <f t="shared" si="5"/>
        <v>462.55410206940076</v>
      </c>
      <c r="AN34" s="62">
        <f ca="1">AVERAGE(OFFSET($AM$3,0,0,'Données projet'!$E$10+1,1))-AVERAGE(OFFSET($H$3,0,0,'Données projet'!$E$10+1,1))</f>
        <v>332.68760696564266</v>
      </c>
      <c r="AO34" s="62">
        <f t="shared" si="36"/>
        <v>231.36959598460686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2.6904761904761907</v>
      </c>
      <c r="BD34" s="13">
        <f>IF('Données projet'!$A$88&gt;35,BD33+BC34-BL33,IF(A34&lt;'Données projet'!$A$88,$BA$205^A34,IF(A34='Données projet'!$A$88,'Données projet'!$B$88,BD33+BC34-BL33)))</f>
        <v>83.404761904761898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74.447287056432231</v>
      </c>
      <c r="T35" s="62">
        <f t="shared" si="34"/>
        <v>325.27549009125408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70.855909234440972</v>
      </c>
      <c r="AA35" s="23">
        <f>EXP(-LN(2)/25)*AA34+(1-EXP(-LN(2)/25))/(LN(2)/25)*Calculateur!V35*Calculateur!X35*VLOOKUP('Données projet'!$B$9,Paramètres!$A$1:$I$89,3,0)*0.475*44/12</f>
        <v>7.4778741338010066</v>
      </c>
      <c r="AB35" s="23">
        <f>EXP(-LN(2)/2)*AB34+(1-EXP(-LN(2)/2))/(LN(2)/2)*V35*Y35*VLOOKUP('Données projet'!$B$9,Paramètres!$A$1:$I$89,3,0)*0.475*44/12</f>
        <v>0</v>
      </c>
      <c r="AC35" s="24">
        <f t="shared" si="3"/>
        <v>78.333783368241981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83.241600000000005</v>
      </c>
      <c r="AK35" s="14">
        <f t="shared" si="35"/>
        <v>22.927930643846508</v>
      </c>
      <c r="AL35" s="22">
        <f t="shared" si="4"/>
        <v>184.91193253803269</v>
      </c>
      <c r="AM35" s="62">
        <f t="shared" si="5"/>
        <v>478.24526587136597</v>
      </c>
      <c r="AN35" s="62">
        <f ca="1">AVERAGE(OFFSET($AM$3,0,0,'Données projet'!$E$10+1,1))-AVERAGE(OFFSET($H$3,0,0,'Données projet'!$E$10+1,1))</f>
        <v>332.68760696564266</v>
      </c>
      <c r="AO35" s="62">
        <f t="shared" si="36"/>
        <v>231.36959598460686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2.6904761904761907</v>
      </c>
      <c r="BD35" s="13">
        <f>IF('Données projet'!$A$88&gt;35,BD34+BC35-BL34,IF(A35&lt;'Données projet'!$A$88,$BA$205^A35,IF(A35='Données projet'!$A$88,'Données projet'!$B$88,BD34+BC35-BL34)))</f>
        <v>86.095238095238088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74.447287056432231</v>
      </c>
      <c r="T36" s="62">
        <f t="shared" si="34"/>
        <v>325.27549009125408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69.466468072190807</v>
      </c>
      <c r="AA36" s="23">
        <f>EXP(-LN(2)/25)*AA35+(1-EXP(-LN(2)/25))/(LN(2)/25)*Calculateur!V36*Calculateur!X36*VLOOKUP('Données projet'!$B$9,Paramètres!$A$1:$I$89,3,0)*0.475*44/12</f>
        <v>7.2733912723679079</v>
      </c>
      <c r="AB36" s="23">
        <f>EXP(-LN(2)/2)*AB35+(1-EXP(-LN(2)/2))/(LN(2)/2)*V36*Y36*VLOOKUP('Données projet'!$B$9,Paramètres!$A$1:$I$89,3,0)*0.475*44/12</f>
        <v>0</v>
      </c>
      <c r="AC36" s="24">
        <f t="shared" si="3"/>
        <v>76.73985934455871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90.47999999999999</v>
      </c>
      <c r="AK36" s="14">
        <f t="shared" si="35"/>
        <v>24.680953573367994</v>
      </c>
      <c r="AL36" s="22">
        <f t="shared" si="4"/>
        <v>200.57199414028256</v>
      </c>
      <c r="AM36" s="62">
        <f t="shared" si="5"/>
        <v>493.9053274736159</v>
      </c>
      <c r="AN36" s="62">
        <f ca="1">AVERAGE(OFFSET($AM$3,0,0,'Données projet'!$E$10+1,1))-AVERAGE(OFFSET($H$3,0,0,'Données projet'!$E$10+1,1))</f>
        <v>332.68760696564266</v>
      </c>
      <c r="AO36" s="62">
        <f t="shared" si="36"/>
        <v>231.36959598460686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2.6904761904761907</v>
      </c>
      <c r="BD36" s="13">
        <f>IF('Données projet'!$A$88&gt;35,BD35+BC36-BL35,IF(A36&lt;'Données projet'!$A$88,$BA$205^A36,IF(A36='Données projet'!$A$88,'Données projet'!$B$88,BD35+BC36-BL35)))</f>
        <v>88.785714285714278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74.447287056432231</v>
      </c>
      <c r="T37" s="62">
        <f t="shared" si="34"/>
        <v>325.27549009125408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68.104273003656942</v>
      </c>
      <c r="AA37" s="23">
        <f>EXP(-LN(2)/25)*AA36+(1-EXP(-LN(2)/25))/(LN(2)/25)*Calculateur!V37*Calculateur!X37*VLOOKUP('Données projet'!$B$9,Paramètres!$A$1:$I$89,3,0)*0.475*44/12</f>
        <v>7.0745000055339844</v>
      </c>
      <c r="AB37" s="23">
        <f>EXP(-LN(2)/2)*AB36+(1-EXP(-LN(2)/2))/(LN(2)/2)*V37*Y37*VLOOKUP('Données projet'!$B$9,Paramètres!$A$1:$I$89,3,0)*0.475*44/12</f>
        <v>0</v>
      </c>
      <c r="AC37" s="24">
        <f t="shared" si="3"/>
        <v>75.178773009190934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97.718399999999988</v>
      </c>
      <c r="AK37" s="14">
        <f t="shared" si="35"/>
        <v>26.417709819192194</v>
      </c>
      <c r="AL37" s="22">
        <f t="shared" si="4"/>
        <v>216.20372460175972</v>
      </c>
      <c r="AM37" s="62">
        <f t="shared" si="5"/>
        <v>509.537057935093</v>
      </c>
      <c r="AN37" s="62">
        <f ca="1">AVERAGE(OFFSET($AM$3,0,0,'Données projet'!$E$10+1,1))-AVERAGE(OFFSET($H$3,0,0,'Données projet'!$E$10+1,1))</f>
        <v>332.68760696564266</v>
      </c>
      <c r="AO37" s="62">
        <f t="shared" si="36"/>
        <v>231.36959598460686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2.6904761904761907</v>
      </c>
      <c r="BD37" s="13">
        <f>IF('Données projet'!$A$88&gt;35,BD36+BC37-BL36,IF(A37&lt;'Données projet'!$A$88,$BA$205^A37,IF(A37='Données projet'!$A$88,'Données projet'!$B$88,BD36+BC37-BL36)))</f>
        <v>91.476190476190467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74.447287056432231</v>
      </c>
      <c r="T38" s="62">
        <f t="shared" si="34"/>
        <v>325.27549009125408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66.768789749560071</v>
      </c>
      <c r="AA38" s="23">
        <f>EXP(-LN(2)/25)*AA37+(1-EXP(-LN(2)/25))/(LN(2)/25)*Calculateur!V38*Calculateur!X38*VLOOKUP('Données projet'!$B$9,Paramètres!$A$1:$I$89,3,0)*0.475*44/12</f>
        <v>6.8810474308508711</v>
      </c>
      <c r="AB38" s="23">
        <f>EXP(-LN(2)/2)*AB37+(1-EXP(-LN(2)/2))/(LN(2)/2)*V38*Y38*VLOOKUP('Données projet'!$B$9,Paramètres!$A$1:$I$89,3,0)*0.475*44/12</f>
        <v>0</v>
      </c>
      <c r="AC38" s="24">
        <f t="shared" si="3"/>
        <v>73.649837180410941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104.9568</v>
      </c>
      <c r="AK38" s="14">
        <f t="shared" si="35"/>
        <v>28.139541339232373</v>
      </c>
      <c r="AL38" s="22">
        <f t="shared" si="4"/>
        <v>231.8094611658297</v>
      </c>
      <c r="AM38" s="62">
        <f t="shared" si="5"/>
        <v>525.14279449916307</v>
      </c>
      <c r="AN38" s="62">
        <f ca="1">AVERAGE(OFFSET($AM$3,0,0,'Données projet'!$E$10+1,1))-AVERAGE(OFFSET($H$3,0,0,'Données projet'!$E$10+1,1))</f>
        <v>332.68760696564266</v>
      </c>
      <c r="AO38" s="62">
        <f t="shared" si="36"/>
        <v>231.36959598460686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2.6904761904761907</v>
      </c>
      <c r="BD38" s="13">
        <f>IF('Données projet'!$A$88&gt;35,BD37+BC38-BL37,IF(A38&lt;'Données projet'!$A$88,$BA$205^A38,IF(A38='Données projet'!$A$88,'Données projet'!$B$88,BD37+BC38-BL37)))</f>
        <v>94.166666666666657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74.447287056432231</v>
      </c>
      <c r="T39" s="62">
        <f t="shared" si="34"/>
        <v>325.27549009125408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65.459494507511693</v>
      </c>
      <c r="AA39" s="23">
        <f>EXP(-LN(2)/25)*AA38+(1-EXP(-LN(2)/25))/(LN(2)/25)*Calculateur!V39*Calculateur!X39*VLOOKUP('Données projet'!$B$9,Paramètres!$A$1:$I$89,3,0)*0.475*44/12</f>
        <v>6.6928848269956962</v>
      </c>
      <c r="AB39" s="23">
        <f>EXP(-LN(2)/2)*AB38+(1-EXP(-LN(2)/2))/(LN(2)/2)*V39*Y39*VLOOKUP('Données projet'!$B$9,Paramètres!$A$1:$I$89,3,0)*0.475*44/12</f>
        <v>0</v>
      </c>
      <c r="AC39" s="24">
        <f t="shared" si="3"/>
        <v>72.152379334507387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103.4</v>
      </c>
      <c r="AJ39" s="14">
        <f>AI39*VLOOKUP('Données projet'!$B$10,Paramètres!$A$1:$I$89,3,0)*VLOOKUP('Données projet'!$B$10,Paramètres!$A$1:$I$89,5,0)</f>
        <v>93.556319999999999</v>
      </c>
      <c r="AK39" s="14">
        <f t="shared" si="35"/>
        <v>25.420979659258073</v>
      </c>
      <c r="AL39" s="22">
        <f t="shared" si="4"/>
        <v>207.21879690654114</v>
      </c>
      <c r="AM39" s="62">
        <f t="shared" si="5"/>
        <v>500.55213023987449</v>
      </c>
      <c r="AN39" s="62">
        <f ca="1">AVERAGE(OFFSET($AM$3,0,0,'Données projet'!$E$10+1,1))-AVERAGE(OFFSET($H$3,0,0,'Données projet'!$E$10+1,1))</f>
        <v>332.68760696564266</v>
      </c>
      <c r="AO39" s="62">
        <f t="shared" si="36"/>
        <v>231.36959598460686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2.6904761904761907</v>
      </c>
      <c r="BD39" s="13">
        <f>IF('Données projet'!$A$88&gt;35,BD38+BC39-BL38,IF(A39&lt;'Données projet'!$A$88,$BA$205^A39,IF(A39='Données projet'!$A$88,'Données projet'!$B$88,BD38+BC39-BL38)))</f>
        <v>96.857142857142847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74.447287056432231</v>
      </c>
      <c r="T40" s="62">
        <f t="shared" si="34"/>
        <v>325.27549009125408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64.175873746568641</v>
      </c>
      <c r="AA40" s="23">
        <f>EXP(-LN(2)/25)*AA39+(1-EXP(-LN(2)/25))/(LN(2)/25)*Calculateur!V40*Calculateur!X40*VLOOKUP('Données projet'!$B$9,Paramètres!$A$1:$I$89,3,0)*0.475*44/12</f>
        <v>6.509867539437983</v>
      </c>
      <c r="AB40" s="23">
        <f>EXP(-LN(2)/2)*AB39+(1-EXP(-LN(2)/2))/(LN(2)/2)*V40*Y40*VLOOKUP('Données projet'!$B$9,Paramètres!$A$1:$I$89,3,0)*0.475*44/12</f>
        <v>0</v>
      </c>
      <c r="AC40" s="24">
        <f t="shared" si="3"/>
        <v>70.685741286006618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111.80000000000001</v>
      </c>
      <c r="AJ40" s="14">
        <f>AI40*VLOOKUP('Données projet'!$B$10,Paramètres!$A$1:$I$89,3,0)*VLOOKUP('Données projet'!$B$10,Paramètres!$A$1:$I$89,5,0)</f>
        <v>101.15664000000001</v>
      </c>
      <c r="AK40" s="14">
        <f t="shared" si="35"/>
        <v>27.237366379381644</v>
      </c>
      <c r="AL40" s="22">
        <f t="shared" si="4"/>
        <v>223.61956111075639</v>
      </c>
      <c r="AM40" s="62">
        <f t="shared" si="5"/>
        <v>516.95289444408968</v>
      </c>
      <c r="AN40" s="62">
        <f ca="1">AVERAGE(OFFSET($AM$3,0,0,'Données projet'!$E$10+1,1))-AVERAGE(OFFSET($H$3,0,0,'Données projet'!$E$10+1,1))</f>
        <v>332.68760696564266</v>
      </c>
      <c r="AO40" s="62">
        <f t="shared" si="36"/>
        <v>231.36959598460686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2.6904761904761907</v>
      </c>
      <c r="BD40" s="13">
        <f>IF('Données projet'!$A$88&gt;35,BD39+BC40-BL39,IF(A40&lt;'Données projet'!$A$88,$BA$205^A40,IF(A40='Données projet'!$A$88,'Données projet'!$B$88,BD39+BC40-BL39)))</f>
        <v>99.547619047619037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74.447287056432231</v>
      </c>
      <c r="T41" s="62">
        <f t="shared" si="34"/>
        <v>325.27549009125408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62.917424005816322</v>
      </c>
      <c r="AA41" s="23">
        <f>EXP(-LN(2)/25)*AA40+(1-EXP(-LN(2)/25))/(LN(2)/25)*Calculateur!V41*Calculateur!X41*VLOOKUP('Données projet'!$B$9,Paramètres!$A$1:$I$89,3,0)*0.475*44/12</f>
        <v>6.3318548692329957</v>
      </c>
      <c r="AB41" s="23">
        <f>EXP(-LN(2)/2)*AB40+(1-EXP(-LN(2)/2))/(LN(2)/2)*V41*Y41*VLOOKUP('Données projet'!$B$9,Paramètres!$A$1:$I$89,3,0)*0.475*44/12</f>
        <v>0</v>
      </c>
      <c r="AC41" s="24">
        <f t="shared" si="3"/>
        <v>69.249278875049313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120.20000000000002</v>
      </c>
      <c r="AJ41" s="14">
        <f>AI41*VLOOKUP('Données projet'!$B$10,Paramètres!$A$1:$I$89,3,0)*VLOOKUP('Données projet'!$B$10,Paramètres!$A$1:$I$89,5,0)</f>
        <v>108.75696000000002</v>
      </c>
      <c r="AK41" s="14">
        <f t="shared" si="35"/>
        <v>29.037921223305609</v>
      </c>
      <c r="AL41" s="22">
        <f t="shared" si="4"/>
        <v>239.99275146392395</v>
      </c>
      <c r="AM41" s="62">
        <f t="shared" si="5"/>
        <v>533.32608479725729</v>
      </c>
      <c r="AN41" s="62">
        <f ca="1">AVERAGE(OFFSET($AM$3,0,0,'Données projet'!$E$10+1,1))-AVERAGE(OFFSET($H$3,0,0,'Données projet'!$E$10+1,1))</f>
        <v>332.68760696564266</v>
      </c>
      <c r="AO41" s="62">
        <f t="shared" si="36"/>
        <v>231.36959598460686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2.6904761904761907</v>
      </c>
      <c r="BD41" s="13">
        <f>IF('Données projet'!$A$88&gt;35,BD40+BC41-BL40,IF(A41&lt;'Données projet'!$A$88,$BA$205^A41,IF(A41='Données projet'!$A$88,'Données projet'!$B$88,BD40+BC41-BL40)))</f>
        <v>102.23809523809523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74.447287056432231</v>
      </c>
      <c r="T42" s="62">
        <f t="shared" si="34"/>
        <v>325.27549009125408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61.683651696901606</v>
      </c>
      <c r="AA42" s="23">
        <f>EXP(-LN(2)/25)*AA41+(1-EXP(-LN(2)/25))/(LN(2)/25)*Calculateur!V42*Calculateur!X42*VLOOKUP('Données projet'!$B$9,Paramètres!$A$1:$I$89,3,0)*0.475*44/12</f>
        <v>6.1587099648560431</v>
      </c>
      <c r="AB42" s="23">
        <f>EXP(-LN(2)/2)*AB41+(1-EXP(-LN(2)/2))/(LN(2)/2)*V42*Y42*VLOOKUP('Données projet'!$B$9,Paramètres!$A$1:$I$89,3,0)*0.475*44/12</f>
        <v>0</v>
      </c>
      <c r="AC42" s="24">
        <f t="shared" si="3"/>
        <v>67.84236166175765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128.60000000000002</v>
      </c>
      <c r="AJ42" s="14">
        <f>AI42*VLOOKUP('Données projet'!$B$10,Paramètres!$A$1:$I$89,3,0)*VLOOKUP('Données projet'!$B$10,Paramètres!$A$1:$I$89,5,0)</f>
        <v>116.35728000000002</v>
      </c>
      <c r="AK42" s="14">
        <f t="shared" si="35"/>
        <v>30.823876427820704</v>
      </c>
      <c r="AL42" s="22">
        <f t="shared" si="4"/>
        <v>256.34051411178774</v>
      </c>
      <c r="AM42" s="62">
        <f t="shared" si="5"/>
        <v>549.67384744512105</v>
      </c>
      <c r="AN42" s="62">
        <f ca="1">AVERAGE(OFFSET($AM$3,0,0,'Données projet'!$E$10+1,1))-AVERAGE(OFFSET($H$3,0,0,'Données projet'!$E$10+1,1))</f>
        <v>332.68760696564266</v>
      </c>
      <c r="AO42" s="62">
        <f t="shared" si="36"/>
        <v>231.36959598460686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2.6904761904761907</v>
      </c>
      <c r="BD42" s="13">
        <f>IF('Données projet'!$A$88&gt;35,BD41+BC42-BL41,IF(A42&lt;'Données projet'!$A$88,$BA$205^A42,IF(A42='Données projet'!$A$88,'Données projet'!$B$88,BD41+BC42-BL41)))</f>
        <v>104.92857142857142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74.447287056432231</v>
      </c>
      <c r="T43" s="62">
        <f t="shared" si="34"/>
        <v>325.27549009125408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60.474072910437904</v>
      </c>
      <c r="AA43" s="23">
        <f>EXP(-LN(2)/25)*AA42+(1-EXP(-LN(2)/25))/(LN(2)/25)*Calculateur!V43*Calculateur!X43*VLOOKUP('Données projet'!$B$9,Paramètres!$A$1:$I$89,3,0)*0.475*44/12</f>
        <v>5.9902997169945733</v>
      </c>
      <c r="AB43" s="23">
        <f>EXP(-LN(2)/2)*AB42+(1-EXP(-LN(2)/2))/(LN(2)/2)*V43*Y43*VLOOKUP('Données projet'!$B$9,Paramètres!$A$1:$I$89,3,0)*0.475*44/12</f>
        <v>0</v>
      </c>
      <c r="AC43" s="24">
        <f t="shared" si="3"/>
        <v>66.464372627432482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137.00000000000003</v>
      </c>
      <c r="AJ43" s="14">
        <f>AI43*VLOOKUP('Données projet'!$B$10,Paramètres!$A$1:$I$89,3,0)*VLOOKUP('Données projet'!$B$10,Paramètres!$A$1:$I$89,5,0)</f>
        <v>123.95760000000001</v>
      </c>
      <c r="AK43" s="14">
        <f t="shared" si="35"/>
        <v>32.59629414926458</v>
      </c>
      <c r="AL43" s="22">
        <f t="shared" si="4"/>
        <v>272.6646989766358</v>
      </c>
      <c r="AM43" s="62">
        <f t="shared" si="5"/>
        <v>565.99803230996918</v>
      </c>
      <c r="AN43" s="62">
        <f ca="1">AVERAGE(OFFSET($AM$3,0,0,'Données projet'!$E$10+1,1))-AVERAGE(OFFSET($H$3,0,0,'Données projet'!$E$10+1,1))</f>
        <v>332.68760696564266</v>
      </c>
      <c r="AO43" s="62">
        <f t="shared" si="36"/>
        <v>231.36959598460686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2.6904761904761907</v>
      </c>
      <c r="BD43" s="13">
        <f>IF('Données projet'!$A$88&gt;35,BD42+BC43-BL42,IF(A43&lt;'Données projet'!$A$88,$BA$205^A43,IF(A43='Données projet'!$A$88,'Données projet'!$B$88,BD42+BC43-BL42)))</f>
        <v>107.61904761904761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74.447287056432231</v>
      </c>
      <c r="T44" s="62">
        <f t="shared" si="34"/>
        <v>325.27549009125408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59.288213226206544</v>
      </c>
      <c r="AA44" s="23">
        <f>EXP(-LN(2)/25)*AA43+(1-EXP(-LN(2)/25))/(LN(2)/25)*Calculateur!V44*Calculateur!X44*VLOOKUP('Données projet'!$B$9,Paramètres!$A$1:$I$89,3,0)*0.475*44/12</f>
        <v>5.8264946562171858</v>
      </c>
      <c r="AB44" s="23">
        <f>EXP(-LN(2)/2)*AB43+(1-EXP(-LN(2)/2))/(LN(2)/2)*V44*Y44*VLOOKUP('Données projet'!$B$9,Paramètres!$A$1:$I$89,3,0)*0.475*44/12</f>
        <v>0</v>
      </c>
      <c r="AC44" s="24">
        <f t="shared" si="3"/>
        <v>65.11470788242373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112.55712000000003</v>
      </c>
      <c r="AK44" s="14">
        <f t="shared" si="35"/>
        <v>29.932653834140599</v>
      </c>
      <c r="AL44" s="22">
        <f t="shared" si="4"/>
        <v>248.16968942779496</v>
      </c>
      <c r="AM44" s="62">
        <f t="shared" si="5"/>
        <v>541.50302276112825</v>
      </c>
      <c r="AN44" s="62">
        <f ca="1">AVERAGE(OFFSET($AM$3,0,0,'Données projet'!$E$10+1,1))-AVERAGE(OFFSET($H$3,0,0,'Données projet'!$E$10+1,1))</f>
        <v>332.68760696564266</v>
      </c>
      <c r="AO44" s="62">
        <f t="shared" si="36"/>
        <v>231.36959598460686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2.6904761904761907</v>
      </c>
      <c r="BD44" s="13">
        <f>IF('Données projet'!$A$88&gt;35,BD43+BC44-BL43,IF(A44&lt;'Données projet'!$A$88,$BA$205^A44,IF(A44='Données projet'!$A$88,'Données projet'!$B$88,BD43+BC44-BL43)))</f>
        <v>110.3095238095238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74.447287056432231</v>
      </c>
      <c r="T45" s="62">
        <f t="shared" si="34"/>
        <v>325.27549009125408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58.125607527079978</v>
      </c>
      <c r="AA45" s="23">
        <f>EXP(-LN(2)/25)*AA44+(1-EXP(-LN(2)/25))/(LN(2)/25)*Calculateur!V45*Calculateur!X45*VLOOKUP('Données projet'!$B$9,Paramètres!$A$1:$I$89,3,0)*0.475*44/12</f>
        <v>5.6671688534408897</v>
      </c>
      <c r="AB45" s="23">
        <f>EXP(-LN(2)/2)*AB44+(1-EXP(-LN(2)/2))/(LN(2)/2)*V45*Y45*VLOOKUP('Données projet'!$B$9,Paramètres!$A$1:$I$89,3,0)*0.475*44/12</f>
        <v>0</v>
      </c>
      <c r="AC45" s="24">
        <f t="shared" si="3"/>
        <v>63.79277638052087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120.15744000000002</v>
      </c>
      <c r="AK45" s="14">
        <f t="shared" si="35"/>
        <v>31.711716786129845</v>
      </c>
      <c r="AL45" s="22">
        <f t="shared" si="4"/>
        <v>264.50544806917623</v>
      </c>
      <c r="AM45" s="62">
        <f t="shared" si="5"/>
        <v>557.83878140250954</v>
      </c>
      <c r="AN45" s="62">
        <f ca="1">AVERAGE(OFFSET($AM$3,0,0,'Données projet'!$E$10+1,1))-AVERAGE(OFFSET($H$3,0,0,'Données projet'!$E$10+1,1))</f>
        <v>332.68760696564266</v>
      </c>
      <c r="AO45" s="62">
        <f t="shared" si="36"/>
        <v>231.36959598460686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113</v>
      </c>
      <c r="BB45" s="13">
        <f>VLOOKUP(A45,'Données projet'!$A$87:$I$107,9,0)</f>
        <v>2.6904761904761907</v>
      </c>
      <c r="BC45" s="13">
        <f t="array" ref="BC45">INDEX(BB:BB,MIN(IF(ISNUMBER(BB45:BB241),ROW(BB45:BB241),"")))</f>
        <v>2.6904761904761907</v>
      </c>
      <c r="BD45" s="13">
        <f>IF('Données projet'!$A$88&gt;35,BD44+BC45-BL44,IF(A45&lt;'Données projet'!$A$88,$BA$205^A45,IF(A45='Données projet'!$A$88,'Données projet'!$B$88,BD44+BC45-BL44)))</f>
        <v>112.99999999999999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1</v>
      </c>
      <c r="BL45" s="16">
        <f>IF(ISNA(VLOOKUP(A45,'Données projet'!$A$87:$I$107,4,0)),0,VLOOKUP(A45,'Données projet'!$A$87:$I$107,4,0))</f>
        <v>30</v>
      </c>
      <c r="BM45" s="17" t="e">
        <f>IF(ISNA(VLOOKUP(A45,'Données projet'!$A$87:$I$107,5,0)),0%,VLOOKUP(A45,'Données projet'!$A$87:$I$107,5,0)*VLOOKUP('Données projet'!$B$11,Paramètres!$A$1:$I$89,7,0))</f>
        <v>#N/A</v>
      </c>
      <c r="BN45" s="17" t="e">
        <f>IF(ISNA(VLOOKUP(A45,'Données projet'!$A$87:$I$107,6,0)),0%,VLOOKUP(A45,'Données projet'!$A$87:$I$107,6,0)*VLOOKUP('Données projet'!$B$11,Paramètres!$A$1:$I$89,7,0))</f>
        <v>#N/A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74.447287056432231</v>
      </c>
      <c r="T46" s="62">
        <f t="shared" si="34"/>
        <v>325.27549009125408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56.985799816593826</v>
      </c>
      <c r="AA46" s="23">
        <f>EXP(-LN(2)/25)*AA45+(1-EXP(-LN(2)/25))/(LN(2)/25)*Calculateur!V46*Calculateur!X46*VLOOKUP('Données projet'!$B$9,Paramètres!$A$1:$I$89,3,0)*0.475*44/12</f>
        <v>5.512199823120091</v>
      </c>
      <c r="AB46" s="23">
        <f>EXP(-LN(2)/2)*AB45+(1-EXP(-LN(2)/2))/(LN(2)/2)*V46*Y46*VLOOKUP('Données projet'!$B$9,Paramètres!$A$1:$I$89,3,0)*0.475*44/12</f>
        <v>0</v>
      </c>
      <c r="AC46" s="24">
        <f t="shared" si="3"/>
        <v>62.497999639713917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127.75776000000003</v>
      </c>
      <c r="AK46" s="14">
        <f t="shared" si="35"/>
        <v>33.477720030956604</v>
      </c>
      <c r="AL46" s="22">
        <f t="shared" si="4"/>
        <v>280.81846105391611</v>
      </c>
      <c r="AM46" s="62">
        <f t="shared" si="5"/>
        <v>574.15179438724942</v>
      </c>
      <c r="AN46" s="62">
        <f ca="1">AVERAGE(OFFSET($AM$3,0,0,'Données projet'!$E$10+1,1))-AVERAGE(OFFSET($H$3,0,0,'Données projet'!$E$10+1,1))</f>
        <v>332.68760696564266</v>
      </c>
      <c r="AO46" s="62">
        <f t="shared" si="36"/>
        <v>231.36959598460686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6.166666666666667</v>
      </c>
      <c r="BD46" s="13">
        <f>IF('Données projet'!$A$88&gt;35,BD45+BC46-BL45,IF(A46&lt;'Données projet'!$A$88,$BA$205^A46,IF(A46='Données projet'!$A$88,'Données projet'!$B$88,BD45+BC46-BL45)))</f>
        <v>89.166666666666657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74.447287056432231</v>
      </c>
      <c r="T47" s="62">
        <f t="shared" si="34"/>
        <v>325.27549009125408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55.868343040096249</v>
      </c>
      <c r="AA47" s="23">
        <f>EXP(-LN(2)/25)*AA46+(1-EXP(-LN(2)/25))/(LN(2)/25)*Calculateur!V47*Calculateur!X47*VLOOKUP('Données projet'!$B$9,Paramètres!$A$1:$I$89,3,0)*0.475*44/12</f>
        <v>5.3614684290828816</v>
      </c>
      <c r="AB47" s="23">
        <f>EXP(-LN(2)/2)*AB46+(1-EXP(-LN(2)/2))/(LN(2)/2)*V47*Y47*VLOOKUP('Données projet'!$B$9,Paramètres!$A$1:$I$89,3,0)*0.475*44/12</f>
        <v>0</v>
      </c>
      <c r="AC47" s="24">
        <f t="shared" si="3"/>
        <v>61.229811469179133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135.35808000000006</v>
      </c>
      <c r="AK47" s="14">
        <f t="shared" si="35"/>
        <v>35.231528980112834</v>
      </c>
      <c r="AL47" s="22">
        <f t="shared" si="4"/>
        <v>297.11023564036327</v>
      </c>
      <c r="AM47" s="62">
        <f t="shared" si="5"/>
        <v>590.44356897369653</v>
      </c>
      <c r="AN47" s="62">
        <f ca="1">AVERAGE(OFFSET($AM$3,0,0,'Données projet'!$E$10+1,1))-AVERAGE(OFFSET($H$3,0,0,'Données projet'!$E$10+1,1))</f>
        <v>332.68760696564266</v>
      </c>
      <c r="AO47" s="62">
        <f t="shared" si="36"/>
        <v>231.36959598460686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6.166666666666667</v>
      </c>
      <c r="BD47" s="13">
        <f>IF('Données projet'!$A$88&gt;35,BD46+BC47-BL46,IF(A47&lt;'Données projet'!$A$88,$BA$205^A47,IF(A47='Données projet'!$A$88,'Données projet'!$B$88,BD46+BC47-BL46)))</f>
        <v>95.333333333333329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74.447287056432231</v>
      </c>
      <c r="T48" s="62">
        <f t="shared" si="34"/>
        <v>325.27549009125408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54.772798909404457</v>
      </c>
      <c r="AA48" s="23">
        <f>EXP(-LN(2)/25)*AA47+(1-EXP(-LN(2)/25))/(LN(2)/25)*Calculateur!V48*Calculateur!X48*VLOOKUP('Données projet'!$B$9,Paramètres!$A$1:$I$89,3,0)*0.475*44/12</f>
        <v>5.2148587929422394</v>
      </c>
      <c r="AB48" s="23">
        <f>EXP(-LN(2)/2)*AB47+(1-EXP(-LN(2)/2))/(LN(2)/2)*V48*Y48*VLOOKUP('Données projet'!$B$9,Paramètres!$A$1:$I$89,3,0)*0.475*44/12</f>
        <v>0</v>
      </c>
      <c r="AC48" s="24">
        <f t="shared" si="3"/>
        <v>59.987657702346695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142.95840000000004</v>
      </c>
      <c r="AK48" s="14">
        <f t="shared" si="35"/>
        <v>36.973906370811264</v>
      </c>
      <c r="AL48" s="22">
        <f t="shared" si="4"/>
        <v>313.38210026249641</v>
      </c>
      <c r="AM48" s="62">
        <f t="shared" si="5"/>
        <v>606.71543359582972</v>
      </c>
      <c r="AN48" s="62">
        <f ca="1">AVERAGE(OFFSET($AM$3,0,0,'Données projet'!$E$10+1,1))-AVERAGE(OFFSET($H$3,0,0,'Données projet'!$E$10+1,1))</f>
        <v>332.68760696564266</v>
      </c>
      <c r="AO48" s="62">
        <f t="shared" si="36"/>
        <v>231.36959598460686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6.166666666666667</v>
      </c>
      <c r="BD48" s="13">
        <f>IF('Données projet'!$A$88&gt;35,BD47+BC48-BL47,IF(A48&lt;'Données projet'!$A$88,$BA$205^A48,IF(A48='Données projet'!$A$88,'Données projet'!$B$88,BD47+BC48-BL47)))</f>
        <v>101.5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74.447287056432231</v>
      </c>
      <c r="T49" s="62">
        <f t="shared" si="34"/>
        <v>325.27549009125408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53.698737730899595</v>
      </c>
      <c r="AA49" s="23">
        <f>EXP(-LN(2)/25)*AA48+(1-EXP(-LN(2)/25))/(LN(2)/25)*Calculateur!V49*Calculateur!X49*VLOOKUP('Données projet'!$B$9,Paramètres!$A$1:$I$89,3,0)*0.475*44/12</f>
        <v>5.0722582050117291</v>
      </c>
      <c r="AB49" s="23">
        <f>EXP(-LN(2)/2)*AB48+(1-EXP(-LN(2)/2))/(LN(2)/2)*V49*Y49*VLOOKUP('Données projet'!$B$9,Paramètres!$A$1:$I$89,3,0)*0.475*44/12</f>
        <v>0</v>
      </c>
      <c r="AC49" s="24">
        <f t="shared" si="3"/>
        <v>58.770995935911323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145.20000000000005</v>
      </c>
      <c r="AJ49" s="14">
        <f>AI49*VLOOKUP('Données projet'!$B$10,Paramètres!$A$1:$I$89,3,0)*VLOOKUP('Données projet'!$B$10,Paramètres!$A$1:$I$89,5,0)</f>
        <v>131.37696000000003</v>
      </c>
      <c r="AK49" s="14">
        <f t="shared" si="35"/>
        <v>34.314338988223334</v>
      </c>
      <c r="AL49" s="22">
        <f t="shared" si="4"/>
        <v>288.57901240448905</v>
      </c>
      <c r="AM49" s="62">
        <f t="shared" si="5"/>
        <v>581.91234573782231</v>
      </c>
      <c r="AN49" s="62">
        <f ca="1">AVERAGE(OFFSET($AM$3,0,0,'Données projet'!$E$10+1,1))-AVERAGE(OFFSET($H$3,0,0,'Données projet'!$E$10+1,1))</f>
        <v>332.68760696564266</v>
      </c>
      <c r="AO49" s="62">
        <f t="shared" si="36"/>
        <v>231.36959598460686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6.166666666666667</v>
      </c>
      <c r="BD49" s="13">
        <f>IF('Données projet'!$A$88&gt;35,BD48+BC49-BL48,IF(A49&lt;'Données projet'!$A$88,$BA$205^A49,IF(A49='Données projet'!$A$88,'Données projet'!$B$88,BD48+BC49-BL48)))</f>
        <v>107.66666666666667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74.447287056432231</v>
      </c>
      <c r="T50" s="62">
        <f t="shared" si="34"/>
        <v>325.27549009125408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52.645738236992578</v>
      </c>
      <c r="AA50" s="23">
        <f>EXP(-LN(2)/25)*AA49+(1-EXP(-LN(2)/25))/(LN(2)/25)*Calculateur!V50*Calculateur!X50*VLOOKUP('Données projet'!$B$9,Paramètres!$A$1:$I$89,3,0)*0.475*44/12</f>
        <v>4.9335570376572173</v>
      </c>
      <c r="AB50" s="23">
        <f>EXP(-LN(2)/2)*AB49+(1-EXP(-LN(2)/2))/(LN(2)/2)*V50*Y50*VLOOKUP('Données projet'!$B$9,Paramètres!$A$1:$I$89,3,0)*0.475*44/12</f>
        <v>0</v>
      </c>
      <c r="AC50" s="24">
        <f t="shared" si="3"/>
        <v>57.579295274649795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153.40000000000003</v>
      </c>
      <c r="AJ50" s="14">
        <f>AI50*VLOOKUP('Données projet'!$B$10,Paramètres!$A$1:$I$89,3,0)*VLOOKUP('Données projet'!$B$10,Paramètres!$A$1:$I$89,5,0)</f>
        <v>138.79632000000001</v>
      </c>
      <c r="AK50" s="14">
        <f t="shared" si="35"/>
        <v>36.021120886354588</v>
      </c>
      <c r="AL50" s="22">
        <f t="shared" si="4"/>
        <v>304.47370954373423</v>
      </c>
      <c r="AM50" s="62">
        <f t="shared" si="5"/>
        <v>597.80704287706749</v>
      </c>
      <c r="AN50" s="62">
        <f ca="1">AVERAGE(OFFSET($AM$3,0,0,'Données projet'!$E$10+1,1))-AVERAGE(OFFSET($H$3,0,0,'Données projet'!$E$10+1,1))</f>
        <v>332.68760696564266</v>
      </c>
      <c r="AO50" s="62">
        <f t="shared" si="36"/>
        <v>231.36959598460686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6.166666666666667</v>
      </c>
      <c r="BD50" s="13">
        <f>IF('Données projet'!$A$88&gt;35,BD49+BC50-BL49,IF(A50&lt;'Données projet'!$A$88,$BA$205^A50,IF(A50='Données projet'!$A$88,'Données projet'!$B$88,BD49+BC50-BL49)))</f>
        <v>113.83333333333334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74.447287056432231</v>
      </c>
      <c r="T51" s="62">
        <f t="shared" si="34"/>
        <v>325.27549009125408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51.61338742089481</v>
      </c>
      <c r="AA51" s="23">
        <f>EXP(-LN(2)/25)*AA50+(1-EXP(-LN(2)/25))/(LN(2)/25)*Calculateur!V51*Calculateur!X51*VLOOKUP('Données projet'!$B$9,Paramètres!$A$1:$I$89,3,0)*0.475*44/12</f>
        <v>4.7986486610179915</v>
      </c>
      <c r="AB51" s="23">
        <f>EXP(-LN(2)/2)*AB50+(1-EXP(-LN(2)/2))/(LN(2)/2)*V51*Y51*VLOOKUP('Données projet'!$B$9,Paramètres!$A$1:$I$89,3,0)*0.475*44/12</f>
        <v>0</v>
      </c>
      <c r="AC51" s="24">
        <f t="shared" si="3"/>
        <v>56.412036081912802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161.60000000000002</v>
      </c>
      <c r="AJ51" s="14">
        <f>AI51*VLOOKUP('Données projet'!$B$10,Paramètres!$A$1:$I$89,3,0)*VLOOKUP('Données projet'!$B$10,Paramètres!$A$1:$I$89,5,0)</f>
        <v>146.21568000000002</v>
      </c>
      <c r="AK51" s="14">
        <f t="shared" si="35"/>
        <v>37.717310552893402</v>
      </c>
      <c r="AL51" s="22">
        <f t="shared" si="4"/>
        <v>320.34995854628937</v>
      </c>
      <c r="AM51" s="62">
        <f t="shared" si="5"/>
        <v>613.68329187962263</v>
      </c>
      <c r="AN51" s="62">
        <f ca="1">AVERAGE(OFFSET($AM$3,0,0,'Données projet'!$E$10+1,1))-AVERAGE(OFFSET($H$3,0,0,'Données projet'!$E$10+1,1))</f>
        <v>332.68760696564266</v>
      </c>
      <c r="AO51" s="62">
        <f t="shared" si="36"/>
        <v>231.36959598460686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>
        <f>VLOOKUP(A51,'Données projet'!$A$87:$I$107,2,0)</f>
        <v>120</v>
      </c>
      <c r="BB51" s="13">
        <f>VLOOKUP(A51,'Données projet'!$A$87:$I$107,9,0)</f>
        <v>6.166666666666667</v>
      </c>
      <c r="BC51" s="13">
        <f t="array" ref="BC51">INDEX(BB:BB,MIN(IF(ISNUMBER(BB51:BB247),ROW(BB51:BB247),"")))</f>
        <v>6.166666666666667</v>
      </c>
      <c r="BD51" s="13">
        <f>IF('Données projet'!$A$88&gt;35,BD50+BC51-BL50,IF(A51&lt;'Données projet'!$A$88,$BA$205^A51,IF(A51='Données projet'!$A$88,'Données projet'!$B$88,BD50+BC51-BL50)))</f>
        <v>120.00000000000001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2</v>
      </c>
      <c r="BL51" s="16">
        <f>IF(ISNA(VLOOKUP(A51,'Données projet'!$A$87:$I$107,4,0)),0,VLOOKUP(A51,'Données projet'!$A$87:$I$107,4,0))</f>
        <v>28</v>
      </c>
      <c r="BM51" s="17" t="e">
        <f>IF(ISNA(VLOOKUP(A51,'Données projet'!$A$87:$I$107,5,0)),0%,VLOOKUP(A51,'Données projet'!$A$87:$I$107,5,0)*VLOOKUP('Données projet'!$B$11,Paramètres!$A$1:$I$89,7,0))</f>
        <v>#N/A</v>
      </c>
      <c r="BN51" s="17" t="e">
        <f>IF(ISNA(VLOOKUP(A51,'Données projet'!$A$87:$I$107,6,0)),0%,VLOOKUP(A51,'Données projet'!$A$87:$I$107,6,0)*VLOOKUP('Données projet'!$B$11,Paramètres!$A$1:$I$89,7,0))</f>
        <v>#N/A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74.447287056432231</v>
      </c>
      <c r="T52" s="62">
        <f t="shared" si="34"/>
        <v>325.27549009125408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50.601280374628892</v>
      </c>
      <c r="AA52" s="23">
        <f>EXP(-LN(2)/25)*AA51+(1-EXP(-LN(2)/25))/(LN(2)/25)*Calculateur!V52*Calculateur!X52*VLOOKUP('Données projet'!$B$9,Paramètres!$A$1:$I$89,3,0)*0.475*44/12</f>
        <v>4.6674293610324886</v>
      </c>
      <c r="AB52" s="23">
        <f>EXP(-LN(2)/2)*AB51+(1-EXP(-LN(2)/2))/(LN(2)/2)*V52*Y52*VLOOKUP('Données projet'!$B$9,Paramètres!$A$1:$I$89,3,0)*0.475*44/12</f>
        <v>0</v>
      </c>
      <c r="AC52" s="24">
        <f t="shared" si="3"/>
        <v>55.268709735661382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169.8</v>
      </c>
      <c r="AJ52" s="14">
        <f>AI52*VLOOKUP('Données projet'!$B$10,Paramètres!$A$1:$I$89,3,0)*VLOOKUP('Données projet'!$B$10,Paramètres!$A$1:$I$89,5,0)</f>
        <v>153.63504</v>
      </c>
      <c r="AK52" s="14">
        <f t="shared" si="35"/>
        <v>39.403506785222667</v>
      </c>
      <c r="AL52" s="22">
        <f t="shared" si="4"/>
        <v>336.20880231759617</v>
      </c>
      <c r="AM52" s="62">
        <f t="shared" si="5"/>
        <v>629.54213565092948</v>
      </c>
      <c r="AN52" s="62">
        <f ca="1">AVERAGE(OFFSET($AM$3,0,0,'Données projet'!$E$10+1,1))-AVERAGE(OFFSET($H$3,0,0,'Données projet'!$E$10+1,1))</f>
        <v>332.68760696564266</v>
      </c>
      <c r="AO52" s="62">
        <f t="shared" si="36"/>
        <v>231.36959598460686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5.75</v>
      </c>
      <c r="BD52" s="13">
        <f>IF('Données projet'!$A$88&gt;35,BD51+BC52-BL51,IF(A52&lt;'Données projet'!$A$88,$BA$205^A52,IF(A52='Données projet'!$A$88,'Données projet'!$B$88,BD51+BC52-BL51)))</f>
        <v>97.750000000000014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74.447287056432231</v>
      </c>
      <c r="T53" s="62">
        <f t="shared" si="34"/>
        <v>325.27549009125408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49.60902013021591</v>
      </c>
      <c r="AA53" s="23">
        <f>EXP(-LN(2)/25)*AA52+(1-EXP(-LN(2)/25))/(LN(2)/25)*Calculateur!V53*Calculateur!X53*VLOOKUP('Données projet'!$B$9,Paramètres!$A$1:$I$89,3,0)*0.475*44/12</f>
        <v>4.5397982597056128</v>
      </c>
      <c r="AB53" s="23">
        <f>EXP(-LN(2)/2)*AB52+(1-EXP(-LN(2)/2))/(LN(2)/2)*V53*Y53*VLOOKUP('Données projet'!$B$9,Paramètres!$A$1:$I$89,3,0)*0.475*44/12</f>
        <v>0</v>
      </c>
      <c r="AC53" s="24">
        <f t="shared" si="3"/>
        <v>54.148818389921523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178</v>
      </c>
      <c r="AJ53" s="14">
        <f>AI53*VLOOKUP('Données projet'!$B$10,Paramètres!$A$1:$I$89,3,0)*VLOOKUP('Données projet'!$B$10,Paramètres!$A$1:$I$89,5,0)</f>
        <v>161.05439999999999</v>
      </c>
      <c r="AK53" s="14">
        <f t="shared" si="35"/>
        <v>41.080247278685491</v>
      </c>
      <c r="AL53" s="22">
        <f t="shared" si="4"/>
        <v>352.05117734371055</v>
      </c>
      <c r="AM53" s="62">
        <f t="shared" si="5"/>
        <v>645.38451067704386</v>
      </c>
      <c r="AN53" s="62">
        <f ca="1">AVERAGE(OFFSET($AM$3,0,0,'Données projet'!$E$10+1,1))-AVERAGE(OFFSET($H$3,0,0,'Données projet'!$E$10+1,1))</f>
        <v>332.68760696564266</v>
      </c>
      <c r="AO53" s="62">
        <f t="shared" si="36"/>
        <v>231.36959598460686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5.75</v>
      </c>
      <c r="BD53" s="13">
        <f>IF('Données projet'!$A$88&gt;35,BD52+BC53-BL52,IF(A53&lt;'Données projet'!$A$88,$BA$205^A53,IF(A53='Données projet'!$A$88,'Données projet'!$B$88,BD52+BC53-BL52)))</f>
        <v>103.50000000000001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74.447287056432231</v>
      </c>
      <c r="T54" s="62">
        <f t="shared" si="34"/>
        <v>325.27549009125408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48.636217503976873</v>
      </c>
      <c r="AA54" s="23">
        <f>EXP(-LN(2)/25)*AA53+(1-EXP(-LN(2)/25))/(LN(2)/25)*Calculateur!V54*Calculateur!X54*VLOOKUP('Données projet'!$B$9,Paramètres!$A$1:$I$89,3,0)*0.475*44/12</f>
        <v>4.4156572375563483</v>
      </c>
      <c r="AB54" s="23">
        <f>EXP(-LN(2)/2)*AB53+(1-EXP(-LN(2)/2))/(LN(2)/2)*V54*Y54*VLOOKUP('Données projet'!$B$9,Paramètres!$A$1:$I$89,3,0)*0.475*44/12</f>
        <v>0</v>
      </c>
      <c r="AC54" s="24">
        <f t="shared" si="3"/>
        <v>53.051874741533219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149.29199999999997</v>
      </c>
      <c r="AK54" s="14">
        <f t="shared" si="35"/>
        <v>38.417645803815411</v>
      </c>
      <c r="AL54" s="22">
        <f t="shared" si="4"/>
        <v>326.9276331083118</v>
      </c>
      <c r="AM54" s="62">
        <f t="shared" si="5"/>
        <v>620.26096644164511</v>
      </c>
      <c r="AN54" s="62">
        <f ca="1">AVERAGE(OFFSET($AM$3,0,0,'Données projet'!$E$10+1,1))-AVERAGE(OFFSET($H$3,0,0,'Données projet'!$E$10+1,1))</f>
        <v>332.68760696564266</v>
      </c>
      <c r="AO54" s="62">
        <f t="shared" si="36"/>
        <v>231.36959598460686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5.75</v>
      </c>
      <c r="BD54" s="13">
        <f>IF('Données projet'!$A$88&gt;35,BD53+BC54-BL53,IF(A54&lt;'Données projet'!$A$88,$BA$205^A54,IF(A54='Données projet'!$A$88,'Données projet'!$B$88,BD53+BC54-BL53)))</f>
        <v>109.25000000000001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74.447287056432231</v>
      </c>
      <c r="T55" s="62">
        <f t="shared" si="34"/>
        <v>325.27549009125408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47.682490943887373</v>
      </c>
      <c r="AA55" s="23">
        <f>EXP(-LN(2)/25)*AA54+(1-EXP(-LN(2)/25))/(LN(2)/25)*Calculateur!V55*Calculateur!X55*VLOOKUP('Données projet'!$B$9,Paramètres!$A$1:$I$89,3,0)*0.475*44/12</f>
        <v>4.2949108581860482</v>
      </c>
      <c r="AB55" s="23">
        <f>EXP(-LN(2)/2)*AB54+(1-EXP(-LN(2)/2))/(LN(2)/2)*V55*Y55*VLOOKUP('Données projet'!$B$9,Paramètres!$A$1:$I$89,3,0)*0.475*44/12</f>
        <v>0</v>
      </c>
      <c r="AC55" s="24">
        <f t="shared" si="3"/>
        <v>51.977401802073423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156.53039999999999</v>
      </c>
      <c r="AK55" s="14">
        <f t="shared" si="35"/>
        <v>40.058941713182037</v>
      </c>
      <c r="AL55" s="22">
        <f t="shared" si="4"/>
        <v>342.393103483792</v>
      </c>
      <c r="AM55" s="62">
        <f t="shared" si="5"/>
        <v>635.72643681712532</v>
      </c>
      <c r="AN55" s="62">
        <f ca="1">AVERAGE(OFFSET($AM$3,0,0,'Données projet'!$E$10+1,1))-AVERAGE(OFFSET($H$3,0,0,'Données projet'!$E$10+1,1))</f>
        <v>332.68760696564266</v>
      </c>
      <c r="AO55" s="62">
        <f t="shared" si="36"/>
        <v>231.36959598460686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5.75</v>
      </c>
      <c r="BD55" s="13">
        <f>IF('Données projet'!$A$88&gt;35,BD54+BC55-BL54,IF(A55&lt;'Données projet'!$A$88,$BA$205^A55,IF(A55='Données projet'!$A$88,'Données projet'!$B$88,BD54+BC55-BL54)))</f>
        <v>115.00000000000001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74.447287056432231</v>
      </c>
      <c r="T56" s="62">
        <f t="shared" si="34"/>
        <v>325.27549009125408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46.747466379925463</v>
      </c>
      <c r="AA56" s="23">
        <f>EXP(-LN(2)/25)*AA55+(1-EXP(-LN(2)/25))/(LN(2)/25)*Calculateur!V56*Calculateur!X56*VLOOKUP('Données projet'!$B$9,Paramètres!$A$1:$I$89,3,0)*0.475*44/12</f>
        <v>4.1774662949094052</v>
      </c>
      <c r="AB56" s="23">
        <f>EXP(-LN(2)/2)*AB55+(1-EXP(-LN(2)/2))/(LN(2)/2)*V56*Y56*VLOOKUP('Données projet'!$B$9,Paramètres!$A$1:$I$89,3,0)*0.475*44/12</f>
        <v>0</v>
      </c>
      <c r="AC56" s="24">
        <f t="shared" si="3"/>
        <v>50.924932674834871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163.7688</v>
      </c>
      <c r="AK56" s="14">
        <f t="shared" si="35"/>
        <v>41.691423503509803</v>
      </c>
      <c r="AL56" s="22">
        <f t="shared" si="4"/>
        <v>357.84322260194625</v>
      </c>
      <c r="AM56" s="62">
        <f t="shared" si="5"/>
        <v>651.17655593527957</v>
      </c>
      <c r="AN56" s="62">
        <f ca="1">AVERAGE(OFFSET($AM$3,0,0,'Données projet'!$E$10+1,1))-AVERAGE(OFFSET($H$3,0,0,'Données projet'!$E$10+1,1))</f>
        <v>332.68760696564266</v>
      </c>
      <c r="AO56" s="62">
        <f t="shared" si="36"/>
        <v>231.36959598460686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5.75</v>
      </c>
      <c r="BD56" s="13">
        <f>IF('Données projet'!$A$88&gt;35,BD55+BC56-BL55,IF(A56&lt;'Données projet'!$A$88,$BA$205^A56,IF(A56='Données projet'!$A$88,'Données projet'!$B$88,BD55+BC56-BL55)))</f>
        <v>120.75000000000001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74.447287056432231</v>
      </c>
      <c r="T57" s="62">
        <f t="shared" si="34"/>
        <v>325.27549009125408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45.830777077354178</v>
      </c>
      <c r="AA57" s="23">
        <f>EXP(-LN(2)/25)*AA56+(1-EXP(-LN(2)/25))/(LN(2)/25)*Calculateur!V57*Calculateur!X57*VLOOKUP('Données projet'!$B$9,Paramètres!$A$1:$I$89,3,0)*0.475*44/12</f>
        <v>4.0632332593917031</v>
      </c>
      <c r="AB57" s="23">
        <f>EXP(-LN(2)/2)*AB56+(1-EXP(-LN(2)/2))/(LN(2)/2)*V57*Y57*VLOOKUP('Données projet'!$B$9,Paramètres!$A$1:$I$89,3,0)*0.475*44/12</f>
        <v>0</v>
      </c>
      <c r="AC57" s="24">
        <f t="shared" si="3"/>
        <v>49.894010336745879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171.00719999999998</v>
      </c>
      <c r="AK57" s="14">
        <f t="shared" si="35"/>
        <v>43.315525267338089</v>
      </c>
      <c r="AL57" s="22">
        <f t="shared" si="4"/>
        <v>373.27874650728046</v>
      </c>
      <c r="AM57" s="62">
        <f t="shared" si="5"/>
        <v>666.61207984061377</v>
      </c>
      <c r="AN57" s="62">
        <f ca="1">AVERAGE(OFFSET($AM$3,0,0,'Données projet'!$E$10+1,1))-AVERAGE(OFFSET($H$3,0,0,'Données projet'!$E$10+1,1))</f>
        <v>332.68760696564266</v>
      </c>
      <c r="AO57" s="62">
        <f t="shared" si="36"/>
        <v>231.36959598460686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5.75</v>
      </c>
      <c r="BD57" s="13">
        <f>IF('Données projet'!$A$88&gt;35,BD56+BC57-BL56,IF(A57&lt;'Données projet'!$A$88,$BA$205^A57,IF(A57='Données projet'!$A$88,'Données projet'!$B$88,BD56+BC57-BL56)))</f>
        <v>126.50000000000001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74.447287056432231</v>
      </c>
      <c r="T58" s="62">
        <f t="shared" si="34"/>
        <v>325.27549009125408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44.932063492881049</v>
      </c>
      <c r="AA58" s="23">
        <f>EXP(-LN(2)/25)*AA57+(1-EXP(-LN(2)/25))/(LN(2)/25)*Calculateur!V58*Calculateur!X58*VLOOKUP('Données projet'!$B$9,Paramètres!$A$1:$I$89,3,0)*0.475*44/12</f>
        <v>3.9521239322374866</v>
      </c>
      <c r="AB58" s="23">
        <f>EXP(-LN(2)/2)*AB57+(1-EXP(-LN(2)/2))/(LN(2)/2)*V58*Y58*VLOOKUP('Données projet'!$B$9,Paramètres!$A$1:$I$89,3,0)*0.475*44/12</f>
        <v>0</v>
      </c>
      <c r="AC58" s="24">
        <f t="shared" si="3"/>
        <v>48.884187425118533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178.2456</v>
      </c>
      <c r="AK58" s="14">
        <f t="shared" si="35"/>
        <v>44.931642269910427</v>
      </c>
      <c r="AL58" s="22">
        <f t="shared" si="4"/>
        <v>388.70036362009404</v>
      </c>
      <c r="AM58" s="62">
        <f t="shared" si="5"/>
        <v>682.03369695342735</v>
      </c>
      <c r="AN58" s="62">
        <f ca="1">AVERAGE(OFFSET($AM$3,0,0,'Données projet'!$E$10+1,1))-AVERAGE(OFFSET($H$3,0,0,'Données projet'!$E$10+1,1))</f>
        <v>332.68760696564266</v>
      </c>
      <c r="AO58" s="62">
        <f t="shared" si="36"/>
        <v>231.36959598460686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5.75</v>
      </c>
      <c r="BD58" s="13">
        <f>IF('Données projet'!$A$88&gt;35,BD57+BC58-BL57,IF(A58&lt;'Données projet'!$A$88,$BA$205^A58,IF(A58='Données projet'!$A$88,'Données projet'!$B$88,BD57+BC58-BL57)))</f>
        <v>132.25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74.447287056432231</v>
      </c>
      <c r="T59" s="62">
        <f t="shared" si="34"/>
        <v>325.27549009125408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44.05097313363828</v>
      </c>
      <c r="AA59" s="23">
        <f>EXP(-LN(2)/25)*AA58+(1-EXP(-LN(2)/25))/(LN(2)/25)*Calculateur!V59*Calculateur!X59*VLOOKUP('Données projet'!$B$9,Paramètres!$A$1:$I$89,3,0)*0.475*44/12</f>
        <v>3.8440528954772875</v>
      </c>
      <c r="AB59" s="23">
        <f>EXP(-LN(2)/2)*AB58+(1-EXP(-LN(2)/2))/(LN(2)/2)*V59*Y59*VLOOKUP('Données projet'!$B$9,Paramètres!$A$1:$I$89,3,0)*0.475*44/12</f>
        <v>0</v>
      </c>
      <c r="AC59" s="24">
        <f t="shared" si="3"/>
        <v>47.89502602911557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183.6</v>
      </c>
      <c r="AJ59" s="14">
        <f>AI59*VLOOKUP('Données projet'!$B$10,Paramètres!$A$1:$I$89,3,0)*VLOOKUP('Données projet'!$B$10,Paramètres!$A$1:$I$89,5,0)</f>
        <v>166.12127999999998</v>
      </c>
      <c r="AK59" s="14">
        <f t="shared" si="35"/>
        <v>42.220155874487318</v>
      </c>
      <c r="AL59" s="22">
        <f t="shared" si="4"/>
        <v>362.8613341480654</v>
      </c>
      <c r="AM59" s="62">
        <f t="shared" si="5"/>
        <v>656.19466748139871</v>
      </c>
      <c r="AN59" s="62">
        <f ca="1">AVERAGE(OFFSET($AM$3,0,0,'Données projet'!$E$10+1,1))-AVERAGE(OFFSET($H$3,0,0,'Données projet'!$E$10+1,1))</f>
        <v>332.68760696564266</v>
      </c>
      <c r="AO59" s="62">
        <f t="shared" si="36"/>
        <v>231.36959598460686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>
        <f>VLOOKUP(A59,'Données projet'!$A$87:$I$107,2,0)</f>
        <v>138</v>
      </c>
      <c r="BB59" s="13">
        <f>VLOOKUP(A59,'Données projet'!$A$87:$I$107,9,0)</f>
        <v>5.75</v>
      </c>
      <c r="BC59" s="13">
        <f t="array" ref="BC59">INDEX(BB:BB,MIN(IF(ISNUMBER(BB59:BB255),ROW(BB59:BB255),"")))</f>
        <v>5.75</v>
      </c>
      <c r="BD59" s="13">
        <f>IF('Données projet'!$A$88&gt;35,BD58+BC59-BL58,IF(A59&lt;'Données projet'!$A$88,$BA$205^A59,IF(A59='Données projet'!$A$88,'Données projet'!$B$88,BD58+BC59-BL58)))</f>
        <v>138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3</v>
      </c>
      <c r="BL59" s="16">
        <f>IF(ISNA(VLOOKUP(A59,'Données projet'!$A$87:$I$107,4,0)),0,VLOOKUP(A59,'Données projet'!$A$87:$I$107,4,0))</f>
        <v>36</v>
      </c>
      <c r="BM59" s="17" t="e">
        <f>IF(ISNA(VLOOKUP(A59,'Données projet'!$A$87:$I$107,5,0)),0%,VLOOKUP(A59,'Données projet'!$A$87:$I$107,5,0)*VLOOKUP('Données projet'!$B$11,Paramètres!$A$1:$I$89,7,0))</f>
        <v>#N/A</v>
      </c>
      <c r="BN59" s="17" t="e">
        <f>IF(ISNA(VLOOKUP(A59,'Données projet'!$A$87:$I$107,6,0)),0%,VLOOKUP(A59,'Données projet'!$A$87:$I$107,6,0)*VLOOKUP('Données projet'!$B$11,Paramètres!$A$1:$I$89,7,0))</f>
        <v>#N/A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74.447287056432231</v>
      </c>
      <c r="T60" s="62">
        <f t="shared" si="34"/>
        <v>325.27549009125408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43.187160418928208</v>
      </c>
      <c r="AA60" s="23">
        <f>EXP(-LN(2)/25)*AA59+(1-EXP(-LN(2)/25))/(LN(2)/25)*Calculateur!V60*Calculateur!X60*VLOOKUP('Données projet'!$B$9,Paramètres!$A$1:$I$89,3,0)*0.475*44/12</f>
        <v>3.7389370669005051</v>
      </c>
      <c r="AB60" s="23">
        <f>EXP(-LN(2)/2)*AB59+(1-EXP(-LN(2)/2))/(LN(2)/2)*V60*Y60*VLOOKUP('Données projet'!$B$9,Paramètres!$A$1:$I$89,3,0)*0.475*44/12</f>
        <v>0</v>
      </c>
      <c r="AC60" s="24">
        <f t="shared" si="3"/>
        <v>46.926097485828713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191.2</v>
      </c>
      <c r="AJ60" s="14">
        <f>AI60*VLOOKUP('Données projet'!$B$10,Paramètres!$A$1:$I$89,3,0)*VLOOKUP('Données projet'!$B$10,Paramètres!$A$1:$I$89,5,0)</f>
        <v>172.99775999999997</v>
      </c>
      <c r="AK60" s="14">
        <f t="shared" si="35"/>
        <v>43.760737531919609</v>
      </c>
      <c r="AL60" s="22">
        <f t="shared" si="4"/>
        <v>377.52104986809326</v>
      </c>
      <c r="AM60" s="62">
        <f t="shared" si="5"/>
        <v>670.85438320142657</v>
      </c>
      <c r="AN60" s="62">
        <f ca="1">AVERAGE(OFFSET($AM$3,0,0,'Données projet'!$E$10+1,1))-AVERAGE(OFFSET($H$3,0,0,'Données projet'!$E$10+1,1))</f>
        <v>332.68760696564266</v>
      </c>
      <c r="AO60" s="62">
        <f t="shared" si="36"/>
        <v>231.36959598460686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6.625</v>
      </c>
      <c r="BD60" s="13">
        <f>IF('Données projet'!$A$88&gt;35,BD59+BC60-BL59,IF(A60&lt;'Données projet'!$A$88,$BA$205^A60,IF(A60='Données projet'!$A$88,'Données projet'!$B$88,BD59+BC60-BL59)))</f>
        <v>108.625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74.447287056432231</v>
      </c>
      <c r="T61" s="62">
        <f t="shared" si="34"/>
        <v>325.27549009125408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42.34028654467987</v>
      </c>
      <c r="AA61" s="23">
        <f>EXP(-LN(2)/25)*AA60+(1-EXP(-LN(2)/25))/(LN(2)/25)*Calculateur!V61*Calculateur!X61*VLOOKUP('Données projet'!$B$9,Paramètres!$A$1:$I$89,3,0)*0.475*44/12</f>
        <v>3.6366956361839557</v>
      </c>
      <c r="AB61" s="23">
        <f>EXP(-LN(2)/2)*AB60+(1-EXP(-LN(2)/2))/(LN(2)/2)*V61*Y61*VLOOKUP('Données projet'!$B$9,Paramètres!$A$1:$I$89,3,0)*0.475*44/12</f>
        <v>0</v>
      </c>
      <c r="AC61" s="24">
        <f t="shared" si="3"/>
        <v>45.976982180863828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198.79999999999998</v>
      </c>
      <c r="AJ61" s="14">
        <f>AI61*VLOOKUP('Données projet'!$B$10,Paramètres!$A$1:$I$89,3,0)*VLOOKUP('Données projet'!$B$10,Paramètres!$A$1:$I$89,5,0)</f>
        <v>179.87423999999999</v>
      </c>
      <c r="AK61" s="14">
        <f t="shared" si="35"/>
        <v>45.294205745553846</v>
      </c>
      <c r="AL61" s="22">
        <f t="shared" si="4"/>
        <v>392.16837634017293</v>
      </c>
      <c r="AM61" s="62">
        <f t="shared" si="5"/>
        <v>685.50170967350618</v>
      </c>
      <c r="AN61" s="62">
        <f ca="1">AVERAGE(OFFSET($AM$3,0,0,'Données projet'!$E$10+1,1))-AVERAGE(OFFSET($H$3,0,0,'Données projet'!$E$10+1,1))</f>
        <v>332.68760696564266</v>
      </c>
      <c r="AO61" s="62">
        <f t="shared" si="36"/>
        <v>231.36959598460686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6.625</v>
      </c>
      <c r="BD61" s="13">
        <f>IF('Données projet'!$A$88&gt;35,BD60+BC61-BL60,IF(A61&lt;'Données projet'!$A$88,$BA$205^A61,IF(A61='Données projet'!$A$88,'Données projet'!$B$88,BD60+BC61-BL60)))</f>
        <v>115.25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74.447287056432231</v>
      </c>
      <c r="T62" s="62">
        <f t="shared" si="34"/>
        <v>325.27549009125408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41.510019350563482</v>
      </c>
      <c r="AA62" s="23">
        <f>EXP(-LN(2)/25)*AA61+(1-EXP(-LN(2)/25))/(LN(2)/25)*Calculateur!V62*Calculateur!X62*VLOOKUP('Données projet'!$B$9,Paramètres!$A$1:$I$89,3,0)*0.475*44/12</f>
        <v>3.537250002766994</v>
      </c>
      <c r="AB62" s="23">
        <f>EXP(-LN(2)/2)*AB61+(1-EXP(-LN(2)/2))/(LN(2)/2)*V62*Y62*VLOOKUP('Données projet'!$B$9,Paramètres!$A$1:$I$89,3,0)*0.475*44/12</f>
        <v>0</v>
      </c>
      <c r="AC62" s="24">
        <f t="shared" si="3"/>
        <v>45.047269353330478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206.39999999999998</v>
      </c>
      <c r="AJ62" s="14">
        <f>AI62*VLOOKUP('Données projet'!$B$10,Paramètres!$A$1:$I$89,3,0)*VLOOKUP('Données projet'!$B$10,Paramètres!$A$1:$I$89,5,0)</f>
        <v>186.75071999999997</v>
      </c>
      <c r="AK62" s="14">
        <f t="shared" si="35"/>
        <v>46.820863587839391</v>
      </c>
      <c r="AL62" s="22">
        <f t="shared" si="4"/>
        <v>406.80384141548689</v>
      </c>
      <c r="AM62" s="62">
        <f t="shared" si="5"/>
        <v>700.13717474882014</v>
      </c>
      <c r="AN62" s="62">
        <f ca="1">AVERAGE(OFFSET($AM$3,0,0,'Données projet'!$E$10+1,1))-AVERAGE(OFFSET($H$3,0,0,'Données projet'!$E$10+1,1))</f>
        <v>332.68760696564266</v>
      </c>
      <c r="AO62" s="62">
        <f t="shared" si="36"/>
        <v>231.36959598460686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6.625</v>
      </c>
      <c r="BD62" s="13">
        <f>IF('Données projet'!$A$88&gt;35,BD61+BC62-BL61,IF(A62&lt;'Données projet'!$A$88,$BA$205^A62,IF(A62='Données projet'!$A$88,'Données projet'!$B$88,BD61+BC62-BL61)))</f>
        <v>121.875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74.447287056432231</v>
      </c>
      <c r="T63" s="62">
        <f t="shared" si="34"/>
        <v>325.27549009125408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40.696033189710732</v>
      </c>
      <c r="AA63" s="23">
        <f>EXP(-LN(2)/25)*AA62+(1-EXP(-LN(2)/25))/(LN(2)/25)*Calculateur!V63*Calculateur!X63*VLOOKUP('Données projet'!$B$9,Paramètres!$A$1:$I$89,3,0)*0.475*44/12</f>
        <v>3.4405237154254373</v>
      </c>
      <c r="AB63" s="23">
        <f>EXP(-LN(2)/2)*AB62+(1-EXP(-LN(2)/2))/(LN(2)/2)*V63*Y63*VLOOKUP('Données projet'!$B$9,Paramètres!$A$1:$I$89,3,0)*0.475*44/12</f>
        <v>0</v>
      </c>
      <c r="AC63" s="24">
        <f t="shared" si="3"/>
        <v>44.136556905136167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213.99999999999997</v>
      </c>
      <c r="AJ63" s="14">
        <f>AI63*VLOOKUP('Données projet'!$B$10,Paramètres!$A$1:$I$89,3,0)*VLOOKUP('Données projet'!$B$10,Paramètres!$A$1:$I$89,5,0)</f>
        <v>193.62719999999996</v>
      </c>
      <c r="AK63" s="14">
        <f t="shared" si="35"/>
        <v>48.340990547231193</v>
      </c>
      <c r="AL63" s="22">
        <f t="shared" si="4"/>
        <v>421.42793186976087</v>
      </c>
      <c r="AM63" s="62">
        <f t="shared" si="5"/>
        <v>714.76126520309413</v>
      </c>
      <c r="AN63" s="62">
        <f ca="1">AVERAGE(OFFSET($AM$3,0,0,'Données projet'!$E$10+1,1))-AVERAGE(OFFSET($H$3,0,0,'Données projet'!$E$10+1,1))</f>
        <v>332.68760696564266</v>
      </c>
      <c r="AO63" s="62">
        <f t="shared" si="36"/>
        <v>231.36959598460686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0.17200000000000001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3.6128293130379046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3.6128293130379046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6.625</v>
      </c>
      <c r="BD63" s="13">
        <f>IF('Données projet'!$A$88&gt;35,BD62+BC63-BL62,IF(A63&lt;'Données projet'!$A$88,$BA$205^A63,IF(A63='Données projet'!$A$88,'Données projet'!$B$88,BD62+BC63-BL62)))</f>
        <v>128.5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74.447287056432231</v>
      </c>
      <c r="T64" s="62">
        <f t="shared" si="34"/>
        <v>325.27549009125408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39.898008800989771</v>
      </c>
      <c r="AA64" s="23">
        <f>EXP(-LN(2)/25)*AA63+(1-EXP(-LN(2)/25))/(LN(2)/25)*Calculateur!V64*Calculateur!X64*VLOOKUP('Données projet'!$B$9,Paramètres!$A$1:$I$89,3,0)*0.475*44/12</f>
        <v>3.3464424134978499</v>
      </c>
      <c r="AB64" s="23">
        <f>EXP(-LN(2)/2)*AB63+(1-EXP(-LN(2)/2))/(LN(2)/2)*V64*Y64*VLOOKUP('Données projet'!$B$9,Paramètres!$A$1:$I$89,3,0)*0.475*44/12</f>
        <v>0</v>
      </c>
      <c r="AC64" s="24">
        <f t="shared" si="3"/>
        <v>43.244451214487619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181.14095999999995</v>
      </c>
      <c r="AK64" s="14">
        <f t="shared" si="35"/>
        <v>45.575935320610945</v>
      </c>
      <c r="AL64" s="22">
        <f t="shared" si="4"/>
        <v>394.86525935006392</v>
      </c>
      <c r="AM64" s="62">
        <f t="shared" si="5"/>
        <v>688.19859268339724</v>
      </c>
      <c r="AN64" s="62">
        <f ca="1">AVERAGE(OFFSET($AM$3,0,0,'Données projet'!$E$10+1,1))-AVERAGE(OFFSET($H$3,0,0,'Données projet'!$E$10+1,1))</f>
        <v>332.68760696564266</v>
      </c>
      <c r="AO64" s="62">
        <f t="shared" si="36"/>
        <v>231.36959598460686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3.5419839338175239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3.5419839338175239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6.625</v>
      </c>
      <c r="BD64" s="13">
        <f>IF('Données projet'!$A$88&gt;35,BD63+BC64-BL63,IF(A64&lt;'Données projet'!$A$88,$BA$205^A64,IF(A64='Données projet'!$A$88,'Données projet'!$B$88,BD63+BC64-BL63)))</f>
        <v>135.125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74.447287056432231</v>
      </c>
      <c r="T65" s="62">
        <f t="shared" si="34"/>
        <v>325.27549009125408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39.115633183784809</v>
      </c>
      <c r="AA65" s="23">
        <f>EXP(-LN(2)/25)*AA64+(1-EXP(-LN(2)/25))/(LN(2)/25)*Calculateur!V65*Calculateur!X65*VLOOKUP('Données projet'!$B$9,Paramètres!$A$1:$I$89,3,0)*0.475*44/12</f>
        <v>3.2549337697189928</v>
      </c>
      <c r="AB65" s="23">
        <f>EXP(-LN(2)/2)*AB64+(1-EXP(-LN(2)/2))/(LN(2)/2)*V65*Y65*VLOOKUP('Données projet'!$B$9,Paramètres!$A$1:$I$89,3,0)*0.475*44/12</f>
        <v>0</v>
      </c>
      <c r="AC65" s="24">
        <f t="shared" si="3"/>
        <v>42.370566953503804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187.65551999999994</v>
      </c>
      <c r="AK65" s="14">
        <f t="shared" si="35"/>
        <v>47.021247649900147</v>
      </c>
      <c r="AL65" s="22">
        <f t="shared" si="4"/>
        <v>408.72870365690932</v>
      </c>
      <c r="AM65" s="62">
        <f t="shared" si="5"/>
        <v>702.06203699024263</v>
      </c>
      <c r="AN65" s="62">
        <f ca="1">AVERAGE(OFFSET($AM$3,0,0,'Données projet'!$E$10+1,1))-AVERAGE(OFFSET($H$3,0,0,'Données projet'!$E$10+1,1))</f>
        <v>332.68760696564266</v>
      </c>
      <c r="AO65" s="62">
        <f t="shared" si="36"/>
        <v>231.36959598460686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3.4725277892722404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3.4725277892722404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6.625</v>
      </c>
      <c r="BD65" s="13">
        <f>IF('Données projet'!$A$88&gt;35,BD64+BC65-BL64,IF(A65&lt;'Données projet'!$A$88,$BA$205^A65,IF(A65='Données projet'!$A$88,'Données projet'!$B$88,BD64+BC65-BL64)))</f>
        <v>141.75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74.447287056432231</v>
      </c>
      <c r="T66" s="62">
        <f t="shared" si="34"/>
        <v>325.27549009125408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38.348599475231232</v>
      </c>
      <c r="AA66" s="23">
        <f>EXP(-LN(2)/25)*AA65+(1-EXP(-LN(2)/25))/(LN(2)/25)*Calculateur!V66*Calculateur!X66*VLOOKUP('Données projet'!$B$9,Paramètres!$A$1:$I$89,3,0)*0.475*44/12</f>
        <v>3.1659274346164992</v>
      </c>
      <c r="AB66" s="23">
        <f>EXP(-LN(2)/2)*AB65+(1-EXP(-LN(2)/2))/(LN(2)/2)*V66*Y66*VLOOKUP('Données projet'!$B$9,Paramètres!$A$1:$I$89,3,0)*0.475*44/12</f>
        <v>0</v>
      </c>
      <c r="AC66" s="24">
        <f t="shared" si="3"/>
        <v>41.514526909847731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194.17007999999996</v>
      </c>
      <c r="AK66" s="14">
        <f t="shared" si="35"/>
        <v>48.460730182351035</v>
      </c>
      <c r="AL66" s="22">
        <f t="shared" si="4"/>
        <v>422.5819944009279</v>
      </c>
      <c r="AM66" s="62">
        <f t="shared" si="5"/>
        <v>715.91532773426115</v>
      </c>
      <c r="AN66" s="62">
        <f ca="1">AVERAGE(OFFSET($AM$3,0,0,'Données projet'!$E$10+1,1))-AVERAGE(OFFSET($H$3,0,0,'Données projet'!$E$10+1,1))</f>
        <v>332.68760696564266</v>
      </c>
      <c r="AO66" s="62">
        <f t="shared" si="36"/>
        <v>231.36959598460686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3.4044336373574247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3.4044336373574247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6.625</v>
      </c>
      <c r="BD66" s="13">
        <f>IF('Données projet'!$A$88&gt;35,BD65+BC66-BL65,IF(A66&lt;'Données projet'!$A$88,$BA$205^A66,IF(A66='Données projet'!$A$88,'Données projet'!$B$88,BD65+BC66-BL65)))</f>
        <v>148.375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74.447287056432231</v>
      </c>
      <c r="T67" s="62">
        <f t="shared" si="34"/>
        <v>325.27549009125408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37.596606829858025</v>
      </c>
      <c r="AA67" s="23">
        <f>EXP(-LN(2)/25)*AA66+(1-EXP(-LN(2)/25))/(LN(2)/25)*Calculateur!V67*Calculateur!X67*VLOOKUP('Données projet'!$B$9,Paramètres!$A$1:$I$89,3,0)*0.475*44/12</f>
        <v>3.0793549824280229</v>
      </c>
      <c r="AB67" s="23">
        <f>EXP(-LN(2)/2)*AB66+(1-EXP(-LN(2)/2))/(LN(2)/2)*V67*Y67*VLOOKUP('Données projet'!$B$9,Paramètres!$A$1:$I$89,3,0)*0.475*44/12</f>
        <v>0</v>
      </c>
      <c r="AC67" s="24">
        <f t="shared" si="3"/>
        <v>40.675961812286047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200.68463999999992</v>
      </c>
      <c r="AK67" s="14">
        <f t="shared" si="35"/>
        <v>49.894600936700193</v>
      </c>
      <c r="AL67" s="22">
        <f t="shared" si="4"/>
        <v>436.42551129808606</v>
      </c>
      <c r="AM67" s="62">
        <f t="shared" si="5"/>
        <v>729.75884463141938</v>
      </c>
      <c r="AN67" s="62">
        <f ca="1">AVERAGE(OFFSET($AM$3,0,0,'Données projet'!$E$10+1,1))-AVERAGE(OFFSET($H$3,0,0,'Données projet'!$E$10+1,1))</f>
        <v>332.68760696564266</v>
      </c>
      <c r="AO67" s="62">
        <f t="shared" si="36"/>
        <v>231.36959598460686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3.3376747702283271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3.3376747702283271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>
        <f>VLOOKUP(A67,'Données projet'!$A$87:$I$107,2,0)</f>
        <v>155</v>
      </c>
      <c r="BB67" s="13">
        <f>VLOOKUP(A67,'Données projet'!$A$87:$I$107,9,0)</f>
        <v>6.625</v>
      </c>
      <c r="BC67" s="13">
        <f t="array" ref="BC67">INDEX(BB:BB,MIN(IF(ISNUMBER(BB67:BB263),ROW(BB67:BB263),"")))</f>
        <v>6.625</v>
      </c>
      <c r="BD67" s="13">
        <f>IF('Données projet'!$A$88&gt;35,BD66+BC67-BL66,IF(A67&lt;'Données projet'!$A$88,$BA$205^A67,IF(A67='Données projet'!$A$88,'Données projet'!$B$88,BD66+BC67-BL66)))</f>
        <v>155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4</v>
      </c>
      <c r="BL67" s="16">
        <f>IF(ISNA(VLOOKUP(A67,'Données projet'!$A$87:$I$107,4,0)),0,VLOOKUP(A67,'Données projet'!$A$87:$I$107,4,0))</f>
        <v>41</v>
      </c>
      <c r="BM67" s="17" t="e">
        <f>IF(ISNA(VLOOKUP(A67,'Données projet'!$A$87:$I$107,5,0)),0%,VLOOKUP(A67,'Données projet'!$A$87:$I$107,5,0)*VLOOKUP('Données projet'!$B$11,Paramètres!$A$1:$I$89,7,0))</f>
        <v>#N/A</v>
      </c>
      <c r="BN67" s="17" t="e">
        <f>IF(ISNA(VLOOKUP(A67,'Données projet'!$A$87:$I$107,6,0)),0%,VLOOKUP(A67,'Données projet'!$A$87:$I$107,6,0)*VLOOKUP('Données projet'!$B$11,Paramètres!$A$1:$I$89,7,0))</f>
        <v>#N/A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74.447287056432231</v>
      </c>
      <c r="T68" s="62">
        <f t="shared" si="34"/>
        <v>325.27549009125408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36.859360301590364</v>
      </c>
      <c r="AA68" s="23">
        <f>EXP(-LN(2)/25)*AA67+(1-EXP(-LN(2)/25))/(LN(2)/25)*Calculateur!V68*Calculateur!X68*VLOOKUP('Données projet'!$B$9,Paramètres!$A$1:$I$89,3,0)*0.475*44/12</f>
        <v>2.995149858497288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39.854510160087649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207.19919999999991</v>
      </c>
      <c r="AK68" s="14">
        <f t="shared" si="35"/>
        <v>51.3230629736655</v>
      </c>
      <c r="AL68" s="22">
        <f t="shared" ref="AL68:AL131" si="58">(AJ68+AK68)*0.475*44/12</f>
        <v>450.25960801246725</v>
      </c>
      <c r="AM68" s="62">
        <f t="shared" ref="AM68:AM131" si="59">AL68+(AD68+AE68)*44/12</f>
        <v>743.59294134580057</v>
      </c>
      <c r="AN68" s="62">
        <f ca="1">AVERAGE(OFFSET($AM$3,0,0,'Données projet'!$E$10+1,1))-AVERAGE(OFFSET($H$3,0,0,'Données projet'!$E$10+1,1))</f>
        <v>332.68760696564266</v>
      </c>
      <c r="AO68" s="62">
        <f t="shared" si="36"/>
        <v>231.36959598460686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0.17200000000000001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6.8850543168026475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6.8850543168026475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5.75</v>
      </c>
      <c r="BD68" s="13">
        <f>IF('Données projet'!$A$88&gt;35,BD67+BC68-BL67,IF(A68&lt;'Données projet'!$A$88,$BA$205^A68,IF(A68='Données projet'!$A$88,'Données projet'!$B$88,BD67+BC68-BL67)))</f>
        <v>119.75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74.447287056432231</v>
      </c>
      <c r="T69" s="62">
        <f t="shared" ref="T69:T132" si="88">$T$3</f>
        <v>325.27549009125408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36.136570728066047</v>
      </c>
      <c r="AA69" s="23">
        <f>EXP(-LN(2)/25)*AA68+(1-EXP(-LN(2)/25))/(LN(2)/25)*Calculateur!V69*Calculateur!X69*VLOOKUP('Données projet'!$B$9,Paramètres!$A$1:$I$89,3,0)*0.475*44/12</f>
        <v>2.9132473281085942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39.049818056174644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214.79999999999993</v>
      </c>
      <c r="AJ69" s="14">
        <f>AI69*VLOOKUP('Données projet'!$B$10,Paramètres!$A$1:$I$89,3,0)*VLOOKUP('Données projet'!$B$10,Paramètres!$A$1:$I$89,5,0)</f>
        <v>194.35103999999993</v>
      </c>
      <c r="AK69" s="14">
        <f t="shared" ref="AK69:AK132" si="89">EXP(-1.0587+0.8836*LN(AJ69)+0.284)</f>
        <v>48.500634729810159</v>
      </c>
      <c r="AL69" s="22">
        <f t="shared" si="58"/>
        <v>422.96666682108594</v>
      </c>
      <c r="AM69" s="62">
        <f t="shared" si="59"/>
        <v>716.30000015441919</v>
      </c>
      <c r="AN69" s="62">
        <f ca="1">AVERAGE(OFFSET($AM$3,0,0,'Données projet'!$E$10+1,1))-AVERAGE(OFFSET($H$3,0,0,'Données projet'!$E$10+1,1))</f>
        <v>332.68760696564266</v>
      </c>
      <c r="AO69" s="62">
        <f t="shared" ref="AO69:AO132" si="90">$AO$3</f>
        <v>231.36959598460686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6.7500426011186176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6.7500426011186176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5.75</v>
      </c>
      <c r="BD69" s="13">
        <f>IF('Données projet'!$A$88&gt;35,BD68+BC69-BL68,IF(A69&lt;'Données projet'!$A$88,$BA$205^A69,IF(A69='Données projet'!$A$88,'Données projet'!$B$88,BD68+BC69-BL68)))</f>
        <v>125.5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74.447287056432231</v>
      </c>
      <c r="T70" s="62">
        <f t="shared" si="88"/>
        <v>325.27549009125408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35.427954617220436</v>
      </c>
      <c r="AA70" s="23">
        <f>EXP(-LN(2)/25)*AA69+(1-EXP(-LN(2)/25))/(LN(2)/25)*Calculateur!V70*Calculateur!X70*VLOOKUP('Données projet'!$B$9,Paramètres!$A$1:$I$89,3,0)*0.475*44/12</f>
        <v>2.8335844267204462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38.261539043940886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221.59999999999994</v>
      </c>
      <c r="AJ70" s="14">
        <f>AI70*VLOOKUP('Données projet'!$B$10,Paramètres!$A$1:$I$89,3,0)*VLOOKUP('Données projet'!$B$10,Paramètres!$A$1:$I$89,5,0)</f>
        <v>200.50367999999995</v>
      </c>
      <c r="AK70" s="14">
        <f t="shared" si="89"/>
        <v>49.854845135229887</v>
      </c>
      <c r="AL70" s="22">
        <f t="shared" si="58"/>
        <v>436.04109794385857</v>
      </c>
      <c r="AM70" s="62">
        <f t="shared" si="59"/>
        <v>729.37443127719189</v>
      </c>
      <c r="AN70" s="62">
        <f ca="1">AVERAGE(OFFSET($AM$3,0,0,'Données projet'!$E$10+1,1))-AVERAGE(OFFSET($H$3,0,0,'Données projet'!$E$10+1,1))</f>
        <v>332.68760696564266</v>
      </c>
      <c r="AO70" s="62">
        <f t="shared" si="90"/>
        <v>231.36959598460686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6.6176783828301362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6.6176783828301362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5.75</v>
      </c>
      <c r="BD70" s="13">
        <f>IF('Données projet'!$A$88&gt;35,BD69+BC70-BL69,IF(A70&lt;'Données projet'!$A$88,$BA$205^A70,IF(A70='Données projet'!$A$88,'Données projet'!$B$88,BD69+BC70-BL69)))</f>
        <v>131.25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74.447287056432231</v>
      </c>
      <c r="T71" s="62">
        <f t="shared" si="88"/>
        <v>325.27549009125408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34.733234036095354</v>
      </c>
      <c r="AA71" s="23">
        <f>EXP(-LN(2)/25)*AA70+(1-EXP(-LN(2)/25))/(LN(2)/25)*Calculateur!V71*Calculateur!X71*VLOOKUP('Données projet'!$B$9,Paramètres!$A$1:$I$89,3,0)*0.475*44/12</f>
        <v>2.7560999115600469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37.489333947655403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228.39999999999995</v>
      </c>
      <c r="AJ71" s="14">
        <f>AI71*VLOOKUP('Données projet'!$B$10,Paramètres!$A$1:$I$89,3,0)*VLOOKUP('Données projet'!$B$10,Paramètres!$A$1:$I$89,5,0)</f>
        <v>206.65631999999994</v>
      </c>
      <c r="AK71" s="14">
        <f t="shared" si="89"/>
        <v>51.20422634371338</v>
      </c>
      <c r="AL71" s="22">
        <f t="shared" si="58"/>
        <v>449.10711821530072</v>
      </c>
      <c r="AM71" s="62">
        <f t="shared" si="59"/>
        <v>742.44045154863397</v>
      </c>
      <c r="AN71" s="62">
        <f ca="1">AVERAGE(OFFSET($AM$3,0,0,'Données projet'!$E$10+1,1))-AVERAGE(OFFSET($H$3,0,0,'Données projet'!$E$10+1,1))</f>
        <v>332.68760696564266</v>
      </c>
      <c r="AO71" s="62">
        <f t="shared" si="90"/>
        <v>231.36959598460686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6.487909746128091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6.487909746128091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5.75</v>
      </c>
      <c r="BD71" s="13">
        <f>IF('Données projet'!$A$88&gt;35,BD70+BC71-BL70,IF(A71&lt;'Données projet'!$A$88,$BA$205^A71,IF(A71='Données projet'!$A$88,'Données projet'!$B$88,BD70+BC71-BL70)))</f>
        <v>137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74.447287056432231</v>
      </c>
      <c r="T72" s="62">
        <f t="shared" si="88"/>
        <v>325.27549009125408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34.052136501828421</v>
      </c>
      <c r="AA72" s="23">
        <f>EXP(-LN(2)/25)*AA71+(1-EXP(-LN(2)/25))/(LN(2)/25)*Calculateur!V72*Calculateur!X72*VLOOKUP('Données projet'!$B$9,Paramètres!$A$1:$I$89,3,0)*0.475*44/12</f>
        <v>2.6807342145414421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36.732870716369867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235.19999999999996</v>
      </c>
      <c r="AJ72" s="14">
        <f>AI72*VLOOKUP('Données projet'!$B$10,Paramètres!$A$1:$I$89,3,0)*VLOOKUP('Données projet'!$B$10,Paramètres!$A$1:$I$89,5,0)</f>
        <v>212.80895999999996</v>
      </c>
      <c r="AK72" s="14">
        <f t="shared" si="89"/>
        <v>52.548938637485847</v>
      </c>
      <c r="AL72" s="22">
        <f t="shared" si="58"/>
        <v>462.16500679362099</v>
      </c>
      <c r="AM72" s="62">
        <f t="shared" si="59"/>
        <v>755.4983401269543</v>
      </c>
      <c r="AN72" s="62">
        <f ca="1">AVERAGE(OFFSET($AM$3,0,0,'Données projet'!$E$10+1,1))-AVERAGE(OFFSET($H$3,0,0,'Données projet'!$E$10+1,1))</f>
        <v>332.68760696564266</v>
      </c>
      <c r="AO72" s="62">
        <f t="shared" si="90"/>
        <v>231.36959598460686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6.3606857932407195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6.3606857932407195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5.75</v>
      </c>
      <c r="BD72" s="13">
        <f>IF('Données projet'!$A$88&gt;35,BD71+BC72-BL71,IF(A72&lt;'Données projet'!$A$88,$BA$205^A72,IF(A72='Données projet'!$A$88,'Données projet'!$B$88,BD71+BC72-BL71)))</f>
        <v>142.75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74.447287056432231</v>
      </c>
      <c r="T73" s="62">
        <f t="shared" si="88"/>
        <v>325.27549009125408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33.384394874779993</v>
      </c>
      <c r="AA73" s="23">
        <f>EXP(-LN(2)/25)*AA72+(1-EXP(-LN(2)/25))/(LN(2)/25)*Calculateur!V73*Calculateur!X73*VLOOKUP('Données projet'!$B$9,Paramètres!$A$1:$I$89,3,0)*0.475*44/12</f>
        <v>2.607429396471121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35.991824271251112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241.99999999999997</v>
      </c>
      <c r="AJ73" s="14">
        <f>AI73*VLOOKUP('Données projet'!$B$10,Paramètres!$A$1:$I$89,3,0)*VLOOKUP('Données projet'!$B$10,Paramètres!$A$1:$I$89,5,0)</f>
        <v>218.96159999999998</v>
      </c>
      <c r="AK73" s="14">
        <f t="shared" si="89"/>
        <v>53.88913250370743</v>
      </c>
      <c r="AL73" s="22">
        <f t="shared" si="58"/>
        <v>475.21502577729035</v>
      </c>
      <c r="AM73" s="62">
        <f t="shared" si="59"/>
        <v>768.54835911062366</v>
      </c>
      <c r="AN73" s="62">
        <f ca="1">AVERAGE(OFFSET($AM$3,0,0,'Données projet'!$E$10+1,1))-AVERAGE(OFFSET($H$3,0,0,'Données projet'!$E$10+1,1))</f>
        <v>332.68760696564266</v>
      </c>
      <c r="AO73" s="62">
        <f t="shared" si="90"/>
        <v>231.36959598460686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0.17200000000000001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9.8487859375084241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9.8487859375084241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5.75</v>
      </c>
      <c r="BD73" s="13">
        <f>IF('Données projet'!$A$88&gt;35,BD72+BC73-BL72,IF(A73&lt;'Données projet'!$A$88,$BA$205^A73,IF(A73='Données projet'!$A$88,'Données projet'!$B$88,BD72+BC73-BL72)))</f>
        <v>148.5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74.447287056432231</v>
      </c>
      <c r="T74" s="62">
        <f t="shared" si="88"/>
        <v>325.27549009125408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32.729747253755804</v>
      </c>
      <c r="AA74" s="23">
        <f>EXP(-LN(2)/25)*AA73+(1-EXP(-LN(2)/25))/(LN(2)/25)*Calculateur!V74*Calculateur!X74*VLOOKUP('Données projet'!$B$9,Paramètres!$A$1:$I$89,3,0)*0.475*44/12</f>
        <v>2.5361291025058654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35.265876356261671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227.19999999999996</v>
      </c>
      <c r="AJ74" s="14">
        <f>AI74*VLOOKUP('Données projet'!$B$10,Paramètres!$A$1:$I$89,3,0)*VLOOKUP('Données projet'!$B$10,Paramètres!$A$1:$I$89,5,0)</f>
        <v>205.57055999999997</v>
      </c>
      <c r="AK74" s="14">
        <f t="shared" si="89"/>
        <v>50.966443946767392</v>
      </c>
      <c r="AL74" s="22">
        <f t="shared" si="58"/>
        <v>446.80194854061978</v>
      </c>
      <c r="AM74" s="62">
        <f t="shared" si="59"/>
        <v>740.13528187395309</v>
      </c>
      <c r="AN74" s="62">
        <f ca="1">AVERAGE(OFFSET($AM$3,0,0,'Données projet'!$E$10+1,1))-AVERAGE(OFFSET($H$3,0,0,'Données projet'!$E$10+1,1))</f>
        <v>332.68760696564266</v>
      </c>
      <c r="AO74" s="62">
        <f t="shared" si="90"/>
        <v>231.36959598460686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9.6556572524401467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9.6556572524401467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5.75</v>
      </c>
      <c r="BD74" s="13">
        <f>IF('Données projet'!$A$88&gt;35,BD73+BC74-BL73,IF(A74&lt;'Données projet'!$A$88,$BA$205^A74,IF(A74='Données projet'!$A$88,'Données projet'!$B$88,BD73+BC74-BL73)))</f>
        <v>154.25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74.447287056432231</v>
      </c>
      <c r="T75" s="62">
        <f t="shared" si="88"/>
        <v>325.27549009125408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32.087936873284278</v>
      </c>
      <c r="AA75" s="23">
        <f>EXP(-LN(2)/25)*AA74+(1-EXP(-LN(2)/25))/(LN(2)/25)*Calculateur!V75*Calculateur!X75*VLOOKUP('Données projet'!$B$9,Paramètres!$A$1:$I$89,3,0)*0.475*44/12</f>
        <v>2.4667785188286095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34.55471539211289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233.39999999999995</v>
      </c>
      <c r="AJ75" s="14">
        <f>AI75*VLOOKUP('Données projet'!$B$10,Paramètres!$A$1:$I$89,3,0)*VLOOKUP('Données projet'!$B$10,Paramètres!$A$1:$I$89,5,0)</f>
        <v>211.18031999999994</v>
      </c>
      <c r="AK75" s="14">
        <f t="shared" si="89"/>
        <v>52.193431117443019</v>
      </c>
      <c r="AL75" s="22">
        <f t="shared" si="58"/>
        <v>458.70928319621316</v>
      </c>
      <c r="AM75" s="62">
        <f t="shared" si="59"/>
        <v>752.04261652954642</v>
      </c>
      <c r="AN75" s="62">
        <f ca="1">AVERAGE(OFFSET($AM$3,0,0,'Données projet'!$E$10+1,1))-AVERAGE(OFFSET($H$3,0,0,'Données projet'!$E$10+1,1))</f>
        <v>332.68760696564266</v>
      </c>
      <c r="AO75" s="62">
        <f t="shared" si="90"/>
        <v>231.36959598460686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9.466315703089192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9.466315703089192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>
        <f>VLOOKUP(A75,'Données projet'!$A$87:$I$107,2,0)</f>
        <v>160</v>
      </c>
      <c r="BB75" s="13">
        <f>VLOOKUP(A75,'Données projet'!$A$87:$I$107,9,0)</f>
        <v>5.75</v>
      </c>
      <c r="BC75" s="13">
        <f t="array" ref="BC75">INDEX(BB:BB,MIN(IF(ISNUMBER(BB75:BB271),ROW(BB75:BB271),"")))</f>
        <v>5.75</v>
      </c>
      <c r="BD75" s="13">
        <f>IF('Données projet'!$A$88&gt;35,BD74+BC75-BL74,IF(A75&lt;'Données projet'!$A$88,$BA$205^A75,IF(A75='Données projet'!$A$88,'Données projet'!$B$88,BD74+BC75-BL74)))</f>
        <v>160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5</v>
      </c>
      <c r="BL75" s="16">
        <f>IF(ISNA(VLOOKUP(A75,'Données projet'!$A$87:$I$107,4,0)),0,VLOOKUP(A75,'Données projet'!$A$87:$I$107,4,0))</f>
        <v>32</v>
      </c>
      <c r="BM75" s="17" t="e">
        <f>IF(ISNA(VLOOKUP(A75,'Données projet'!$A$87:$I$107,5,0)),0%,VLOOKUP(A75,'Données projet'!$A$87:$I$107,5,0)*VLOOKUP('Données projet'!$B$11,Paramètres!$A$1:$I$89,7,0))</f>
        <v>#N/A</v>
      </c>
      <c r="BN75" s="17" t="e">
        <f>IF(ISNA(VLOOKUP(A75,'Données projet'!$A$87:$I$107,6,0)),0%,VLOOKUP(A75,'Données projet'!$A$87:$I$107,6,0)*VLOOKUP('Données projet'!$B$11,Paramètres!$A$1:$I$89,7,0))</f>
        <v>#N/A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74.447287056432231</v>
      </c>
      <c r="T76" s="62">
        <f t="shared" si="88"/>
        <v>325.27549009125408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31.458712002908118</v>
      </c>
      <c r="AA76" s="23">
        <f>EXP(-LN(2)/25)*AA75+(1-EXP(-LN(2)/25))/(LN(2)/25)*Calculateur!V76*Calculateur!X76*VLOOKUP('Données projet'!$B$9,Paramètres!$A$1:$I$89,3,0)*0.475*44/12</f>
        <v>2.3993243305089966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33.858036333417118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239.59999999999994</v>
      </c>
      <c r="AJ76" s="14">
        <f>AI76*VLOOKUP('Données projet'!$B$10,Paramètres!$A$1:$I$89,3,0)*VLOOKUP('Données projet'!$B$10,Paramètres!$A$1:$I$89,5,0)</f>
        <v>216.79007999999996</v>
      </c>
      <c r="AK76" s="14">
        <f t="shared" si="89"/>
        <v>53.416629794462551</v>
      </c>
      <c r="AL76" s="22">
        <f t="shared" si="58"/>
        <v>470.61001955868886</v>
      </c>
      <c r="AM76" s="62">
        <f t="shared" si="59"/>
        <v>763.94335289202218</v>
      </c>
      <c r="AN76" s="62">
        <f ca="1">AVERAGE(OFFSET($AM$3,0,0,'Données projet'!$E$10+1,1))-AVERAGE(OFFSET($H$3,0,0,'Données projet'!$E$10+1,1))</f>
        <v>332.68760696564266</v>
      </c>
      <c r="AO76" s="62">
        <f t="shared" si="90"/>
        <v>231.36959598460686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9.2806870260340677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9.2806870260340677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5</v>
      </c>
      <c r="BD76" s="13">
        <f>IF('Données projet'!$A$88&gt;35,BD75+BC76-BL75,IF(A76&lt;'Données projet'!$A$88,$BA$205^A76,IF(A76='Données projet'!$A$88,'Données projet'!$B$88,BD75+BC76-BL75)))</f>
        <v>133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74.447287056432231</v>
      </c>
      <c r="T77" s="62">
        <f t="shared" si="88"/>
        <v>325.27549009125408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30.841825848450764</v>
      </c>
      <c r="AA77" s="23">
        <f>EXP(-LN(2)/25)*AA76+(1-EXP(-LN(2)/25))/(LN(2)/25)*Calculateur!V77*Calculateur!X77*VLOOKUP('Données projet'!$B$9,Paramètres!$A$1:$I$89,3,0)*0.475*44/12</f>
        <v>2.3337146805162452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33.175540528967012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245.79999999999993</v>
      </c>
      <c r="AJ77" s="14">
        <f>AI77*VLOOKUP('Données projet'!$B$10,Paramètres!$A$1:$I$89,3,0)*VLOOKUP('Données projet'!$B$10,Paramètres!$A$1:$I$89,5,0)</f>
        <v>222.3998399999999</v>
      </c>
      <c r="AK77" s="14">
        <f t="shared" si="89"/>
        <v>54.636149281681448</v>
      </c>
      <c r="AL77" s="22">
        <f t="shared" si="58"/>
        <v>482.50434799892832</v>
      </c>
      <c r="AM77" s="62">
        <f t="shared" si="59"/>
        <v>775.83768133226158</v>
      </c>
      <c r="AN77" s="62">
        <f ca="1">AVERAGE(OFFSET($AM$3,0,0,'Données projet'!$E$10+1,1))-AVERAGE(OFFSET($H$3,0,0,'Données projet'!$E$10+1,1))</f>
        <v>332.68760696564266</v>
      </c>
      <c r="AO77" s="62">
        <f t="shared" si="90"/>
        <v>231.36959598460686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9.0986984141136826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9.0986984141136826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5</v>
      </c>
      <c r="BD77" s="13">
        <f>IF('Données projet'!$A$88&gt;35,BD76+BC77-BL76,IF(A77&lt;'Données projet'!$A$88,$BA$205^A77,IF(A77='Données projet'!$A$88,'Données projet'!$B$88,BD76+BC77-BL76)))</f>
        <v>138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74.447287056432231</v>
      </c>
      <c r="T78" s="62">
        <f t="shared" si="88"/>
        <v>325.27549009125408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30.237036455218917</v>
      </c>
      <c r="AA78" s="23">
        <f>EXP(-LN(2)/25)*AA77+(1-EXP(-LN(2)/25))/(LN(2)/25)*Calculateur!V78*Calculateur!X78*VLOOKUP('Données projet'!$B$9,Paramètres!$A$1:$I$89,3,0)*0.475*44/12</f>
        <v>2.2698991298528073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32.506935585071723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251.99999999999991</v>
      </c>
      <c r="AJ78" s="14">
        <f>AI78*VLOOKUP('Données projet'!$B$10,Paramètres!$A$1:$I$89,3,0)*VLOOKUP('Données projet'!$B$10,Paramètres!$A$1:$I$89,5,0)</f>
        <v>228.00959999999992</v>
      </c>
      <c r="AK78" s="14">
        <f t="shared" si="89"/>
        <v>55.852093054619829</v>
      </c>
      <c r="AL78" s="22">
        <f t="shared" si="58"/>
        <v>494.3924487367961</v>
      </c>
      <c r="AM78" s="62">
        <f t="shared" si="59"/>
        <v>787.72578207012941</v>
      </c>
      <c r="AN78" s="62">
        <f ca="1">AVERAGE(OFFSET($AM$3,0,0,'Données projet'!$E$10+1,1))-AVERAGE(OFFSET($H$3,0,0,'Données projet'!$E$10+1,1))</f>
        <v>332.68760696564266</v>
      </c>
      <c r="AO78" s="62">
        <f t="shared" si="90"/>
        <v>231.36959598460686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0.17200000000000001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12.533107800908867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12.533107800908867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5</v>
      </c>
      <c r="BD78" s="13">
        <f>IF('Données projet'!$A$88&gt;35,BD77+BC78-BL77,IF(A78&lt;'Données projet'!$A$88,$BA$205^A78,IF(A78='Données projet'!$A$88,'Données projet'!$B$88,BD77+BC78-BL77)))</f>
        <v>143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74.447287056432231</v>
      </c>
      <c r="T79" s="62">
        <f t="shared" si="88"/>
        <v>325.27549009125408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29.64410661310324</v>
      </c>
      <c r="AA79" s="23">
        <f>EXP(-LN(2)/25)*AA78+(1-EXP(-LN(2)/25))/(LN(2)/25)*Calculateur!V79*Calculateur!X79*VLOOKUP('Données projet'!$B$9,Paramètres!$A$1:$I$89,3,0)*0.475*44/12</f>
        <v>2.207828618778175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31.851935231881416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236.99999999999989</v>
      </c>
      <c r="AJ79" s="14">
        <f>AI79*VLOOKUP('Données projet'!$B$10,Paramètres!$A$1:$I$89,3,0)*VLOOKUP('Données projet'!$B$10,Paramètres!$A$1:$I$89,5,0)</f>
        <v>214.43759999999989</v>
      </c>
      <c r="AK79" s="14">
        <f t="shared" si="89"/>
        <v>52.904129603372375</v>
      </c>
      <c r="AL79" s="22">
        <f t="shared" si="58"/>
        <v>465.62017905920658</v>
      </c>
      <c r="AM79" s="62">
        <f t="shared" si="59"/>
        <v>758.95351239253989</v>
      </c>
      <c r="AN79" s="62">
        <f ca="1">AVERAGE(OFFSET($AM$3,0,0,'Données projet'!$E$10+1,1))-AVERAGE(OFFSET($H$3,0,0,'Données projet'!$E$10+1,1))</f>
        <v>332.68760696564266</v>
      </c>
      <c r="AO79" s="62">
        <f t="shared" si="90"/>
        <v>231.36959598460686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12.287341201373977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12.287341201373977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5</v>
      </c>
      <c r="BD79" s="13">
        <f>IF('Données projet'!$A$88&gt;35,BD78+BC79-BL78,IF(A79&lt;'Données projet'!$A$88,$BA$205^A79,IF(A79='Données projet'!$A$88,'Données projet'!$B$88,BD78+BC79-BL78)))</f>
        <v>148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74.447287056432231</v>
      </c>
      <c r="T80" s="62">
        <f t="shared" si="88"/>
        <v>325.27549009125408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29.062803763539957</v>
      </c>
      <c r="AA80" s="23">
        <f>EXP(-LN(2)/25)*AA79+(1-EXP(-LN(2)/25))/(LN(2)/25)*Calculateur!V80*Calculateur!X80*VLOOKUP('Données projet'!$B$9,Paramètres!$A$1:$I$89,3,0)*0.475*44/12</f>
        <v>2.147455429093025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31.210259192632982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242.99999999999989</v>
      </c>
      <c r="AJ80" s="14">
        <f>AI80*VLOOKUP('Données projet'!$B$10,Paramètres!$A$1:$I$89,3,0)*VLOOKUP('Données projet'!$B$10,Paramètres!$A$1:$I$89,5,0)</f>
        <v>219.86639999999989</v>
      </c>
      <c r="AK80" s="14">
        <f t="shared" si="89"/>
        <v>54.085847394182416</v>
      </c>
      <c r="AL80" s="22">
        <f t="shared" si="58"/>
        <v>477.13349754486745</v>
      </c>
      <c r="AM80" s="62">
        <f t="shared" si="59"/>
        <v>770.46683087820077</v>
      </c>
      <c r="AN80" s="62">
        <f ca="1">AVERAGE(OFFSET($AM$3,0,0,'Données projet'!$E$10+1,1))-AVERAGE(OFFSET($H$3,0,0,'Données projet'!$E$10+1,1))</f>
        <v>332.68760696564266</v>
      </c>
      <c r="AO80" s="62">
        <f t="shared" si="90"/>
        <v>231.36959598460686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12.046393934953141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12.046393934953141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5</v>
      </c>
      <c r="BD80" s="13">
        <f>IF('Données projet'!$A$88&gt;35,BD79+BC80-BL79,IF(A80&lt;'Données projet'!$A$88,$BA$205^A80,IF(A80='Données projet'!$A$88,'Données projet'!$B$88,BD79+BC80-BL79)))</f>
        <v>153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74.447287056432231</v>
      </c>
      <c r="T81" s="62">
        <f t="shared" si="88"/>
        <v>325.27549009125408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28.492899908296881</v>
      </c>
      <c r="AA81" s="23">
        <f>EXP(-LN(2)/25)*AA80+(1-EXP(-LN(2)/25))/(LN(2)/25)*Calculateur!V81*Calculateur!X81*VLOOKUP('Données projet'!$B$9,Paramètres!$A$1:$I$89,3,0)*0.475*44/12</f>
        <v>2.0887331474547035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30.581633055751585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248.99999999999989</v>
      </c>
      <c r="AJ81" s="14">
        <f>AI81*VLOOKUP('Données projet'!$B$10,Paramètres!$A$1:$I$89,3,0)*VLOOKUP('Données projet'!$B$10,Paramètres!$A$1:$I$89,5,0)</f>
        <v>225.29519999999991</v>
      </c>
      <c r="AK81" s="14">
        <f t="shared" si="89"/>
        <v>55.264173352293078</v>
      </c>
      <c r="AL81" s="22">
        <f t="shared" si="58"/>
        <v>488.64090858857691</v>
      </c>
      <c r="AM81" s="62">
        <f t="shared" si="59"/>
        <v>781.97424192191022</v>
      </c>
      <c r="AN81" s="62">
        <f ca="1">AVERAGE(OFFSET($AM$3,0,0,'Données projet'!$E$10+1,1))-AVERAGE(OFFSET($H$3,0,0,'Données projet'!$E$10+1,1))</f>
        <v>332.68760696564266</v>
      </c>
      <c r="AO81" s="62">
        <f t="shared" si="90"/>
        <v>231.36959598460686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11.810171497463497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11.810171497463497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5</v>
      </c>
      <c r="BD81" s="13">
        <f>IF('Données projet'!$A$88&gt;35,BD80+BC81-BL80,IF(A81&lt;'Données projet'!$A$88,$BA$205^A81,IF(A81='Données projet'!$A$88,'Données projet'!$B$88,BD80+BC81-BL80)))</f>
        <v>158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74.447287056432231</v>
      </c>
      <c r="T82" s="62">
        <f t="shared" si="88"/>
        <v>325.27549009125408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27.934171520048093</v>
      </c>
      <c r="AA82" s="23">
        <f>EXP(-LN(2)/25)*AA81+(1-EXP(-LN(2)/25))/(LN(2)/25)*Calculateur!V82*Calculateur!X82*VLOOKUP('Données projet'!$B$9,Paramètres!$A$1:$I$89,3,0)*0.475*44/12</f>
        <v>2.0316166296958524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29.965788149743943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254.99999999999989</v>
      </c>
      <c r="AJ82" s="14">
        <f>AI82*VLOOKUP('Données projet'!$B$10,Paramètres!$A$1:$I$89,3,0)*VLOOKUP('Données projet'!$B$10,Paramètres!$A$1:$I$89,5,0)</f>
        <v>230.72399999999988</v>
      </c>
      <c r="AK82" s="14">
        <f t="shared" si="89"/>
        <v>56.439198612082045</v>
      </c>
      <c r="AL82" s="22">
        <f t="shared" si="58"/>
        <v>500.14257091604264</v>
      </c>
      <c r="AM82" s="62">
        <f t="shared" si="59"/>
        <v>793.47590424937596</v>
      </c>
      <c r="AN82" s="62">
        <f ca="1">AVERAGE(OFFSET($AM$3,0,0,'Données projet'!$E$10+1,1))-AVERAGE(OFFSET($H$3,0,0,'Données projet'!$E$10+1,1))</f>
        <v>332.68760696564266</v>
      </c>
      <c r="AO82" s="62">
        <f t="shared" si="90"/>
        <v>231.36959598460686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11.578581237891566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11.578581237891566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5</v>
      </c>
      <c r="BD82" s="13">
        <f>IF('Données projet'!$A$88&gt;35,BD81+BC82-BL81,IF(A82&lt;'Données projet'!$A$88,$BA$205^A82,IF(A82='Données projet'!$A$88,'Données projet'!$B$88,BD81+BC82-BL81)))</f>
        <v>163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74.447287056432231</v>
      </c>
      <c r="T83" s="62">
        <f t="shared" si="88"/>
        <v>325.27549009125408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27.386399454702197</v>
      </c>
      <c r="AA83" s="23">
        <f>EXP(-LN(2)/25)*AA82+(1-EXP(-LN(2)/25))/(LN(2)/25)*Calculateur!V83*Calculateur!X83*VLOOKUP('Données projet'!$B$9,Paramètres!$A$1:$I$89,3,0)*0.475*44/12</f>
        <v>1.9760619661187442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29.362461420820942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261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260.99999999999989</v>
      </c>
      <c r="AJ83" s="14">
        <f>AI83*VLOOKUP('Données projet'!$B$10,Paramètres!$A$1:$I$89,3,0)*VLOOKUP('Données projet'!$B$10,Paramètres!$A$1:$I$89,5,0)</f>
        <v>236.15279999999987</v>
      </c>
      <c r="AK83" s="14">
        <f t="shared" si="89"/>
        <v>57.61100977459931</v>
      </c>
      <c r="AL83" s="22">
        <f t="shared" si="58"/>
        <v>511.63863535742689</v>
      </c>
      <c r="AM83" s="62">
        <f t="shared" si="59"/>
        <v>804.97196869076015</v>
      </c>
      <c r="AN83" s="62">
        <f ca="1">AVERAGE(OFFSET($AM$3,0,0,'Données projet'!$E$10+1,1))-AVERAGE(OFFSET($H$3,0,0,'Données projet'!$E$10+1,1))</f>
        <v>332.68760696564266</v>
      </c>
      <c r="AO83" s="62">
        <f t="shared" si="90"/>
        <v>231.36959598460686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0.30099999999999999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17.673983619870064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17.673983619870064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5</v>
      </c>
      <c r="BD83" s="13">
        <f>IF('Données projet'!$A$88&gt;35,BD82+BC83-BL82,IF(A83&lt;'Données projet'!$A$88,$BA$205^A83,IF(A83='Données projet'!$A$88,'Données projet'!$B$88,BD82+BC83-BL82)))</f>
        <v>168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74.447287056432231</v>
      </c>
      <c r="T84" s="62">
        <f t="shared" si="88"/>
        <v>325.27549009125408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26.849368865449765</v>
      </c>
      <c r="AA84" s="23">
        <f>EXP(-LN(2)/25)*AA83+(1-EXP(-LN(2)/25))/(LN(2)/25)*Calculateur!V84*Calculateur!X84*VLOOKUP('Données projet'!$B$9,Paramètres!$A$1:$I$89,3,0)*0.475*44/12</f>
        <v>1.9220264477386446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28.77139531318841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5.8</v>
      </c>
      <c r="AI84" s="14">
        <f>IF('Données projet'!$A$62&gt;35,AI83+AH84-AQ83,IF(A84&lt;'Données projet'!$A$62,$AF$205^A84,IF(A84='Données projet'!$A$62,'Données projet'!$B$62,AI83+AH84-AQ83)))</f>
        <v>245.7999999999999</v>
      </c>
      <c r="AJ84" s="14">
        <f>AI84*VLOOKUP('Données projet'!$B$10,Paramètres!$A$1:$I$89,3,0)*VLOOKUP('Données projet'!$B$10,Paramètres!$A$1:$I$89,5,0)</f>
        <v>222.3998399999999</v>
      </c>
      <c r="AK84" s="14">
        <f t="shared" si="89"/>
        <v>54.636149281681448</v>
      </c>
      <c r="AL84" s="22">
        <f t="shared" si="58"/>
        <v>482.50434799892832</v>
      </c>
      <c r="AM84" s="62">
        <f t="shared" si="59"/>
        <v>775.83768133226158</v>
      </c>
      <c r="AN84" s="62">
        <f ca="1">AVERAGE(OFFSET($AM$3,0,0,'Données projet'!$E$10+1,1))-AVERAGE(OFFSET($H$3,0,0,'Données projet'!$E$10+1,1))</f>
        <v>332.68760696564266</v>
      </c>
      <c r="AO84" s="62">
        <f t="shared" si="90"/>
        <v>231.36959598460686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17.327407581149977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17.327407581149977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>
        <f>VLOOKUP(A84,'Données projet'!$A$87:$I$107,2,0)</f>
        <v>173</v>
      </c>
      <c r="BB84" s="13">
        <f>VLOOKUP(A84,'Données projet'!$A$87:$I$107,9,0)</f>
        <v>5</v>
      </c>
      <c r="BC84" s="13">
        <f t="array" ref="BC84">INDEX(BB:BB,MIN(IF(ISNUMBER(BB84:BB280),ROW(BB84:BB280),"")))</f>
        <v>5</v>
      </c>
      <c r="BD84" s="13">
        <f>IF('Données projet'!$A$88&gt;35,BD83+BC84-BL83,IF(A84&lt;'Données projet'!$A$88,$BA$205^A84,IF(A84='Données projet'!$A$88,'Données projet'!$B$88,BD83+BC84-BL83)))</f>
        <v>173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6</v>
      </c>
      <c r="BL84" s="16">
        <f>IF(ISNA(VLOOKUP(A84,'Données projet'!$A$87:$I$107,4,0)),0,VLOOKUP(A84,'Données projet'!$A$87:$I$107,4,0))</f>
        <v>31</v>
      </c>
      <c r="BM84" s="17" t="e">
        <f>IF(ISNA(VLOOKUP(A84,'Données projet'!$A$87:$I$107,5,0)),0%,VLOOKUP(A84,'Données projet'!$A$87:$I$107,5,0)*VLOOKUP('Données projet'!$B$11,Paramètres!$A$1:$I$89,7,0))</f>
        <v>#N/A</v>
      </c>
      <c r="BN84" s="17" t="e">
        <f>IF(ISNA(VLOOKUP(A84,'Données projet'!$A$87:$I$107,6,0)),0%,VLOOKUP(A84,'Données projet'!$A$87:$I$107,6,0)*VLOOKUP('Données projet'!$B$11,Paramètres!$A$1:$I$89,7,0))</f>
        <v>#N/A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74.447287056432231</v>
      </c>
      <c r="T85" s="62">
        <f t="shared" si="88"/>
        <v>325.27549009125408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26.322869118496257</v>
      </c>
      <c r="AA85" s="23">
        <f>EXP(-LN(2)/25)*AA84+(1-EXP(-LN(2)/25))/(LN(2)/25)*Calculateur!V85*Calculateur!X85*VLOOKUP('Données projet'!$B$9,Paramètres!$A$1:$I$89,3,0)*0.475*44/12</f>
        <v>1.8694685334502534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28.192337651946509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5.8</v>
      </c>
      <c r="AI85" s="14">
        <f>IF('Données projet'!$A$62&gt;35,AI84+AH85-AQ84,IF(A85&lt;'Données projet'!$A$62,$AF$205^A85,IF(A85='Données projet'!$A$62,'Données projet'!$B$62,AI84+AH85-AQ84)))</f>
        <v>251.59999999999991</v>
      </c>
      <c r="AJ85" s="14">
        <f>AI85*VLOOKUP('Données projet'!$B$10,Paramètres!$A$1:$I$89,3,0)*VLOOKUP('Données projet'!$B$10,Paramètres!$A$1:$I$89,5,0)</f>
        <v>227.64767999999992</v>
      </c>
      <c r="AK85" s="14">
        <f t="shared" si="89"/>
        <v>55.773751036838313</v>
      </c>
      <c r="AL85" s="22">
        <f t="shared" si="58"/>
        <v>493.62565905582659</v>
      </c>
      <c r="AM85" s="62">
        <f t="shared" si="59"/>
        <v>786.9589923891599</v>
      </c>
      <c r="AN85" s="62">
        <f ca="1">AVERAGE(OFFSET($AM$3,0,0,'Données projet'!$E$10+1,1))-AVERAGE(OFFSET($H$3,0,0,'Données projet'!$E$10+1,1))</f>
        <v>332.68760696564266</v>
      </c>
      <c r="AO85" s="62">
        <f t="shared" si="90"/>
        <v>231.36959598460686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16.987627687158682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16.987627687158682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4.666666666666667</v>
      </c>
      <c r="BD85" s="13">
        <f>IF('Données projet'!$A$88&gt;35,BD84+BC85-BL84,IF(A85&lt;'Données projet'!$A$88,$BA$205^A85,IF(A85='Données projet'!$A$88,'Données projet'!$B$88,BD84+BC85-BL84)))</f>
        <v>146.66666666666666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74.447287056432231</v>
      </c>
      <c r="T86" s="62">
        <f t="shared" si="88"/>
        <v>325.27549009125408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25.806693710447373</v>
      </c>
      <c r="AA86" s="23">
        <f>EXP(-LN(2)/25)*AA85+(1-EXP(-LN(2)/25))/(LN(2)/25)*Calculateur!V86*Calculateur!X86*VLOOKUP('Données projet'!$B$9,Paramètres!$A$1:$I$89,3,0)*0.475*44/12</f>
        <v>1.8183478180919788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27.625041528539352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5.8</v>
      </c>
      <c r="AI86" s="14">
        <f>IF('Données projet'!$A$62&gt;35,AI85+AH86-AQ85,IF(A86&lt;'Données projet'!$A$62,$AF$205^A86,IF(A86='Données projet'!$A$62,'Données projet'!$B$62,AI85+AH86-AQ85)))</f>
        <v>257.39999999999992</v>
      </c>
      <c r="AJ86" s="14">
        <f>AI86*VLOOKUP('Données projet'!$B$10,Paramètres!$A$1:$I$89,3,0)*VLOOKUP('Données projet'!$B$10,Paramètres!$A$1:$I$89,5,0)</f>
        <v>232.89551999999992</v>
      </c>
      <c r="AK86" s="14">
        <f t="shared" si="89"/>
        <v>56.908304063818662</v>
      </c>
      <c r="AL86" s="22">
        <f t="shared" si="58"/>
        <v>504.74166024448397</v>
      </c>
      <c r="AM86" s="62">
        <f t="shared" si="59"/>
        <v>798.07499357781728</v>
      </c>
      <c r="AN86" s="62">
        <f ca="1">AVERAGE(OFFSET($AM$3,0,0,'Données projet'!$E$10+1,1))-AVERAGE(OFFSET($H$3,0,0,'Données projet'!$E$10+1,1))</f>
        <v>332.68760696564266</v>
      </c>
      <c r="AO86" s="62">
        <f t="shared" si="90"/>
        <v>231.36959598460686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16.654510669643283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16.654510669643283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4.666666666666667</v>
      </c>
      <c r="BD86" s="13">
        <f>IF('Données projet'!$A$88&gt;35,BD85+BC86-BL85,IF(A86&lt;'Données projet'!$A$88,$BA$205^A86,IF(A86='Données projet'!$A$88,'Données projet'!$B$88,BD85+BC86-BL85)))</f>
        <v>151.33333333333331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74.447287056432231</v>
      </c>
      <c r="T87" s="62">
        <f t="shared" si="88"/>
        <v>325.27549009125408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25.300640187314414</v>
      </c>
      <c r="AA87" s="23">
        <f>EXP(-LN(2)/25)*AA86+(1-EXP(-LN(2)/25))/(LN(2)/25)*Calculateur!V87*Calculateur!X87*VLOOKUP('Données projet'!$B$9,Paramètres!$A$1:$I$89,3,0)*0.475*44/12</f>
        <v>1.7686250013834977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27.069265188697912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5.8</v>
      </c>
      <c r="AI87" s="14">
        <f>IF('Données projet'!$A$62&gt;35,AI86+AH87-AQ86,IF(A87&lt;'Données projet'!$A$62,$AF$205^A87,IF(A87='Données projet'!$A$62,'Données projet'!$B$62,AI86+AH87-AQ86)))</f>
        <v>263.19999999999993</v>
      </c>
      <c r="AJ87" s="14">
        <f>AI87*VLOOKUP('Données projet'!$B$10,Paramètres!$A$1:$I$89,3,0)*VLOOKUP('Données projet'!$B$10,Paramètres!$A$1:$I$89,5,0)</f>
        <v>238.14335999999992</v>
      </c>
      <c r="AK87" s="14">
        <f t="shared" si="89"/>
        <v>58.039884968630489</v>
      </c>
      <c r="AL87" s="22">
        <f t="shared" si="58"/>
        <v>515.85248498703129</v>
      </c>
      <c r="AM87" s="62">
        <f t="shared" si="59"/>
        <v>809.18581832036466</v>
      </c>
      <c r="AN87" s="62">
        <f ca="1">AVERAGE(OFFSET($AM$3,0,0,'Données projet'!$E$10+1,1))-AVERAGE(OFFSET($H$3,0,0,'Données projet'!$E$10+1,1))</f>
        <v>332.68760696564266</v>
      </c>
      <c r="AO87" s="62">
        <f t="shared" si="90"/>
        <v>231.36959598460686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16.327925873660043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16.327925873660043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4.666666666666667</v>
      </c>
      <c r="BD87" s="13">
        <f>IF('Données projet'!$A$88&gt;35,BD86+BC87-BL86,IF(A87&lt;'Données projet'!$A$88,$BA$205^A87,IF(A87='Données projet'!$A$88,'Données projet'!$B$88,BD86+BC87-BL86)))</f>
        <v>155.99999999999997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74.447287056432231</v>
      </c>
      <c r="T88" s="62">
        <f t="shared" si="88"/>
        <v>325.27549009125408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24.804510065107923</v>
      </c>
      <c r="AA88" s="23">
        <f>EXP(-LN(2)/25)*AA87+(1-EXP(-LN(2)/25))/(LN(2)/25)*Calculateur!V88*Calculateur!X88*VLOOKUP('Données projet'!$B$9,Paramètres!$A$1:$I$89,3,0)*0.475*44/12</f>
        <v>1.7202618577127193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26.524771922820641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5.8</v>
      </c>
      <c r="AH88" s="13">
        <f t="array" ref="AH88">INDEX(AG:AG,MIN(IF(ISNUMBER(AG88:AG284),ROW(AG88:AG284),"")))</f>
        <v>5.8</v>
      </c>
      <c r="AI88" s="14">
        <f>IF('Données projet'!$A$62&gt;35,AI87+AH88-AQ87,IF(A88&lt;'Données projet'!$A$62,$AF$205^A88,IF(A88='Données projet'!$A$62,'Données projet'!$B$62,AI87+AH88-AQ87)))</f>
        <v>268.99999999999994</v>
      </c>
      <c r="AJ88" s="14">
        <f>AI88*VLOOKUP('Données projet'!$B$10,Paramètres!$A$1:$I$89,3,0)*VLOOKUP('Données projet'!$B$10,Paramètres!$A$1:$I$89,5,0)</f>
        <v>243.39119999999994</v>
      </c>
      <c r="AK88" s="14">
        <f t="shared" si="89"/>
        <v>59.168566788241527</v>
      </c>
      <c r="AL88" s="22">
        <f t="shared" si="58"/>
        <v>526.95826048952051</v>
      </c>
      <c r="AM88" s="62">
        <f t="shared" si="59"/>
        <v>820.29159382285388</v>
      </c>
      <c r="AN88" s="62">
        <f ca="1">AVERAGE(OFFSET($AM$3,0,0,'Données projet'!$E$10+1,1))-AVERAGE(OFFSET($H$3,0,0,'Données projet'!$E$10+1,1))</f>
        <v>332.68760696564266</v>
      </c>
      <c r="AO88" s="62">
        <f t="shared" si="90"/>
        <v>231.36959598460686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0.30099999999999999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22.330196504145309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22.330196504145309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4.666666666666667</v>
      </c>
      <c r="BD88" s="13">
        <f>IF('Données projet'!$A$88&gt;35,BD87+BC88-BL87,IF(A88&lt;'Données projet'!$A$88,$BA$205^A88,IF(A88='Données projet'!$A$88,'Données projet'!$B$88,BD87+BC88-BL87)))</f>
        <v>160.66666666666663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74.447287056432231</v>
      </c>
      <c r="T89" s="62">
        <f t="shared" si="88"/>
        <v>325.27549009125408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24.318108751988408</v>
      </c>
      <c r="AA89" s="23">
        <f>EXP(-LN(2)/25)*AA88+(1-EXP(-LN(2)/25))/(LN(2)/25)*Calculateur!V89*Calculateur!X89*VLOOKUP('Données projet'!$B$9,Paramètres!$A$1:$I$89,3,0)*0.475*44/12</f>
        <v>1.6732212067489256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25.991329958737335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253.39999999999992</v>
      </c>
      <c r="AJ89" s="14">
        <f>AI89*VLOOKUP('Données projet'!$B$10,Paramètres!$A$1:$I$89,3,0)*VLOOKUP('Données projet'!$B$10,Paramètres!$A$1:$I$89,5,0)</f>
        <v>229.27631999999994</v>
      </c>
      <c r="AK89" s="14">
        <f t="shared" si="89"/>
        <v>56.126176307517476</v>
      </c>
      <c r="AL89" s="22">
        <f t="shared" si="58"/>
        <v>497.07601440225949</v>
      </c>
      <c r="AM89" s="62">
        <f t="shared" si="59"/>
        <v>790.40934773559275</v>
      </c>
      <c r="AN89" s="62">
        <f ca="1">AVERAGE(OFFSET($AM$3,0,0,'Données projet'!$E$10+1,1))-AVERAGE(OFFSET($H$3,0,0,'Données projet'!$E$10+1,1))</f>
        <v>332.68760696564266</v>
      </c>
      <c r="AO89" s="62">
        <f t="shared" si="90"/>
        <v>231.36959598460686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21.892314970774017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21.892314970774017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4.666666666666667</v>
      </c>
      <c r="BD89" s="13">
        <f>IF('Données projet'!$A$88&gt;35,BD88+BC89-BL88,IF(A89&lt;'Données projet'!$A$88,$BA$205^A89,IF(A89='Données projet'!$A$88,'Données projet'!$B$88,BD88+BC89-BL88)))</f>
        <v>165.33333333333329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74.447287056432231</v>
      </c>
      <c r="T90" s="62">
        <f t="shared" si="88"/>
        <v>325.27549009125408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23.841245471943658</v>
      </c>
      <c r="AA90" s="23">
        <f>EXP(-LN(2)/25)*AA89+(1-EXP(-LN(2)/25))/(LN(2)/25)*Calculateur!V90*Calculateur!X90*VLOOKUP('Données projet'!$B$9,Paramètres!$A$1:$I$89,3,0)*0.475*44/12</f>
        <v>1.6274668848594971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25.468712356803156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258.7999999999999</v>
      </c>
      <c r="AJ90" s="14">
        <f>AI90*VLOOKUP('Données projet'!$B$10,Paramètres!$A$1:$I$89,3,0)*VLOOKUP('Données projet'!$B$10,Paramètres!$A$1:$I$89,5,0)</f>
        <v>234.16223999999988</v>
      </c>
      <c r="AK90" s="14">
        <f t="shared" si="89"/>
        <v>57.181713578143047</v>
      </c>
      <c r="AL90" s="22">
        <f t="shared" si="58"/>
        <v>507.42405248193222</v>
      </c>
      <c r="AM90" s="62">
        <f t="shared" si="59"/>
        <v>800.75738581526548</v>
      </c>
      <c r="AN90" s="62">
        <f ca="1">AVERAGE(OFFSET($AM$3,0,0,'Données projet'!$E$10+1,1))-AVERAGE(OFFSET($H$3,0,0,'Données projet'!$E$10+1,1))</f>
        <v>332.68760696564266</v>
      </c>
      <c r="AO90" s="62">
        <f t="shared" si="90"/>
        <v>231.36959598460686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21.463020027190773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21.463020027190773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4.666666666666667</v>
      </c>
      <c r="BD90" s="13">
        <f>IF('Données projet'!$A$88&gt;35,BD89+BC90-BL89,IF(A90&lt;'Données projet'!$A$88,$BA$205^A90,IF(A90='Données projet'!$A$88,'Données projet'!$B$88,BD89+BC90-BL89)))</f>
        <v>169.99999999999994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74.447287056432231</v>
      </c>
      <c r="T91" s="62">
        <f t="shared" si="88"/>
        <v>325.27549009125408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23.373733189962707</v>
      </c>
      <c r="AA91" s="23">
        <f>EXP(-LN(2)/25)*AA90+(1-EXP(-LN(2)/25))/(LN(2)/25)*Calculateur!V91*Calculateur!X91*VLOOKUP('Données projet'!$B$9,Paramètres!$A$1:$I$89,3,0)*0.475*44/12</f>
        <v>1.5829637173082503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24.956696907270956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264.19999999999987</v>
      </c>
      <c r="AJ91" s="14">
        <f>AI91*VLOOKUP('Données projet'!$B$10,Paramètres!$A$1:$I$89,3,0)*VLOOKUP('Données projet'!$B$10,Paramètres!$A$1:$I$89,5,0)</f>
        <v>239.04815999999985</v>
      </c>
      <c r="AK91" s="14">
        <f t="shared" si="89"/>
        <v>58.234690128947292</v>
      </c>
      <c r="AL91" s="22">
        <f t="shared" si="58"/>
        <v>517.76763064124964</v>
      </c>
      <c r="AM91" s="62">
        <f t="shared" si="59"/>
        <v>811.10096397458301</v>
      </c>
      <c r="AN91" s="62">
        <f ca="1">AVERAGE(OFFSET($AM$3,0,0,'Données projet'!$E$10+1,1))-AVERAGE(OFFSET($H$3,0,0,'Données projet'!$E$10+1,1))</f>
        <v>332.68760696564266</v>
      </c>
      <c r="AO91" s="62">
        <f t="shared" si="90"/>
        <v>231.36959598460686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21.042143295607133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21.042143295607133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4.666666666666667</v>
      </c>
      <c r="BD91" s="13">
        <f>IF('Données projet'!$A$88&gt;35,BD90+BC91-BL90,IF(A91&lt;'Données projet'!$A$88,$BA$205^A91,IF(A91='Données projet'!$A$88,'Données projet'!$B$88,BD90+BC91-BL90)))</f>
        <v>174.6666666666666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74.447287056432231</v>
      </c>
      <c r="T92" s="62">
        <f t="shared" si="88"/>
        <v>325.27549009125408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22.915388538677064</v>
      </c>
      <c r="AA92" s="23">
        <f>EXP(-LN(2)/25)*AA91+(1-EXP(-LN(2)/25))/(LN(2)/25)*Calculateur!V92*Calculateur!X92*VLOOKUP('Données projet'!$B$9,Paramètres!$A$1:$I$89,3,0)*0.475*44/12</f>
        <v>1.5396774912140121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24.455066029891075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269.59999999999985</v>
      </c>
      <c r="AJ92" s="14">
        <f>AI92*VLOOKUP('Données projet'!$B$10,Paramètres!$A$1:$I$89,3,0)*VLOOKUP('Données projet'!$B$10,Paramètres!$A$1:$I$89,5,0)</f>
        <v>243.93407999999988</v>
      </c>
      <c r="AK92" s="14">
        <f t="shared" si="89"/>
        <v>59.285164329617594</v>
      </c>
      <c r="AL92" s="22">
        <f t="shared" si="58"/>
        <v>528.10685054075043</v>
      </c>
      <c r="AM92" s="62">
        <f t="shared" si="59"/>
        <v>821.44018387408369</v>
      </c>
      <c r="AN92" s="62">
        <f ca="1">AVERAGE(OFFSET($AM$3,0,0,'Données projet'!$E$10+1,1))-AVERAGE(OFFSET($H$3,0,0,'Données projet'!$E$10+1,1))</f>
        <v>332.68760696564266</v>
      </c>
      <c r="AO92" s="62">
        <f t="shared" si="90"/>
        <v>231.36959598460686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20.629519700020392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20.629519700020392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4.666666666666667</v>
      </c>
      <c r="BD92" s="13">
        <f>IF('Données projet'!$A$88&gt;35,BD91+BC92-BL91,IF(A92&lt;'Données projet'!$A$88,$BA$205^A92,IF(A92='Données projet'!$A$88,'Données projet'!$B$88,BD91+BC92-BL91)))</f>
        <v>179.33333333333326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74.447287056432231</v>
      </c>
      <c r="T93" s="62">
        <f t="shared" si="88"/>
        <v>325.27549009125408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22.4660317464405</v>
      </c>
      <c r="AA93" s="23">
        <f>EXP(-LN(2)/25)*AA92+(1-EXP(-LN(2)/25))/(LN(2)/25)*Calculateur!V93*Calculateur!X93*VLOOKUP('Données projet'!$B$9,Paramètres!$A$1:$I$89,3,0)*0.475*44/12</f>
        <v>1.4975749292486447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23.963606675689146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274.99999999999983</v>
      </c>
      <c r="AJ93" s="14">
        <f>AI93*VLOOKUP('Données projet'!$B$10,Paramètres!$A$1:$I$89,3,0)*VLOOKUP('Données projet'!$B$10,Paramètres!$A$1:$I$89,5,0)</f>
        <v>248.81999999999982</v>
      </c>
      <c r="AK93" s="14">
        <f t="shared" si="89"/>
        <v>60.333192077890018</v>
      </c>
      <c r="AL93" s="22">
        <f t="shared" si="58"/>
        <v>538.44180953565808</v>
      </c>
      <c r="AM93" s="62">
        <f t="shared" si="59"/>
        <v>831.77514286899145</v>
      </c>
      <c r="AN93" s="62">
        <f ca="1">AVERAGE(OFFSET($AM$3,0,0,'Données projet'!$E$10+1,1))-AVERAGE(OFFSET($H$3,0,0,'Données projet'!$E$10+1,1))</f>
        <v>332.68760696564266</v>
      </c>
      <c r="AO93" s="62">
        <f t="shared" si="90"/>
        <v>231.36959598460686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0.34400000000000003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27.450646027543375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27.450646027543375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184</v>
      </c>
      <c r="BB93" s="13">
        <f>VLOOKUP(A93,'Données projet'!$A$87:$I$107,9,0)</f>
        <v>4.666666666666667</v>
      </c>
      <c r="BC93" s="13">
        <f t="array" ref="BC93">INDEX(BB:BB,MIN(IF(ISNUMBER(BB93:BB289),ROW(BB93:BB289),"")))</f>
        <v>4.666666666666667</v>
      </c>
      <c r="BD93" s="13">
        <f>IF('Données projet'!$A$88&gt;35,BD92+BC93-BL92,IF(A93&lt;'Données projet'!$A$88,$BA$205^A93,IF(A93='Données projet'!$A$88,'Données projet'!$B$88,BD92+BC93-BL92)))</f>
        <v>183.99999999999991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7</v>
      </c>
      <c r="BL93" s="16">
        <f>IF(ISNA(VLOOKUP(A93,'Données projet'!$A$87:$I$107,4,0)),0,VLOOKUP(A93,'Données projet'!$A$87:$I$107,4,0))</f>
        <v>30</v>
      </c>
      <c r="BM93" s="17" t="e">
        <f>IF(ISNA(VLOOKUP(A93,'Données projet'!$A$87:$I$107,5,0)),0%,VLOOKUP(A93,'Données projet'!$A$87:$I$107,5,0)*VLOOKUP('Données projet'!$B$11,Paramètres!$A$1:$I$89,7,0))</f>
        <v>#N/A</v>
      </c>
      <c r="BN93" s="17" t="e">
        <f>IF(ISNA(VLOOKUP(A93,'Données projet'!$A$87:$I$107,6,0)),0%,VLOOKUP(A93,'Données projet'!$A$87:$I$107,6,0)*VLOOKUP('Données projet'!$B$11,Paramètres!$A$1:$I$89,7,0))</f>
        <v>#N/A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74.447287056432231</v>
      </c>
      <c r="T94" s="62">
        <f t="shared" si="88"/>
        <v>325.27549009125408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22.025486566819115</v>
      </c>
      <c r="AA94" s="23">
        <f>EXP(-LN(2)/25)*AA93+(1-EXP(-LN(2)/25))/(LN(2)/25)*Calculateur!V94*Calculateur!X94*VLOOKUP('Données projet'!$B$9,Paramètres!$A$1:$I$89,3,0)*0.475*44/12</f>
        <v>1.4566236640542978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23.482110230873413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258.99999999999983</v>
      </c>
      <c r="AJ94" s="14">
        <f>AI94*VLOOKUP('Données projet'!$B$10,Paramètres!$A$1:$I$89,3,0)*VLOOKUP('Données projet'!$B$10,Paramètres!$A$1:$I$89,5,0)</f>
        <v>234.34319999999983</v>
      </c>
      <c r="AK94" s="14">
        <f t="shared" si="89"/>
        <v>57.220758006491614</v>
      </c>
      <c r="AL94" s="22">
        <f t="shared" si="58"/>
        <v>507.80722686130588</v>
      </c>
      <c r="AM94" s="62">
        <f t="shared" si="59"/>
        <v>801.14056019463919</v>
      </c>
      <c r="AN94" s="62">
        <f ca="1">AVERAGE(OFFSET($AM$3,0,0,'Données projet'!$E$10+1,1))-AVERAGE(OFFSET($H$3,0,0,'Données projet'!$E$10+1,1))</f>
        <v>332.68760696564266</v>
      </c>
      <c r="AO94" s="62">
        <f t="shared" si="90"/>
        <v>231.36959598460686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26.912355602184068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26.912355602184068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4.75</v>
      </c>
      <c r="BD94" s="13">
        <f>IF('Données projet'!$A$88&gt;35,BD93+BC94-BL93,IF(A94&lt;'Données projet'!$A$88,$BA$205^A94,IF(A94='Données projet'!$A$88,'Données projet'!$B$88,BD93+BC94-BL93)))</f>
        <v>158.74999999999991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74.447287056432231</v>
      </c>
      <c r="T95" s="62">
        <f t="shared" si="88"/>
        <v>325.27549009125408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21.593580209464079</v>
      </c>
      <c r="AA95" s="23">
        <f>EXP(-LN(2)/25)*AA94+(1-EXP(-LN(2)/25))/(LN(2)/25)*Calculateur!V95*Calculateur!X95*VLOOKUP('Données projet'!$B$9,Paramètres!$A$1:$I$89,3,0)*0.475*44/12</f>
        <v>1.4167922133602238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23.010372422824304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263.99999999999983</v>
      </c>
      <c r="AJ95" s="14">
        <f>AI95*VLOOKUP('Données projet'!$B$10,Paramètres!$A$1:$I$89,3,0)*VLOOKUP('Données projet'!$B$10,Paramètres!$A$1:$I$89,5,0)</f>
        <v>238.86719999999983</v>
      </c>
      <c r="AK95" s="14">
        <f t="shared" si="89"/>
        <v>58.195735973104156</v>
      </c>
      <c r="AL95" s="22">
        <f t="shared" si="58"/>
        <v>517.38461348648946</v>
      </c>
      <c r="AM95" s="62">
        <f t="shared" si="59"/>
        <v>810.71794681982283</v>
      </c>
      <c r="AN95" s="62">
        <f ca="1">AVERAGE(OFFSET($AM$3,0,0,'Données projet'!$E$10+1,1))-AVERAGE(OFFSET($H$3,0,0,'Données projet'!$E$10+1,1))</f>
        <v>332.68760696564266</v>
      </c>
      <c r="AO95" s="62">
        <f t="shared" si="90"/>
        <v>231.36959598460686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26.384620723741318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26.384620723741318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4.75</v>
      </c>
      <c r="BD95" s="13">
        <f>IF('Données projet'!$A$88&gt;35,BD94+BC95-BL94,IF(A95&lt;'Données projet'!$A$88,$BA$205^A95,IF(A95='Données projet'!$A$88,'Données projet'!$B$88,BD94+BC95-BL94)))</f>
        <v>163.49999999999991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74.447287056432231</v>
      </c>
      <c r="T96" s="62">
        <f t="shared" si="88"/>
        <v>325.27549009125408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21.17014327233991</v>
      </c>
      <c r="AA96" s="23">
        <f>EXP(-LN(2)/25)*AA95+(1-EXP(-LN(2)/25))/(LN(2)/25)*Calculateur!V96*Calculateur!X96*VLOOKUP('Données projet'!$B$9,Paramètres!$A$1:$I$89,3,0)*0.475*44/12</f>
        <v>1.3780499557800241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22.548193228119935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268.99999999999983</v>
      </c>
      <c r="AJ96" s="14">
        <f>AI96*VLOOKUP('Données projet'!$B$10,Paramètres!$A$1:$I$89,3,0)*VLOOKUP('Données projet'!$B$10,Paramètres!$A$1:$I$89,5,0)</f>
        <v>243.39119999999986</v>
      </c>
      <c r="AK96" s="14">
        <f t="shared" si="89"/>
        <v>59.168566788241527</v>
      </c>
      <c r="AL96" s="22">
        <f t="shared" si="58"/>
        <v>526.95826048952051</v>
      </c>
      <c r="AM96" s="62">
        <f t="shared" si="59"/>
        <v>820.29159382285388</v>
      </c>
      <c r="AN96" s="62">
        <f ca="1">AVERAGE(OFFSET($AM$3,0,0,'Données projet'!$E$10+1,1))-AVERAGE(OFFSET($H$3,0,0,'Données projet'!$E$10+1,1))</f>
        <v>332.68760696564266</v>
      </c>
      <c r="AO96" s="62">
        <f t="shared" si="90"/>
        <v>231.36959598460686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25.867234404378337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25.867234404378337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4.75</v>
      </c>
      <c r="BD96" s="13">
        <f>IF('Données projet'!$A$88&gt;35,BD95+BC96-BL95,IF(A96&lt;'Données projet'!$A$88,$BA$205^A96,IF(A96='Données projet'!$A$88,'Données projet'!$B$88,BD95+BC96-BL95)))</f>
        <v>168.24999999999991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74.447287056432231</v>
      </c>
      <c r="T97" s="62">
        <f t="shared" si="88"/>
        <v>325.27549009125408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20.755009675281716</v>
      </c>
      <c r="AA97" s="23">
        <f>EXP(-LN(2)/25)*AA96+(1-EXP(-LN(2)/25))/(LN(2)/25)*Calculateur!V97*Calculateur!X97*VLOOKUP('Données projet'!$B$9,Paramètres!$A$1:$I$89,3,0)*0.475*44/12</f>
        <v>1.3403671072707217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22.095376782552439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273.99999999999983</v>
      </c>
      <c r="AJ97" s="14">
        <f>AI97*VLOOKUP('Données projet'!$B$10,Paramètres!$A$1:$I$89,3,0)*VLOOKUP('Données projet'!$B$10,Paramètres!$A$1:$I$89,5,0)</f>
        <v>247.91519999999986</v>
      </c>
      <c r="AK97" s="14">
        <f t="shared" si="89"/>
        <v>60.139294964297406</v>
      </c>
      <c r="AL97" s="22">
        <f t="shared" si="58"/>
        <v>536.52824539615096</v>
      </c>
      <c r="AM97" s="62">
        <f t="shared" si="59"/>
        <v>829.86157872948434</v>
      </c>
      <c r="AN97" s="62">
        <f ca="1">AVERAGE(OFFSET($AM$3,0,0,'Données projet'!$E$10+1,1))-AVERAGE(OFFSET($H$3,0,0,'Données projet'!$E$10+1,1))</f>
        <v>332.68760696564266</v>
      </c>
      <c r="AO97" s="62">
        <f t="shared" si="90"/>
        <v>231.36959598460686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25.359993715163569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25.359993715163569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4.75</v>
      </c>
      <c r="BD97" s="13">
        <f>IF('Données projet'!$A$88&gt;35,BD96+BC97-BL96,IF(A97&lt;'Données projet'!$A$88,$BA$205^A97,IF(A97='Données projet'!$A$88,'Données projet'!$B$88,BD96+BC97-BL96)))</f>
        <v>172.99999999999991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74.447287056432231</v>
      </c>
      <c r="T98" s="62">
        <f t="shared" si="88"/>
        <v>325.27549009125408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20.348016594855341</v>
      </c>
      <c r="AA98" s="23">
        <f>EXP(-LN(2)/25)*AA97+(1-EXP(-LN(2)/25))/(LN(2)/25)*Calculateur!V98*Calculateur!X98*VLOOKUP('Données projet'!$B$9,Paramètres!$A$1:$I$89,3,0)*0.475*44/12</f>
        <v>1.3037146982355612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21.651731293090904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278.99999999999983</v>
      </c>
      <c r="AJ98" s="14">
        <f>AI98*VLOOKUP('Données projet'!$B$10,Paramètres!$A$1:$I$89,3,0)*VLOOKUP('Données projet'!$B$10,Paramètres!$A$1:$I$89,5,0)</f>
        <v>252.43919999999983</v>
      </c>
      <c r="AK98" s="14">
        <f t="shared" si="89"/>
        <v>61.107963296116218</v>
      </c>
      <c r="AL98" s="22">
        <f t="shared" si="58"/>
        <v>546.09464274073537</v>
      </c>
      <c r="AM98" s="62">
        <f t="shared" si="59"/>
        <v>839.42797607406874</v>
      </c>
      <c r="AN98" s="62">
        <f ca="1">AVERAGE(OFFSET($AM$3,0,0,'Données projet'!$E$10+1,1))-AVERAGE(OFFSET($H$3,0,0,'Données projet'!$E$10+1,1))</f>
        <v>332.68760696564266</v>
      </c>
      <c r="AO98" s="62">
        <f t="shared" si="90"/>
        <v>231.36959598460686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0.34400000000000003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32.088358332553838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32.088358332553838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4.75</v>
      </c>
      <c r="BD98" s="13">
        <f>IF('Données projet'!$A$88&gt;35,BD97+BC98-BL97,IF(A98&lt;'Données projet'!$A$88,$BA$205^A98,IF(A98='Données projet'!$A$88,'Données projet'!$B$88,BD97+BC98-BL97)))</f>
        <v>177.74999999999991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74.447287056432231</v>
      </c>
      <c r="T99" s="62">
        <f t="shared" si="88"/>
        <v>325.27549009125408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19.949004400494861</v>
      </c>
      <c r="AA99" s="23">
        <f>EXP(-LN(2)/25)*AA98+(1-EXP(-LN(2)/25))/(LN(2)/25)*Calculateur!V99*Calculateur!X99*VLOOKUP('Données projet'!$B$9,Paramètres!$A$1:$I$89,3,0)*0.475*44/12</f>
        <v>1.2680645512529334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21.217068951747795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262.79999999999984</v>
      </c>
      <c r="AJ99" s="14">
        <f>AI99*VLOOKUP('Données projet'!$B$10,Paramètres!$A$1:$I$89,3,0)*VLOOKUP('Données projet'!$B$10,Paramètres!$A$1:$I$89,5,0)</f>
        <v>237.78143999999983</v>
      </c>
      <c r="AK99" s="14">
        <f t="shared" si="89"/>
        <v>57.9619387969109</v>
      </c>
      <c r="AL99" s="22">
        <f t="shared" si="58"/>
        <v>515.08638473795281</v>
      </c>
      <c r="AM99" s="62">
        <f t="shared" si="59"/>
        <v>808.41971807128607</v>
      </c>
      <c r="AN99" s="62">
        <f ca="1">AVERAGE(OFFSET($AM$3,0,0,'Données projet'!$E$10+1,1))-AVERAGE(OFFSET($H$3,0,0,'Données projet'!$E$10+1,1))</f>
        <v>332.68760696564266</v>
      </c>
      <c r="AO99" s="62">
        <f t="shared" si="90"/>
        <v>231.36959598460686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31.459125197618469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31.459125197618469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4.75</v>
      </c>
      <c r="BD99" s="13">
        <f>IF('Données projet'!$A$88&gt;35,BD98+BC99-BL98,IF(A99&lt;'Données projet'!$A$88,$BA$205^A99,IF(A99='Données projet'!$A$88,'Données projet'!$B$88,BD98+BC99-BL98)))</f>
        <v>182.49999999999991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74.447287056432231</v>
      </c>
      <c r="T100" s="62">
        <f t="shared" si="88"/>
        <v>325.27549009125408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19.557816591892379</v>
      </c>
      <c r="AA100" s="23">
        <f>EXP(-LN(2)/25)*AA99+(1-EXP(-LN(2)/25))/(LN(2)/25)*Calculateur!V100*Calculateur!X100*VLOOKUP('Données projet'!$B$9,Paramètres!$A$1:$I$89,3,0)*0.475*44/12</f>
        <v>1.2333892594143054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20.791205851306685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267.59999999999985</v>
      </c>
      <c r="AJ100" s="14">
        <f>AI100*VLOOKUP('Données projet'!$B$10,Paramètres!$A$1:$I$89,3,0)*VLOOKUP('Données projet'!$B$10,Paramètres!$A$1:$I$89,5,0)</f>
        <v>242.12447999999986</v>
      </c>
      <c r="AK100" s="14">
        <f t="shared" si="89"/>
        <v>58.896387987806008</v>
      </c>
      <c r="AL100" s="22">
        <f t="shared" si="58"/>
        <v>524.27801174542856</v>
      </c>
      <c r="AM100" s="62">
        <f t="shared" si="59"/>
        <v>817.61134507876181</v>
      </c>
      <c r="AN100" s="62">
        <f ca="1">AVERAGE(OFFSET($AM$3,0,0,'Données projet'!$E$10+1,1))-AVERAGE(OFFSET($H$3,0,0,'Données projet'!$E$10+1,1))</f>
        <v>332.68760696564266</v>
      </c>
      <c r="AO100" s="62">
        <f t="shared" si="90"/>
        <v>231.36959598460686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30.842230940664866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30.842230940664866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4.75</v>
      </c>
      <c r="BD100" s="13">
        <f>IF('Données projet'!$A$88&gt;35,BD99+BC100-BL99,IF(A100&lt;'Données projet'!$A$88,$BA$205^A100,IF(A100='Données projet'!$A$88,'Données projet'!$B$88,BD99+BC100-BL99)))</f>
        <v>187.24999999999991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74.447287056432231</v>
      </c>
      <c r="T101" s="62">
        <f t="shared" si="88"/>
        <v>325.27549009125408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19.174299737615591</v>
      </c>
      <c r="AA101" s="23">
        <f>EXP(-LN(2)/25)*AA100+(1-EXP(-LN(2)/25))/(LN(2)/25)*Calculateur!V101*Calculateur!X101*VLOOKUP('Données projet'!$B$9,Paramètres!$A$1:$I$89,3,0)*0.475*44/12</f>
        <v>1.199662165254499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20.373961902870089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272.39999999999986</v>
      </c>
      <c r="AJ101" s="14">
        <f>AI101*VLOOKUP('Données projet'!$B$10,Paramètres!$A$1:$I$89,3,0)*VLOOKUP('Données projet'!$B$10,Paramètres!$A$1:$I$89,5,0)</f>
        <v>246.46751999999987</v>
      </c>
      <c r="AK101" s="14">
        <f t="shared" si="89"/>
        <v>59.828888074216977</v>
      </c>
      <c r="AL101" s="22">
        <f t="shared" si="58"/>
        <v>533.46624406259423</v>
      </c>
      <c r="AM101" s="62">
        <f t="shared" si="59"/>
        <v>826.7995773959276</v>
      </c>
      <c r="AN101" s="62">
        <f ca="1">AVERAGE(OFFSET($AM$3,0,0,'Données projet'!$E$10+1,1))-AVERAGE(OFFSET($H$3,0,0,'Données projet'!$E$10+1,1))</f>
        <v>332.68760696564266</v>
      </c>
      <c r="AO101" s="62">
        <f t="shared" si="90"/>
        <v>231.36959598460686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30.237433603821781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30.237433603821781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4.75</v>
      </c>
      <c r="BD101" s="13">
        <f>IF('Données projet'!$A$88&gt;35,BD100+BC101-BL100,IF(A101&lt;'Données projet'!$A$88,$BA$205^A101,IF(A101='Données projet'!$A$88,'Données projet'!$B$88,BD100+BC101-BL100)))</f>
        <v>191.99999999999991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74.447287056432231</v>
      </c>
      <c r="T102" s="62">
        <f t="shared" si="88"/>
        <v>325.27549009125408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18.798303414928988</v>
      </c>
      <c r="AA102" s="23">
        <f>EXP(-LN(2)/25)*AA101+(1-EXP(-LN(2)/25))/(LN(2)/25)*Calculateur!V102*Calculateur!X102*VLOOKUP('Données projet'!$B$9,Paramètres!$A$1:$I$89,3,0)*0.475*44/12</f>
        <v>1.1668573402581233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19.96516075518711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277.19999999999987</v>
      </c>
      <c r="AJ102" s="14">
        <f>AI102*VLOOKUP('Données projet'!$B$10,Paramètres!$A$1:$I$89,3,0)*VLOOKUP('Données projet'!$B$10,Paramètres!$A$1:$I$89,5,0)</f>
        <v>250.8105599999999</v>
      </c>
      <c r="AK102" s="14">
        <f t="shared" si="89"/>
        <v>60.75947736410869</v>
      </c>
      <c r="AL102" s="22">
        <f t="shared" si="58"/>
        <v>542.65114840915578</v>
      </c>
      <c r="AM102" s="62">
        <f t="shared" si="59"/>
        <v>835.98448174248915</v>
      </c>
      <c r="AN102" s="62">
        <f ca="1">AVERAGE(OFFSET($AM$3,0,0,'Données projet'!$E$10+1,1))-AVERAGE(OFFSET($H$3,0,0,'Données projet'!$E$10+1,1))</f>
        <v>332.68760696564266</v>
      </c>
      <c r="AO102" s="62">
        <f t="shared" si="90"/>
        <v>231.36959598460686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29.644495973864238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29.644495973864238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4.75</v>
      </c>
      <c r="BD102" s="13">
        <f>IF('Données projet'!$A$88&gt;35,BD101+BC102-BL101,IF(A102&lt;'Données projet'!$A$88,$BA$205^A102,IF(A102='Données projet'!$A$88,'Données projet'!$B$88,BD101+BC102-BL101)))</f>
        <v>196.74999999999991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74.447287056432231</v>
      </c>
      <c r="T103" s="62">
        <f t="shared" si="88"/>
        <v>325.27549009125408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18.429680150795157</v>
      </c>
      <c r="AA103" s="23">
        <f>EXP(-LN(2)/25)*AA102+(1-EXP(-LN(2)/25))/(LN(2)/25)*Calculateur!V103*Calculateur!X103*VLOOKUP('Données projet'!$B$9,Paramètres!$A$1:$I$89,3,0)*0.475*44/12</f>
        <v>1.1349495649264043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19.564629715721562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281.99999999999989</v>
      </c>
      <c r="AJ103" s="14">
        <f>AI103*VLOOKUP('Données projet'!$B$10,Paramètres!$A$1:$I$89,3,0)*VLOOKUP('Données projet'!$B$10,Paramètres!$A$1:$I$89,5,0)</f>
        <v>255.15359999999987</v>
      </c>
      <c r="AK103" s="14">
        <f t="shared" si="89"/>
        <v>61.688192762754376</v>
      </c>
      <c r="AL103" s="22">
        <f t="shared" si="58"/>
        <v>551.83278906179692</v>
      </c>
      <c r="AM103" s="62">
        <f t="shared" si="59"/>
        <v>845.16612239513029</v>
      </c>
      <c r="AN103" s="62">
        <f ca="1">AVERAGE(OFFSET($AM$3,0,0,'Données projet'!$E$10+1,1))-AVERAGE(OFFSET($H$3,0,0,'Données projet'!$E$10+1,1))</f>
        <v>332.68760696564266</v>
      </c>
      <c r="AO103" s="62">
        <f t="shared" si="90"/>
        <v>231.36959598460686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282</v>
      </c>
      <c r="AR103" s="17">
        <f>IF(ISNA(VLOOKUP(A103,'Données projet'!$A$61:$I$81,5,0)),0%,VLOOKUP(A103,'Données projet'!$A$61:$I$81,5,0)*VLOOKUP('Données projet'!$B$10,Paramètres!$A$1:$I$89,7,0))</f>
        <v>0.34400000000000003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126.09345846790622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126.09345846790622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4.75</v>
      </c>
      <c r="BD103" s="13">
        <f>IF('Données projet'!$A$88&gt;35,BD102+BC103-BL102,IF(A103&lt;'Données projet'!$A$88,$BA$205^A103,IF(A103='Données projet'!$A$88,'Données projet'!$B$88,BD102+BC103-BL102)))</f>
        <v>201.49999999999991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74.447287056432231</v>
      </c>
      <c r="T104" s="62">
        <f t="shared" si="88"/>
        <v>325.27549009125408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18.068285364032999</v>
      </c>
      <c r="AA104" s="23">
        <f>EXP(-LN(2)/25)*AA103+(1-EXP(-LN(2)/25))/(LN(2)/25)*Calculateur!V104*Calculateur!X104*VLOOKUP('Données projet'!$B$9,Paramètres!$A$1:$I$89,3,0)*0.475*44/12</f>
        <v>1.1039143093890882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19.172199673422085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projet'!$B$10,Paramètres!$A$1:$I$89,3,0)*VLOOKUP('Données projet'!$B$10,Paramètres!$A$1:$I$89,5,0)</f>
        <v>-1.0286385077051818E-13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332.68760696564266</v>
      </c>
      <c r="AO104" s="62">
        <f t="shared" si="90"/>
        <v>231.36959598460686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123.62084265676607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123.62084265676607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4.75</v>
      </c>
      <c r="BD104" s="13">
        <f>IF('Données projet'!$A$88&gt;35,BD103+BC104-BL103,IF(A104&lt;'Données projet'!$A$88,$BA$205^A104,IF(A104='Données projet'!$A$88,'Données projet'!$B$88,BD103+BC104-BL103)))</f>
        <v>206.24999999999991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74.447287056432231</v>
      </c>
      <c r="T105" s="62">
        <f t="shared" si="88"/>
        <v>325.27549009125408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17.713977308610193</v>
      </c>
      <c r="AA105" s="23">
        <f>EXP(-LN(2)/25)*AA104+(1-EXP(-LN(2)/25))/(LN(2)/25)*Calculateur!V105*Calculateur!X105*VLOOKUP('Données projet'!$B$9,Paramètres!$A$1:$I$89,3,0)*0.475*44/12</f>
        <v>1.0737277145465132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18.787705023156708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projet'!$B$10,Paramètres!$A$1:$I$89,3,0)*VLOOKUP('Données projet'!$B$10,Paramètres!$A$1:$I$89,5,0)</f>
        <v>-1.0286385077051818E-13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332.68760696564266</v>
      </c>
      <c r="AO105" s="62">
        <f t="shared" si="90"/>
        <v>231.36959598460686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121.19671333353566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121.19671333353566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>
        <f>VLOOKUP(A105,'Données projet'!$A$87:$I$107,2,0)</f>
        <v>211</v>
      </c>
      <c r="BB105" s="13">
        <f>VLOOKUP(A105,'Données projet'!$A$87:$I$107,9,0)</f>
        <v>4.75</v>
      </c>
      <c r="BC105" s="13">
        <f t="array" ref="BC105">INDEX(BB:BB,MIN(IF(ISNUMBER(BB105:BB301),ROW(BB105:BB301),"")))</f>
        <v>4.75</v>
      </c>
      <c r="BD105" s="13">
        <f>IF('Données projet'!$A$88&gt;35,BD104+BC105-BL104,IF(A105&lt;'Données projet'!$A$88,$BA$205^A105,IF(A105='Données projet'!$A$88,'Données projet'!$B$88,BD104+BC105-BL104)))</f>
        <v>210.99999999999991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8</v>
      </c>
      <c r="BL105" s="16">
        <f>IF(ISNA(VLOOKUP(A105,'Données projet'!$A$87:$I$107,4,0)),0,VLOOKUP(A105,'Données projet'!$A$87:$I$107,4,0))</f>
        <v>211</v>
      </c>
      <c r="BM105" s="17" t="e">
        <f>IF(ISNA(VLOOKUP(A105,'Données projet'!$A$87:$I$107,5,0)),0%,VLOOKUP(A105,'Données projet'!$A$87:$I$107,5,0)*VLOOKUP('Données projet'!$B$11,Paramètres!$A$1:$I$89,7,0))</f>
        <v>#N/A</v>
      </c>
      <c r="BN105" s="17" t="e">
        <f>IF(ISNA(VLOOKUP(A105,'Données projet'!$A$87:$I$107,6,0)),0%,VLOOKUP(A105,'Données projet'!$A$87:$I$107,6,0)*VLOOKUP('Données projet'!$B$11,Paramètres!$A$1:$I$89,7,0))</f>
        <v>#N/A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74.447287056432231</v>
      </c>
      <c r="T106" s="62">
        <f t="shared" si="88"/>
        <v>325.27549009125408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17.366617018047656</v>
      </c>
      <c r="AA106" s="23">
        <f>EXP(-LN(2)/25)*AA105+(1-EXP(-LN(2)/25))/(LN(2)/25)*Calculateur!V106*Calculateur!X106*VLOOKUP('Données projet'!$B$9,Paramètres!$A$1:$I$89,3,0)*0.475*44/12</f>
        <v>1.0443665737273522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18.410983591775008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projet'!$B$10,Paramètres!$A$1:$I$89,3,0)*VLOOKUP('Données projet'!$B$10,Paramètres!$A$1:$I$89,5,0)</f>
        <v>-1.0286385077051818E-13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332.68760696564266</v>
      </c>
      <c r="AO106" s="62">
        <f t="shared" si="90"/>
        <v>231.36959598460686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118.8201197077609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118.8201197077609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-8.5265128291212022E-14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74.447287056432231</v>
      </c>
      <c r="T107" s="62">
        <f t="shared" si="88"/>
        <v>325.27549009125408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17.026068250914189</v>
      </c>
      <c r="AA107" s="23">
        <f>EXP(-LN(2)/25)*AA106+(1-EXP(-LN(2)/25))/(LN(2)/25)*Calculateur!V107*Calculateur!X107*VLOOKUP('Données projet'!$B$9,Paramètres!$A$1:$I$89,3,0)*0.475*44/12</f>
        <v>1.0158083148479267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18.041876565762117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projet'!$B$10,Paramètres!$A$1:$I$89,3,0)*VLOOKUP('Données projet'!$B$10,Paramètres!$A$1:$I$89,5,0)</f>
        <v>-1.0286385077051818E-13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332.68760696564266</v>
      </c>
      <c r="AO107" s="62">
        <f t="shared" si="90"/>
        <v>231.36959598460686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116.4901296334086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116.4901296334086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-8.5265128291212022E-14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74.447287056432231</v>
      </c>
      <c r="T108" s="62">
        <f t="shared" si="88"/>
        <v>325.27549009125408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16.692197437389975</v>
      </c>
      <c r="AA108" s="23">
        <f>EXP(-LN(2)/25)*AA107+(1-EXP(-LN(2)/25))/(LN(2)/25)*Calculateur!V108*Calculateur!X108*VLOOKUP('Données projet'!$B$9,Paramètres!$A$1:$I$89,3,0)*0.475*44/12</f>
        <v>0.98803098305937254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17.680228420449346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projet'!$B$10,Paramètres!$A$1:$I$89,3,0)*VLOOKUP('Données projet'!$B$10,Paramètres!$A$1:$I$89,5,0)</f>
        <v>-1.0286385077051818E-13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332.68760696564266</v>
      </c>
      <c r="AO108" s="62">
        <f t="shared" si="90"/>
        <v>231.36959598460686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114.20582924326074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114.20582924326074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-8.5265128291212022E-14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74.447287056432231</v>
      </c>
      <c r="T109" s="62">
        <f t="shared" si="88"/>
        <v>325.27549009125408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16.36487362687788</v>
      </c>
      <c r="AA109" s="23">
        <f>EXP(-LN(2)/25)*AA108+(1-EXP(-LN(2)/25))/(LN(2)/25)*Calculateur!V109*Calculateur!X109*VLOOKUP('Données projet'!$B$9,Paramètres!$A$1:$I$89,3,0)*0.475*44/12</f>
        <v>0.96101322386932275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17.325886850747203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projet'!$B$10,Paramètres!$A$1:$I$89,3,0)*VLOOKUP('Données projet'!$B$10,Paramètres!$A$1:$I$89,5,0)</f>
        <v>-1.0286385077051818E-13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332.68760696564266</v>
      </c>
      <c r="AO109" s="62">
        <f t="shared" si="90"/>
        <v>231.36959598460686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111.96632259047801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111.96632259047801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-8.5265128291212022E-14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74.447287056432231</v>
      </c>
      <c r="T110" s="62">
        <f t="shared" si="88"/>
        <v>325.27549009125408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16.043968436642118</v>
      </c>
      <c r="AA110" s="23">
        <f>EXP(-LN(2)/25)*AA109+(1-EXP(-LN(2)/25))/(LN(2)/25)*Calculateur!V110*Calculateur!X110*VLOOKUP('Données projet'!$B$9,Paramètres!$A$1:$I$89,3,0)*0.475*44/12</f>
        <v>0.93473426672512705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16.978702703367244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projet'!$B$10,Paramètres!$A$1:$I$89,3,0)*VLOOKUP('Données projet'!$B$10,Paramètres!$A$1:$I$89,5,0)</f>
        <v>-1.0286385077051818E-13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332.68760696564266</v>
      </c>
      <c r="AO110" s="62">
        <f t="shared" si="90"/>
        <v>231.36959598460686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109.77073129719217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109.77073129719217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-8.5265128291212022E-14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74.447287056432231</v>
      </c>
      <c r="T111" s="62">
        <f t="shared" si="88"/>
        <v>325.27549009125408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15.72935600145404</v>
      </c>
      <c r="AA111" s="23">
        <f>EXP(-LN(2)/25)*AA110+(1-EXP(-LN(2)/25))/(LN(2)/25)*Calculateur!V111*Calculateur!X111*VLOOKUP('Données projet'!$B$9,Paramètres!$A$1:$I$89,3,0)*0.475*44/12</f>
        <v>0.90917390904598971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16.638529910500029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projet'!$B$10,Paramètres!$A$1:$I$89,3,0)*VLOOKUP('Données projet'!$B$10,Paramètres!$A$1:$I$89,5,0)</f>
        <v>-1.0286385077051818E-13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332.68760696564266</v>
      </c>
      <c r="AO111" s="62">
        <f t="shared" si="90"/>
        <v>231.36959598460686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107.61819420998921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107.61819420998921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-8.5265128291212022E-14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74.447287056432231</v>
      </c>
      <c r="T112" s="62">
        <f t="shared" si="88"/>
        <v>325.27549009125408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15.420912924225362</v>
      </c>
      <c r="AA112" s="23">
        <f>EXP(-LN(2)/25)*AA111+(1-EXP(-LN(2)/25))/(LN(2)/25)*Calculateur!V112*Calculateur!X112*VLOOKUP('Données projet'!$B$9,Paramètres!$A$1:$I$89,3,0)*0.475*44/12</f>
        <v>0.88431250069174916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16.305225424917111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projet'!$B$10,Paramètres!$A$1:$I$89,3,0)*VLOOKUP('Données projet'!$B$10,Paramètres!$A$1:$I$89,5,0)</f>
        <v>-1.0286385077051818E-13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332.68760696564266</v>
      </c>
      <c r="AO112" s="62">
        <f t="shared" si="90"/>
        <v>231.36959598460686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105.50786706214832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105.50786706214832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-8.5265128291212022E-14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74.447287056432231</v>
      </c>
      <c r="T113" s="62">
        <f t="shared" si="88"/>
        <v>325.27549009125408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15.118518227609439</v>
      </c>
      <c r="AA113" s="23">
        <f>EXP(-LN(2)/25)*AA112+(1-EXP(-LN(2)/25))/(LN(2)/25)*Calculateur!V113*Calculateur!X113*VLOOKUP('Données projet'!$B$9,Paramètres!$A$1:$I$89,3,0)*0.475*44/12</f>
        <v>0.86013092885636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15.978649156465799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projet'!$B$10,Paramètres!$A$1:$I$89,3,0)*VLOOKUP('Données projet'!$B$10,Paramètres!$A$1:$I$89,5,0)</f>
        <v>-1.0286385077051818E-13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332.68760696564266</v>
      </c>
      <c r="AO113" s="62">
        <f t="shared" si="90"/>
        <v>231.36959598460686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103.43892214250413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103.43892214250413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-8.5265128291212022E-14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74.447287056432231</v>
      </c>
      <c r="T114" s="62">
        <f t="shared" si="88"/>
        <v>325.27549009125408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14.8220533065516</v>
      </c>
      <c r="AA114" s="23">
        <f>EXP(-LN(2)/25)*AA113+(1-EXP(-LN(2)/25))/(LN(2)/25)*Calculateur!V114*Calculateur!X114*VLOOKUP('Données projet'!$B$9,Paramètres!$A$1:$I$89,3,0)*0.475*44/12</f>
        <v>0.83661060337446314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15.658663909926064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-1.0286385077051818E-13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332.68760696564266</v>
      </c>
      <c r="AO114" s="62">
        <f t="shared" si="90"/>
        <v>231.36959598460686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101.41054797080236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101.41054797080236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-8.5265128291212022E-14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74.447287056432231</v>
      </c>
      <c r="T115" s="62">
        <f t="shared" si="88"/>
        <v>325.27549009125408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14.531401881769959</v>
      </c>
      <c r="AA115" s="23">
        <f>EXP(-LN(2)/25)*AA114+(1-EXP(-LN(2)/25))/(LN(2)/25)*Calculateur!V115*Calculateur!X115*VLOOKUP('Données projet'!$B$9,Paramètres!$A$1:$I$89,3,0)*0.475*44/12</f>
        <v>0.81373344242974888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15.345135324199708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-1.0286385077051818E-13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332.68760696564266</v>
      </c>
      <c r="AO115" s="62">
        <f t="shared" si="90"/>
        <v>231.36959598460686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99.421948979421572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99.421948979421572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-8.5265128291212022E-14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74.447287056432231</v>
      </c>
      <c r="T116" s="62">
        <f t="shared" si="88"/>
        <v>325.27549009125408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14.246449954148423</v>
      </c>
      <c r="AA116" s="23">
        <f>EXP(-LN(2)/25)*AA115+(1-EXP(-LN(2)/25))/(LN(2)/25)*Calculateur!V116*Calculateur!X116*VLOOKUP('Données projet'!$B$9,Paramètres!$A$1:$I$89,3,0)*0.475*44/12</f>
        <v>0.79148185865412546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15.037931812802547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-1.0286385077051818E-13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332.68760696564266</v>
      </c>
      <c r="AO116" s="62">
        <f t="shared" si="90"/>
        <v>231.36959598460686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97.472345201336154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97.472345201336154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-8.5265128291212022E-14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74.447287056432231</v>
      </c>
      <c r="T117" s="62">
        <f t="shared" si="88"/>
        <v>325.27549009125408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13.96708576002403</v>
      </c>
      <c r="AA117" s="23">
        <f>EXP(-LN(2)/25)*AA116+(1-EXP(-LN(2)/25))/(LN(2)/25)*Calculateur!V117*Calculateur!X117*VLOOKUP('Données projet'!$B$9,Paramètres!$A$1:$I$89,3,0)*0.475*44/12</f>
        <v>0.76983874560700638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14.736924505631038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-1.0286385077051818E-13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332.68760696564266</v>
      </c>
      <c r="AO117" s="62">
        <f t="shared" si="90"/>
        <v>231.36959598460686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95.560971964198103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95.560971964198103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-8.5265128291212022E-14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74.447287056432231</v>
      </c>
      <c r="T118" s="62">
        <f t="shared" si="88"/>
        <v>325.27549009125408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13.693199727351084</v>
      </c>
      <c r="AA118" s="23">
        <f>EXP(-LN(2)/25)*AA117+(1-EXP(-LN(2)/25))/(LN(2)/25)*Calculateur!V118*Calculateur!X118*VLOOKUP('Données projet'!$B$9,Paramètres!$A$1:$I$89,3,0)*0.475*44/12</f>
        <v>0.74878746462432266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14.441987191975407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-1.0286385077051818E-13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332.68760696564266</v>
      </c>
      <c r="AO118" s="62">
        <f t="shared" si="90"/>
        <v>231.36959598460686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93.687079590417767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93.687079590417767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-8.5265128291212022E-14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74.447287056432231</v>
      </c>
      <c r="T119" s="62">
        <f t="shared" si="88"/>
        <v>325.27549009125408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13.424684432724868</v>
      </c>
      <c r="AA119" s="23">
        <f>EXP(-LN(2)/25)*AA118+(1-EXP(-LN(2)/25))/(LN(2)/25)*Calculateur!V119*Calculateur!X119*VLOOKUP('Données projet'!$B$9,Paramètres!$A$1:$I$89,3,0)*0.475*44/12</f>
        <v>0.72831183202714922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14.152996264752018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-1.0286385077051818E-13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332.68760696564266</v>
      </c>
      <c r="AO119" s="62">
        <f t="shared" si="90"/>
        <v>231.36959598460686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91.849933103125778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91.849933103125778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-8.5265128291212022E-14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74.447287056432231</v>
      </c>
      <c r="T120" s="62">
        <f t="shared" si="88"/>
        <v>325.27549009125408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13.161434559248116</v>
      </c>
      <c r="AA120" s="23">
        <f>EXP(-LN(2)/25)*AA119+(1-EXP(-LN(2)/25))/(LN(2)/25)*Calculateur!V120*Calculateur!X120*VLOOKUP('Données projet'!$B$9,Paramètres!$A$1:$I$89,3,0)*0.475*44/12</f>
        <v>0.7083961066801121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13.869830665928228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-1.0286385077051818E-13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332.68760696564266</v>
      </c>
      <c r="AO120" s="62">
        <f t="shared" si="90"/>
        <v>231.36959598460686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90.048811937900865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90.048811937900865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-8.5265128291212022E-14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74.447287056432231</v>
      </c>
      <c r="T121" s="62">
        <f t="shared" si="88"/>
        <v>325.27549009125408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12.903346855223674</v>
      </c>
      <c r="AA121" s="23">
        <f>EXP(-LN(2)/25)*AA120+(1-EXP(-LN(2)/25))/(LN(2)/25)*Calculateur!V121*Calculateur!X121*VLOOKUP('Données projet'!$B$9,Paramètres!$A$1:$I$89,3,0)*0.475*44/12</f>
        <v>0.68902497789001227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13.592371833113686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-1.0286385077051818E-13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332.68760696564266</v>
      </c>
      <c r="AO121" s="62">
        <f t="shared" si="90"/>
        <v>231.36959598460686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88.283009660150583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88.283009660150583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-8.5265128291212022E-14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74.447287056432231</v>
      </c>
      <c r="T122" s="62">
        <f t="shared" si="88"/>
        <v>325.27549009125408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12.650320093657195</v>
      </c>
      <c r="AA122" s="23">
        <f>EXP(-LN(2)/25)*AA121+(1-EXP(-LN(2)/25))/(LN(2)/25)*Calculateur!V122*Calculateur!X122*VLOOKUP('Données projet'!$B$9,Paramètres!$A$1:$I$89,3,0)*0.475*44/12</f>
        <v>0.67018355363536108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13.320503647292556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-1.0286385077051818E-13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332.68760696564266</v>
      </c>
      <c r="AO122" s="62">
        <f t="shared" si="90"/>
        <v>231.36959598460686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86.551833688033938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86.551833688033938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-8.5265128291212022E-14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74.447287056432231</v>
      </c>
      <c r="T123" s="62">
        <f t="shared" si="88"/>
        <v>325.27549009125408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12.402255032553949</v>
      </c>
      <c r="AA123" s="23">
        <f>EXP(-LN(2)/25)*AA122+(1-EXP(-LN(2)/25))/(LN(2)/25)*Calculateur!V123*Calculateur!X123*VLOOKUP('Données projet'!$B$9,Paramètres!$A$1:$I$89,3,0)*0.475*44/12</f>
        <v>0.65185734911778082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13.054112381671731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-1.0286385077051818E-13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332.68760696564266</v>
      </c>
      <c r="AO123" s="62">
        <f t="shared" si="90"/>
        <v>231.36959598460686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84.854605020817417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84.854605020817417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-8.5265128291212022E-14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74.447287056432231</v>
      </c>
      <c r="T124" s="62">
        <f t="shared" si="88"/>
        <v>325.27549009125408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12.159054375994192</v>
      </c>
      <c r="AA124" s="23">
        <f>EXP(-LN(2)/25)*AA123+(1-EXP(-LN(2)/25))/(LN(2)/25)*Calculateur!V124*Calculateur!X124*VLOOKUP('Données projet'!$B$9,Paramètres!$A$1:$I$89,3,0)*0.475*44/12</f>
        <v>0.63403227562646691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12.793086651620659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-1.0286385077051818E-13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332.68760696564266</v>
      </c>
      <c r="AO124" s="62">
        <f t="shared" si="90"/>
        <v>231.36959598460686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83.190657972557744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83.190657972557744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-8.5265128291212022E-14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74.447287056432231</v>
      </c>
      <c r="T125" s="62">
        <f t="shared" si="88"/>
        <v>325.27549009125408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11.920622735971817</v>
      </c>
      <c r="AA125" s="23">
        <f>EXP(-LN(2)/25)*AA124+(1-EXP(-LN(2)/25))/(LN(2)/25)*Calculateur!V125*Calculateur!X125*VLOOKUP('Données projet'!$B$9,Paramètres!$A$1:$I$89,3,0)*0.475*44/12</f>
        <v>0.61669462970715294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12.53731736567897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-1.0286385077051818E-13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332.68760696564266</v>
      </c>
      <c r="AO125" s="62">
        <f t="shared" si="90"/>
        <v>231.36959598460686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81.559339911006958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81.559339911006958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-8.5265128291212022E-14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74.447287056432231</v>
      </c>
      <c r="T126" s="62">
        <f t="shared" si="88"/>
        <v>325.27549009125408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11.686866594981341</v>
      </c>
      <c r="AA126" s="23">
        <f>EXP(-LN(2)/25)*AA125+(1-EXP(-LN(2)/25))/(LN(2)/25)*Calculateur!V126*Calculateur!X126*VLOOKUP('Données projet'!$B$9,Paramètres!$A$1:$I$89,3,0)*0.475*44/12</f>
        <v>0.59983108262724971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12.28669767760859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-1.0286385077051818E-13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332.68760696564266</v>
      </c>
      <c r="AO126" s="62">
        <f t="shared" si="90"/>
        <v>231.36959598460686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79.960011001637426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79.960011001637426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-8.5265128291212022E-14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74.447287056432231</v>
      </c>
      <c r="T127" s="62">
        <f t="shared" si="88"/>
        <v>325.27549009125408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11.45769426933852</v>
      </c>
      <c r="AA127" s="23">
        <f>EXP(-LN(2)/25)*AA126+(1-EXP(-LN(2)/25))/(LN(2)/25)*Calculateur!V127*Calculateur!X127*VLOOKUP('Données projet'!$B$9,Paramètres!$A$1:$I$89,3,0)*0.475*44/12</f>
        <v>0.58342867012906185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12.041122939467581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-1.0286385077051818E-13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332.68760696564266</v>
      </c>
      <c r="AO127" s="62">
        <f t="shared" si="90"/>
        <v>231.36959598460686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78.392043956686308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78.392043956686308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-8.5265128291212022E-14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74.447287056432231</v>
      </c>
      <c r="T128" s="62">
        <f t="shared" si="88"/>
        <v>325.27549009125408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11.233015873220237</v>
      </c>
      <c r="AA128" s="23">
        <f>EXP(-LN(2)/25)*AA127+(1-EXP(-LN(2)/25))/(LN(2)/25)*Calculateur!V128*Calculateur!X128*VLOOKUP('Données projet'!$B$9,Paramètres!$A$1:$I$89,3,0)*0.475*44/12</f>
        <v>0.56747478246320238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11.80049065568344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-1.0286385077051818E-13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332.68760696564266</v>
      </c>
      <c r="AO128" s="62">
        <f t="shared" si="90"/>
        <v>231.36959598460686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76.854823789121227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76.854823789121227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-8.5265128291212022E-14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74.447287056432231</v>
      </c>
      <c r="T129" s="62">
        <f t="shared" si="88"/>
        <v>325.27549009125408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11.012743283409545</v>
      </c>
      <c r="AA129" s="23">
        <f>EXP(-LN(2)/25)*AA128+(1-EXP(-LN(2)/25))/(LN(2)/25)*Calculateur!V129*Calculateur!X129*VLOOKUP('Données projet'!$B$9,Paramètres!$A$1:$I$89,3,0)*0.475*44/12</f>
        <v>0.55195715469454432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11.56470043810409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-1.0286385077051818E-13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332.68760696564266</v>
      </c>
      <c r="AO129" s="62">
        <f t="shared" si="90"/>
        <v>231.36959598460686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75.347747571430375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75.347747571430375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-8.5265128291212022E-14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74.447287056432231</v>
      </c>
      <c r="T130" s="62">
        <f t="shared" si="88"/>
        <v>325.27549009125408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10.796790104732027</v>
      </c>
      <c r="AA130" s="23">
        <f>EXP(-LN(2)/25)*AA129+(1-EXP(-LN(2)/25))/(LN(2)/25)*Calculateur!V130*Calculateur!X130*VLOOKUP('Données projet'!$B$9,Paramètres!$A$1:$I$89,3,0)*0.475*44/12</f>
        <v>0.53686385727325681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11.333653962005284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-1.0286385077051818E-13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332.68760696564266</v>
      </c>
      <c r="AO130" s="62">
        <f t="shared" si="90"/>
        <v>231.36959598460686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73.870224199142712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73.870224199142712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-8.5265128291212022E-14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74.447287056432231</v>
      </c>
      <c r="T131" s="62">
        <f t="shared" si="88"/>
        <v>325.27549009125408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10.585071636169943</v>
      </c>
      <c r="AA131" s="23">
        <f>EXP(-LN(2)/25)*AA130+(1-EXP(-LN(2)/25))/(LN(2)/25)*Calculateur!V131*Calculateur!X131*VLOOKUP('Données projet'!$B$9,Paramètres!$A$1:$I$89,3,0)*0.475*44/12</f>
        <v>0.52218328686367632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11.107254923033619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-1.0286385077051818E-13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332.68760696564266</v>
      </c>
      <c r="AO131" s="62">
        <f t="shared" si="90"/>
        <v>231.36959598460686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72.42167415898534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72.42167415898534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-8.5265128291212022E-14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74.447287056432231</v>
      </c>
      <c r="T132" s="62">
        <f t="shared" si="88"/>
        <v>325.27549009125408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10.377504837640846</v>
      </c>
      <c r="AA132" s="23">
        <f>EXP(-LN(2)/25)*AA131+(1-EXP(-LN(2)/25))/(LN(2)/25)*Calculateur!V132*Calculateur!X132*VLOOKUP('Données projet'!$B$9,Paramètres!$A$1:$I$89,3,0)*0.475*44/12</f>
        <v>0.50790415742396355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10.885408995064809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-1.0286385077051818E-13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332.68760696564266</v>
      </c>
      <c r="AO132" s="62">
        <f t="shared" si="90"/>
        <v>231.36959598460686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71.001529301587169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71.001529301587169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-8.5265128291212022E-14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74.447287056432231</v>
      </c>
      <c r="T133" s="62">
        <f t="shared" ref="T133:T196" si="142">$T$3</f>
        <v>325.27549009125408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10.174008297427658</v>
      </c>
      <c r="AA133" s="23">
        <f>EXP(-LN(2)/25)*AA132+(1-EXP(-LN(2)/25))/(LN(2)/25)*Calculateur!V133*Calculateur!X133*VLOOKUP('Données projet'!$B$9,Paramètres!$A$1:$I$89,3,0)*0.475*44/12</f>
        <v>0.49401549152968643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10.668023788957345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-1.0286385077051818E-13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332.68760696564266</v>
      </c>
      <c r="AO133" s="62">
        <f t="shared" ref="AO133:AO196" si="144">$AO$3</f>
        <v>231.36959598460686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69.609232618639737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69.609232618639737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-8.5265128291212022E-14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74.447287056432231</v>
      </c>
      <c r="T134" s="62">
        <f t="shared" si="142"/>
        <v>325.27549009125408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9.974502200247418</v>
      </c>
      <c r="AA134" s="23">
        <f>EXP(-LN(2)/25)*AA133+(1-EXP(-LN(2)/25))/(LN(2)/25)*Calculateur!V134*Calculateur!X134*VLOOKUP('Données projet'!$B$9,Paramètres!$A$1:$I$89,3,0)*0.475*44/12</f>
        <v>0.48050661193466154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10.455008812182079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-1.0286385077051818E-13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332.68760696564266</v>
      </c>
      <c r="AO134" s="62">
        <f t="shared" si="144"/>
        <v>231.36959598460686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68.244238024427787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68.244238024427787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-8.5265128291212022E-14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74.447287056432231</v>
      </c>
      <c r="T135" s="62">
        <f t="shared" si="142"/>
        <v>325.27549009125408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9.7789082959461791</v>
      </c>
      <c r="AA135" s="23">
        <f>EXP(-LN(2)/25)*AA134+(1-EXP(-LN(2)/25))/(LN(2)/25)*Calculateur!V135*Calculateur!X135*VLOOKUP('Données projet'!$B$9,Paramètres!$A$1:$I$89,3,0)*0.475*44/12</f>
        <v>0.46736713336256369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10.246275429308742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-1.0286385077051818E-13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332.68760696564266</v>
      </c>
      <c r="AO135" s="62">
        <f t="shared" si="144"/>
        <v>231.36959598460686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66.906010141643833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66.906010141643833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-8.5265128291212022E-14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74.447287056432231</v>
      </c>
      <c r="T136" s="62">
        <f t="shared" si="142"/>
        <v>325.27549009125408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9.587149868807785</v>
      </c>
      <c r="AA136" s="23">
        <f>EXP(-LN(2)/25)*AA135+(1-EXP(-LN(2)/25))/(LN(2)/25)*Calculateur!V136*Calculateur!X136*VLOOKUP('Données projet'!$B$9,Paramètres!$A$1:$I$89,3,0)*0.475*44/12</f>
        <v>0.45458695452299502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10.04173682333078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-1.0286385077051818E-13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332.68760696564266</v>
      </c>
      <c r="AO136" s="62">
        <f t="shared" si="144"/>
        <v>231.36959598460686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65.594024091402872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65.594024091402872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-8.5265128291212022E-14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74.447287056432231</v>
      </c>
      <c r="T137" s="62">
        <f t="shared" si="142"/>
        <v>325.27549009125408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9.3991517074644833</v>
      </c>
      <c r="AA137" s="23">
        <f>EXP(-LN(2)/25)*AA136+(1-EXP(-LN(2)/25))/(LN(2)/25)*Calculateur!V137*Calculateur!X137*VLOOKUP('Données projet'!$B$9,Paramètres!$A$1:$I$89,3,0)*0.475*44/12</f>
        <v>0.44215625034587475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9.8413079578103577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-1.0286385077051818E-13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332.68760696564266</v>
      </c>
      <c r="AO137" s="62">
        <f t="shared" si="144"/>
        <v>231.36959598460686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64.30776528737465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64.30776528737465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-8.5265128291212022E-14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74.447287056432231</v>
      </c>
      <c r="T138" s="62">
        <f t="shared" si="142"/>
        <v>325.27549009125408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9.2148400753975679</v>
      </c>
      <c r="AA138" s="23">
        <f>EXP(-LN(2)/25)*AA137+(1-EXP(-LN(2)/25))/(LN(2)/25)*Calculateur!V138*Calculateur!X138*VLOOKUP('Données projet'!$B$9,Paramètres!$A$1:$I$89,3,0)*0.475*44/12</f>
        <v>0.43006546442818017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9.6449055398257482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-1.0286385077051818E-13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332.68760696564266</v>
      </c>
      <c r="AO138" s="62">
        <f t="shared" si="144"/>
        <v>231.36959598460686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63.046729233953023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63.046729233953023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-8.5265128291212022E-14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74.447287056432231</v>
      </c>
      <c r="T139" s="62">
        <f t="shared" si="142"/>
        <v>325.27549009125408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9.0341426820164887</v>
      </c>
      <c r="AA139" s="23">
        <f>EXP(-LN(2)/25)*AA138+(1-EXP(-LN(2)/25))/(LN(2)/25)*Calculateur!V139*Calculateur!X139*VLOOKUP('Données projet'!$B$9,Paramètres!$A$1:$I$89,3,0)*0.475*44/12</f>
        <v>0.41830530168723173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9.4524479837037205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-1.0286385077051818E-13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332.68760696564266</v>
      </c>
      <c r="AO139" s="62">
        <f t="shared" si="144"/>
        <v>231.36959598460686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61.810421328382951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61.810421328382951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-8.5265128291212022E-14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74.447287056432231</v>
      </c>
      <c r="T140" s="62">
        <f t="shared" si="142"/>
        <v>325.27549009125408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8.856988654305086</v>
      </c>
      <c r="AA140" s="23">
        <f>EXP(-LN(2)/25)*AA139+(1-EXP(-LN(2)/25))/(LN(2)/25)*Calculateur!V140*Calculateur!X140*VLOOKUP('Données projet'!$B$9,Paramètres!$A$1:$I$89,3,0)*0.475*44/12</f>
        <v>0.4068667212148746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9.2638553755199613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-1.0286385077051818E-13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332.68760696564266</v>
      </c>
      <c r="AO140" s="62">
        <f t="shared" si="144"/>
        <v>231.36959598460686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60.598356666767742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60.598356666767742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-8.5265128291212022E-14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74.447287056432231</v>
      </c>
      <c r="T141" s="62">
        <f t="shared" si="142"/>
        <v>325.27549009125408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8.6833085090238171</v>
      </c>
      <c r="AA141" s="23">
        <f>EXP(-LN(2)/25)*AA140+(1-EXP(-LN(2)/25))/(LN(2)/25)*Calculateur!V141*Calculateur!X141*VLOOKUP('Données projet'!$B$9,Paramètres!$A$1:$I$89,3,0)*0.475*44/12</f>
        <v>0.3957409293270629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9.0790494383508804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-1.0286385077051818E-13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332.68760696564266</v>
      </c>
      <c r="AO141" s="62">
        <f t="shared" si="144"/>
        <v>231.36959598460686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59.410059853880362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59.410059853880362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-8.5265128291212022E-14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74.447287056432231</v>
      </c>
      <c r="T142" s="62">
        <f t="shared" si="142"/>
        <v>325.27549009125408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8.513034125457084</v>
      </c>
      <c r="AA142" s="23">
        <f>EXP(-LN(2)/25)*AA141+(1-EXP(-LN(2)/25))/(LN(2)/25)*Calculateur!V142*Calculateur!X142*VLOOKUP('Données projet'!$B$9,Paramètres!$A$1:$I$89,3,0)*0.475*44/12</f>
        <v>0.38491937280350336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8.8979534982605877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-1.0286385077051818E-13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332.68760696564266</v>
      </c>
      <c r="AO142" s="62">
        <f t="shared" si="144"/>
        <v>231.36959598460686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58.245064816704215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58.245064816704215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-8.5265128291212022E-14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74.447287056432231</v>
      </c>
      <c r="T143" s="62">
        <f t="shared" si="142"/>
        <v>325.27549009125408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8.3460987186949769</v>
      </c>
      <c r="AA143" s="23">
        <f>EXP(-LN(2)/25)*AA142+(1-EXP(-LN(2)/25))/(LN(2)/25)*Calculateur!V143*Calculateur!X143*VLOOKUP('Données projet'!$B$9,Paramètres!$A$1:$I$89,3,0)*0.475*44/12</f>
        <v>0.3743937323121615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8.7204924510071375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-1.0286385077051818E-13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332.68760696564266</v>
      </c>
      <c r="AO143" s="62">
        <f t="shared" si="144"/>
        <v>231.36959598460686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57.102914621630283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57.102914621630283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-8.5265128291212022E-14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74.447287056432231</v>
      </c>
      <c r="T144" s="62">
        <f t="shared" si="142"/>
        <v>325.27549009125408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8.1824368134389296</v>
      </c>
      <c r="AA144" s="23">
        <f>EXP(-LN(2)/25)*AA143+(1-EXP(-LN(2)/25))/(LN(2)/25)*Calculateur!V144*Calculateur!X144*VLOOKUP('Données projet'!$B$9,Paramètres!$A$1:$I$89,3,0)*0.475*44/12</f>
        <v>0.36415591601357472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8.5465927294525041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-1.0286385077051818E-13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332.68760696564266</v>
      </c>
      <c r="AO144" s="62">
        <f t="shared" si="144"/>
        <v>231.36959598460686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55.983161295238922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55.983161295238922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-8.5265128291212022E-14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74.447287056432231</v>
      </c>
      <c r="T145" s="62">
        <f t="shared" si="142"/>
        <v>325.27549009125408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8.0219842183210481</v>
      </c>
      <c r="AA145" s="23">
        <f>EXP(-LN(2)/25)*AA144+(1-EXP(-LN(2)/25))/(LN(2)/25)*Calculateur!V145*Calculateur!X145*VLOOKUP('Données projet'!$B$9,Paramètres!$A$1:$I$89,3,0)*0.475*44/12</f>
        <v>0.35419805334005616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8.3761822716611043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-1.0286385077051818E-13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332.68760696564266</v>
      </c>
      <c r="AO145" s="62">
        <f t="shared" si="144"/>
        <v>231.36959598460686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54.885365648596007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54.885365648596007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-8.5265128291212022E-14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74.447287056432231</v>
      </c>
      <c r="T146" s="62">
        <f t="shared" si="142"/>
        <v>325.27549009125408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7.8646780007270092</v>
      </c>
      <c r="AA146" s="23">
        <f>EXP(-LN(2)/25)*AA145+(1-EXP(-LN(2)/25))/(LN(2)/25)*Calculateur!V146*Calculateur!X146*VLOOKUP('Données projet'!$B$9,Paramètres!$A$1:$I$89,3,0)*0.475*44/12</f>
        <v>0.34451248894500625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8.2091904896720163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-1.0286385077051818E-13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332.68760696564266</v>
      </c>
      <c r="AO146" s="62">
        <f t="shared" si="144"/>
        <v>231.36959598460686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53.809097104994528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53.809097104994528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-8.5265128291212022E-14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74.447287056432231</v>
      </c>
      <c r="T147" s="62">
        <f t="shared" si="142"/>
        <v>325.27549009125408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7.7104564621126706</v>
      </c>
      <c r="AA147" s="23">
        <f>EXP(-LN(2)/25)*AA146+(1-EXP(-LN(2)/25))/(LN(2)/25)*Calculateur!V147*Calculateur!X147*VLOOKUP('Données projet'!$B$9,Paramètres!$A$1:$I$89,3,0)*0.475*44/12</f>
        <v>0.33509177681768065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8.0455482389303512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-1.0286385077051818E-13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332.68760696564266</v>
      </c>
      <c r="AO147" s="62">
        <f t="shared" si="144"/>
        <v>231.36959598460686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52.753933531074082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52.753933531074082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-8.5265128291212022E-14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74.447287056432231</v>
      </c>
      <c r="T148" s="62">
        <f t="shared" si="142"/>
        <v>325.27549009125408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7.5592591138047087</v>
      </c>
      <c r="AA148" s="23">
        <f>EXP(-LN(2)/25)*AA147+(1-EXP(-LN(2)/25))/(LN(2)/25)*Calculateur!V148*Calculateur!X148*VLOOKUP('Données projet'!$B$9,Paramètres!$A$1:$I$89,3,0)*0.475*44/12</f>
        <v>0.32592867455889052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7.8851877883635995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-1.0286385077051818E-13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332.68760696564266</v>
      </c>
      <c r="AO148" s="62">
        <f t="shared" si="144"/>
        <v>231.36959598460686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51.719461071251985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51.719461071251985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-8.5265128291212022E-14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74.447287056432231</v>
      </c>
      <c r="T149" s="62">
        <f t="shared" si="142"/>
        <v>325.27549009125408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7.4110266532757896</v>
      </c>
      <c r="AA149" s="23">
        <f>EXP(-LN(2)/25)*AA148+(1-EXP(-LN(2)/25))/(LN(2)/25)*Calculateur!V149*Calculateur!X149*VLOOKUP('Données projet'!$B$9,Paramètres!$A$1:$I$89,3,0)*0.475*44/12</f>
        <v>0.31701613781323357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7.728042791089023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-1.0286385077051818E-13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332.68760696564266</v>
      </c>
      <c r="AO149" s="62">
        <f t="shared" si="144"/>
        <v>231.36959598460686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50.705273985401099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50.705273985401099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-8.5265128291212022E-14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74.447287056432231</v>
      </c>
      <c r="T150" s="62">
        <f t="shared" si="142"/>
        <v>325.27549009125408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7.2657009408849689</v>
      </c>
      <c r="AA150" s="23">
        <f>EXP(-LN(2)/25)*AA149+(1-EXP(-LN(2)/25))/(LN(2)/25)*Calculateur!V150*Calculateur!X150*VLOOKUP('Données projet'!$B$9,Paramètres!$A$1:$I$89,3,0)*0.475*44/12</f>
        <v>0.30834731485357658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7.5740482557385453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-1.0286385077051818E-13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332.68760696564266</v>
      </c>
      <c r="AO150" s="62">
        <f t="shared" si="144"/>
        <v>231.36959598460686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49.710974489710708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49.710974489710708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-8.5265128291212022E-14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74.447287056432231</v>
      </c>
      <c r="T151" s="62">
        <f t="shared" si="142"/>
        <v>325.27549009125408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7.1232249770742007</v>
      </c>
      <c r="AA151" s="23">
        <f>EXP(-LN(2)/25)*AA150+(1-EXP(-LN(2)/25))/(LN(2)/25)*Calculateur!V151*Calculateur!X151*VLOOKUP('Données projet'!$B$9,Paramètres!$A$1:$I$89,3,0)*0.475*44/12</f>
        <v>0.29991554131362497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7.4231405183878252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-1.0286385077051818E-13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332.68760696564266</v>
      </c>
      <c r="AO151" s="62">
        <f t="shared" si="144"/>
        <v>231.36959598460686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48.736172600667999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48.736172600667999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-8.5265128291212022E-14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74.447287056432231</v>
      </c>
      <c r="T152" s="62">
        <f t="shared" si="142"/>
        <v>325.27549009125408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6.9835428800120045</v>
      </c>
      <c r="AA152" s="23">
        <f>EXP(-LN(2)/25)*AA151+(1-EXP(-LN(2)/25))/(LN(2)/25)*Calculateur!V152*Calculateur!X152*VLOOKUP('Données projet'!$B$9,Paramètres!$A$1:$I$89,3,0)*0.475*44/12</f>
        <v>0.29171433506453104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7.275257215076536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-1.0286385077051818E-13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332.68760696564266</v>
      </c>
      <c r="AO152" s="62">
        <f t="shared" si="144"/>
        <v>231.36959598460686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47.780485982098973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47.780485982098973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-8.5265128291212022E-14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74.447287056432231</v>
      </c>
      <c r="T153" s="62">
        <f t="shared" si="142"/>
        <v>325.27549009125408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6.8465998636755314</v>
      </c>
      <c r="AA153" s="23">
        <f>EXP(-LN(2)/25)*AA152+(1-EXP(-LN(2)/25))/(LN(2)/25)*Calculateur!V153*Calculateur!X153*VLOOKUP('Données projet'!$B$9,Paramètres!$A$1:$I$89,3,0)*0.475*44/12</f>
        <v>0.2837373912316013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7.1303372549071327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-1.0286385077051818E-13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332.68760696564266</v>
      </c>
      <c r="AO153" s="62">
        <f t="shared" si="144"/>
        <v>231.36959598460686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46.843539795208805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46.843539795208805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-8.5265128291212022E-14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74.447287056432231</v>
      </c>
      <c r="T154" s="62">
        <f t="shared" si="142"/>
        <v>325.27549009125408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6.7123422163624236</v>
      </c>
      <c r="AA154" s="23">
        <f>EXP(-LN(2)/25)*AA153+(1-EXP(-LN(2)/25))/(LN(2)/25)*Calculateur!V154*Calculateur!X154*VLOOKUP('Données projet'!$B$9,Paramètres!$A$1:$I$89,3,0)*0.475*44/12</f>
        <v>0.27597857734727227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6.9883207937096961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-1.0286385077051818E-13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332.68760696564266</v>
      </c>
      <c r="AO154" s="62">
        <f t="shared" si="144"/>
        <v>231.36959598460686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45.924966551562811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45.924966551562811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-8.5265128291212022E-14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74.447287056432231</v>
      </c>
      <c r="T155" s="62">
        <f t="shared" si="142"/>
        <v>325.27549009125408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6.5807172796240474</v>
      </c>
      <c r="AA155" s="23">
        <f>EXP(-LN(2)/25)*AA154+(1-EXP(-LN(2)/25))/(LN(2)/25)*Calculateur!V155*Calculateur!X155*VLOOKUP('Données projet'!$B$9,Paramètres!$A$1:$I$89,3,0)*0.475*44/12</f>
        <v>0.26843192863662846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6.849149208260676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-1.0286385077051818E-13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332.68760696564266</v>
      </c>
      <c r="AO155" s="62">
        <f t="shared" si="144"/>
        <v>231.36959598460686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45.024405968950362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45.024405968950362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-8.5265128291212022E-14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74.447287056432231</v>
      </c>
      <c r="T156" s="62">
        <f t="shared" si="142"/>
        <v>325.27549009125408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6.4516734276118264</v>
      </c>
      <c r="AA156" s="23">
        <f>EXP(-LN(2)/25)*AA155+(1-EXP(-LN(2)/25))/(LN(2)/25)*Calculateur!V156*Calculateur!X156*VLOOKUP('Données projet'!$B$9,Paramètres!$A$1:$I$89,3,0)*0.475*44/12</f>
        <v>0.26109164343183822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6.7127650710436644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-1.0286385077051818E-13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332.68760696564266</v>
      </c>
      <c r="AO156" s="62">
        <f t="shared" si="144"/>
        <v>231.36959598460686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44.14150483007522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44.14150483007522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-8.5265128291212022E-14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74.447287056432231</v>
      </c>
      <c r="T157" s="62">
        <f t="shared" si="142"/>
        <v>325.27549009125408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6.3251600468285876</v>
      </c>
      <c r="AA157" s="23">
        <f>EXP(-LN(2)/25)*AA156+(1-EXP(-LN(2)/25))/(LN(2)/25)*Calculateur!V157*Calculateur!X157*VLOOKUP('Données projet'!$B$9,Paramètres!$A$1:$I$89,3,0)*0.475*44/12</f>
        <v>0.25395207871198183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6.5791121255405693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-1.0286385077051818E-13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332.68760696564266</v>
      </c>
      <c r="AO157" s="62">
        <f t="shared" si="144"/>
        <v>231.36959598460686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43.275916844016898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43.275916844016898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-8.5265128291212022E-14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74.447287056432231</v>
      </c>
      <c r="T158" s="62">
        <f t="shared" si="142"/>
        <v>325.27549009125408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6.2011275162769648</v>
      </c>
      <c r="AA158" s="23">
        <f>EXP(-LN(2)/25)*AA157+(1-EXP(-LN(2)/25))/(LN(2)/25)*Calculateur!V158*Calculateur!X158*VLOOKUP('Données projet'!$B$9,Paramètres!$A$1:$I$89,3,0)*0.475*44/12</f>
        <v>0.24700774576484327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6.4481352620418084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-1.0286385077051818E-13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332.68760696564266</v>
      </c>
      <c r="AO158" s="62">
        <f t="shared" si="144"/>
        <v>231.36959598460686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42.427302510408644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42.427302510408644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-8.5265128291212022E-14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74.447287056432231</v>
      </c>
      <c r="T159" s="62">
        <f t="shared" si="142"/>
        <v>325.27549009125408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6.079527187997086</v>
      </c>
      <c r="AA159" s="23">
        <f>EXP(-LN(2)/25)*AA158+(1-EXP(-LN(2)/25))/(LN(2)/25)*Calculateur!V159*Calculateur!X159*VLOOKUP('Données projet'!$B$9,Paramètres!$A$1:$I$89,3,0)*0.475*44/12</f>
        <v>0.24025330596733083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6.3197804939644167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-1.0286385077051818E-13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332.68760696564266</v>
      </c>
      <c r="AO159" s="62">
        <f t="shared" si="144"/>
        <v>231.36959598460686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41.595328986278815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41.595328986278815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-8.5265128291212022E-14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74.447287056432231</v>
      </c>
      <c r="T160" s="62">
        <f t="shared" si="142"/>
        <v>325.27549009125408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5.9603113679858986</v>
      </c>
      <c r="AA160" s="23">
        <f>EXP(-LN(2)/25)*AA159+(1-EXP(-LN(2)/25))/(LN(2)/25)*Calculateur!V160*Calculateur!X160*VLOOKUP('Données projet'!$B$9,Paramètres!$A$1:$I$89,3,0)*0.475*44/12</f>
        <v>0.2336835666812819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6.1939949346671801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-1.0286385077051818E-13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332.68760696564266</v>
      </c>
      <c r="AO160" s="62">
        <f t="shared" si="144"/>
        <v>231.36959598460686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40.779669955503429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40.779669955503429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-8.5265128291212022E-14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74.447287056432231</v>
      </c>
      <c r="T161" s="62">
        <f t="shared" si="142"/>
        <v>325.27549009125408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5.8434332974906606</v>
      </c>
      <c r="AA161" s="23">
        <f>EXP(-LN(2)/25)*AA160+(1-EXP(-LN(2)/25))/(LN(2)/25)*Calculateur!V161*Calculateur!X161*VLOOKUP('Données projet'!$B$9,Paramètres!$A$1:$I$89,3,0)*0.475*44/12</f>
        <v>0.22729347726149757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6.0707267747521581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-1.0286385077051818E-13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332.68760696564266</v>
      </c>
      <c r="AO161" s="62">
        <f t="shared" si="144"/>
        <v>231.36959598460686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39.980005500818663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39.980005500818663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-8.5265128291212022E-14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74.447287056432231</v>
      </c>
      <c r="T162" s="62">
        <f t="shared" si="142"/>
        <v>325.27549009125408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5.72884713466925</v>
      </c>
      <c r="AA162" s="23">
        <f>EXP(-LN(2)/25)*AA161+(1-EXP(-LN(2)/25))/(LN(2)/25)*Calculateur!V162*Calculateur!X162*VLOOKUP('Données projet'!$B$9,Paramètres!$A$1:$I$89,3,0)*0.475*44/12</f>
        <v>0.22107812517293743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5.9499252598421872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-1.0286385077051818E-13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332.68760696564266</v>
      </c>
      <c r="AO162" s="62">
        <f t="shared" si="144"/>
        <v>231.36959598460686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39.196021978343104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39.196021978343104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-8.5265128291212022E-14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74.447287056432231</v>
      </c>
      <c r="T163" s="62">
        <f t="shared" si="142"/>
        <v>325.27549009125408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5.6165079366101098</v>
      </c>
      <c r="AA163" s="23">
        <f>EXP(-LN(2)/25)*AA162+(1-EXP(-LN(2)/25))/(LN(2)/25)*Calculateur!V163*Calculateur!X163*VLOOKUP('Données projet'!$B$9,Paramètres!$A$1:$I$89,3,0)*0.475*44/12</f>
        <v>0.21503273221409014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5.8315406688242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-1.0286385077051818E-13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332.68760696564266</v>
      </c>
      <c r="AO163" s="62">
        <f t="shared" si="144"/>
        <v>231.36959598460686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38.427411894560564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38.427411894560564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-8.5265128291212022E-14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74.447287056432231</v>
      </c>
      <c r="T164" s="62">
        <f t="shared" si="142"/>
        <v>325.27549009125408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5.5063716417047637</v>
      </c>
      <c r="AA164" s="23">
        <f>EXP(-LN(2)/25)*AA163+(1-EXP(-LN(2)/25))/(LN(2)/25)*Calculateur!V164*Calculateur!X164*VLOOKUP('Données projet'!$B$9,Paramètres!$A$1:$I$89,3,0)*0.475*44/12</f>
        <v>0.20915265084361592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5.7155242925483796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-1.0286385077051818E-13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332.68760696564266</v>
      </c>
      <c r="AO164" s="62">
        <f t="shared" si="144"/>
        <v>231.36959598460686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37.673873785715138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37.673873785715138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-8.5265128291212022E-14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74.447287056432231</v>
      </c>
      <c r="T165" s="62">
        <f t="shared" si="142"/>
        <v>325.27549009125408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5.3983950523660047</v>
      </c>
      <c r="AA165" s="23">
        <f>EXP(-LN(2)/25)*AA164+(1-EXP(-LN(2)/25))/(LN(2)/25)*Calculateur!V165*Calculateur!X165*VLOOKUP('Données projet'!$B$9,Paramètres!$A$1:$I$89,3,0)*0.475*44/12</f>
        <v>0.20343336060743736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5.6018284129734424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-1.0286385077051818E-13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332.68760696564266</v>
      </c>
      <c r="AO165" s="62">
        <f t="shared" si="144"/>
        <v>231.36959598460686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36.935112099571306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36.935112099571306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-8.5265128291212022E-14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74.447287056432231</v>
      </c>
      <c r="T166" s="62">
        <f t="shared" si="142"/>
        <v>325.27549009125408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5.2925358180849624</v>
      </c>
      <c r="AA166" s="23">
        <f>EXP(-LN(2)/25)*AA165+(1-EXP(-LN(2)/25))/(LN(2)/25)*Calculateur!V166*Calculateur!X166*VLOOKUP('Données projet'!$B$9,Paramètres!$A$1:$I$89,3,0)*0.475*44/12</f>
        <v>0.1978704646635315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5.4904062827484941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-1.0286385077051818E-13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332.68760696564266</v>
      </c>
      <c r="AO166" s="62">
        <f t="shared" si="144"/>
        <v>231.36959598460686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36.21083707949262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36.21083707949262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-8.5265128291212022E-14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74.447287056432231</v>
      </c>
      <c r="T167" s="62">
        <f t="shared" si="142"/>
        <v>325.27549009125408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5.1887524188204139</v>
      </c>
      <c r="AA167" s="23">
        <f>EXP(-LN(2)/25)*AA166+(1-EXP(-LN(2)/25))/(LN(2)/25)*Calculateur!V167*Calculateur!X167*VLOOKUP('Données projet'!$B$9,Paramètres!$A$1:$I$89,3,0)*0.475*44/12</f>
        <v>0.19245968640175173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5.3812121052221658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-1.0286385077051818E-13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332.68760696564266</v>
      </c>
      <c r="AO167" s="62">
        <f t="shared" si="144"/>
        <v>231.36959598460686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35.500764650793535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35.500764650793535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-8.5265128291212022E-14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74.447287056432231</v>
      </c>
      <c r="T168" s="62">
        <f t="shared" si="142"/>
        <v>325.27549009125408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5.0870041487138202</v>
      </c>
      <c r="AA168" s="23">
        <f>EXP(-LN(2)/25)*AA167+(1-EXP(-LN(2)/25))/(LN(2)/25)*Calculateur!V168*Calculateur!X168*VLOOKUP('Données projet'!$B$9,Paramètres!$A$1:$I$89,3,0)*0.475*44/12</f>
        <v>0.1871968661560808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5.2742010148699014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-1.0286385077051818E-13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332.68760696564266</v>
      </c>
      <c r="AO168" s="62">
        <f t="shared" si="144"/>
        <v>231.36959598460686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34.804616309319819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34.804616309319819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-8.5265128291212022E-14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74.447287056432231</v>
      </c>
      <c r="T169" s="62">
        <f t="shared" si="142"/>
        <v>325.27549009125408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4.9872511001237001</v>
      </c>
      <c r="AA169" s="23">
        <f>EXP(-LN(2)/25)*AA168+(1-EXP(-LN(2)/25))/(LN(2)/25)*Calculateur!V169*Calculateur!X169*VLOOKUP('Données projet'!$B$9,Paramètres!$A$1:$I$89,3,0)*0.475*44/12</f>
        <v>0.18207795800678742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5.1693290581304874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-1.0286385077051818E-13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332.68760696564266</v>
      </c>
      <c r="AO169" s="62">
        <f t="shared" si="144"/>
        <v>231.36959598460686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34.122119012213844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34.122119012213844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-8.5265128291212022E-14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74.447287056432231</v>
      </c>
      <c r="T170" s="62">
        <f t="shared" si="142"/>
        <v>325.27549009125408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4.8894541479730806</v>
      </c>
      <c r="AA170" s="23">
        <f>EXP(-LN(2)/25)*AA169+(1-EXP(-LN(2)/25))/(LN(2)/25)*Calculateur!V170*Calculateur!X170*VLOOKUP('Données projet'!$B$9,Paramètres!$A$1:$I$89,3,0)*0.475*44/12</f>
        <v>0.17709902667002814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5.0665531746431087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-1.0286385077051818E-13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332.68760696564266</v>
      </c>
      <c r="AO170" s="62">
        <f t="shared" si="144"/>
        <v>231.36959598460686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33.453005070821874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33.453005070821874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-8.5265128291212022E-14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74.447287056432231</v>
      </c>
      <c r="T171" s="62">
        <f t="shared" si="142"/>
        <v>325.27549009125408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4.7935749344038836</v>
      </c>
      <c r="AA171" s="23">
        <f>EXP(-LN(2)/25)*AA170+(1-EXP(-LN(2)/25))/(LN(2)/25)*Calculateur!V171*Calculateur!X171*VLOOKUP('Données projet'!$B$9,Paramètres!$A$1:$I$89,3,0)*0.475*44/12</f>
        <v>0.17225624447250318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4.9658311788763871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-1.0286385077051818E-13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332.68760696564266</v>
      </c>
      <c r="AO171" s="62">
        <f t="shared" si="144"/>
        <v>231.36959598460686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32.797012045701393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32.797012045701393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-8.5265128291212022E-14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74.447287056432231</v>
      </c>
      <c r="T172" s="62">
        <f t="shared" si="142"/>
        <v>325.27549009125408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4.6995758537322327</v>
      </c>
      <c r="AA172" s="23">
        <f>EXP(-LN(2)/25)*AA171+(1-EXP(-LN(2)/25))/(LN(2)/25)*Calculateur!V172*Calculateur!X172*VLOOKUP('Données projet'!$B$9,Paramètres!$A$1:$I$89,3,0)*0.475*44/12</f>
        <v>0.16754588840884038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4.8671217421410731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-1.0286385077051818E-13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332.68760696564266</v>
      </c>
      <c r="AO172" s="62">
        <f t="shared" si="144"/>
        <v>231.36959598460686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32.15388264368729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32.15388264368729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-8.5265128291212022E-14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74.447287056432231</v>
      </c>
      <c r="T173" s="62">
        <f t="shared" si="142"/>
        <v>325.27549009125408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4.6074200376987751</v>
      </c>
      <c r="AA173" s="23">
        <f>EXP(-LN(2)/25)*AA172+(1-EXP(-LN(2)/25))/(LN(2)/25)*Calculateur!V173*Calculateur!X173*VLOOKUP('Données projet'!$B$9,Paramètres!$A$1:$I$89,3,0)*0.475*44/12</f>
        <v>0.16296433727944531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4.77038437497822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-1.0286385077051818E-13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332.68760696564266</v>
      </c>
      <c r="AO173" s="62">
        <f t="shared" si="144"/>
        <v>231.36959598460686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31.523364616976476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31.523364616976476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-8.5265128291212022E-14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74.447287056432231</v>
      </c>
      <c r="T174" s="62">
        <f t="shared" si="142"/>
        <v>325.27549009125408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4.5170713410082364</v>
      </c>
      <c r="AA174" s="23">
        <f>EXP(-LN(2)/25)*AA173+(1-EXP(-LN(2)/25))/(LN(2)/25)*Calculateur!V174*Calculateur!X174*VLOOKUP('Données projet'!$B$9,Paramètres!$A$1:$I$89,3,0)*0.475*44/12</f>
        <v>0.15850806890661684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4.6755794099148531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-1.0286385077051818E-13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332.68760696564266</v>
      </c>
      <c r="AO174" s="62">
        <f t="shared" si="144"/>
        <v>231.36959598460686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30.90521066419144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30.90521066419144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-8.5265128291212022E-14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74.447287056432231</v>
      </c>
      <c r="T175" s="62">
        <f t="shared" si="142"/>
        <v>325.27549009125408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4.428494327152535</v>
      </c>
      <c r="AA175" s="23">
        <f>EXP(-LN(2)/25)*AA174+(1-EXP(-LN(2)/25))/(LN(2)/25)*Calculateur!V175*Calculateur!X175*VLOOKUP('Données projet'!$B$9,Paramètres!$A$1:$I$89,3,0)*0.475*44/12</f>
        <v>0.15417365742678835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4.5826679845793237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-1.0286385077051818E-13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332.68760696564266</v>
      </c>
      <c r="AO175" s="62">
        <f t="shared" si="144"/>
        <v>231.36959598460686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30.299178333383836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30.299178333383836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-8.5265128291212022E-14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74.447287056432231</v>
      </c>
      <c r="T176" s="62">
        <f t="shared" si="142"/>
        <v>325.27549009125408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4.3416542545119006</v>
      </c>
      <c r="AA176" s="23">
        <f>EXP(-LN(2)/25)*AA175+(1-EXP(-LN(2)/25))/(LN(2)/25)*Calculateur!V176*Calculateur!X176*VLOOKUP('Données projet'!$B$9,Paramètres!$A$1:$I$89,3,0)*0.475*44/12</f>
        <v>0.14995777065681254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4.4916120251687133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-1.0286385077051818E-13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332.68760696564266</v>
      </c>
      <c r="AO176" s="62">
        <f t="shared" si="144"/>
        <v>231.36959598460686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29.705029926940146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29.705029926940146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-8.5265128291212022E-14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74.447287056432231</v>
      </c>
      <c r="T177" s="62">
        <f t="shared" si="142"/>
        <v>325.27549009125408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4.2565170627285349</v>
      </c>
      <c r="AA177" s="23">
        <f>EXP(-LN(2)/25)*AA176+(1-EXP(-LN(2)/25))/(LN(2)/25)*Calculateur!V177*Calculateur!X177*VLOOKUP('Données projet'!$B$9,Paramètres!$A$1:$I$89,3,0)*0.475*44/12</f>
        <v>0.14585716753226557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4.4023742302608007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-1.0286385077051818E-13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332.68760696564266</v>
      </c>
      <c r="AO177" s="62">
        <f t="shared" si="144"/>
        <v>231.36959598460686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29.122532408352072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29.122532408352072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-8.5265128291212022E-14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74.447287056432231</v>
      </c>
      <c r="T178" s="62">
        <f t="shared" si="142"/>
        <v>325.27549009125408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4.1730493593474813</v>
      </c>
      <c r="AA178" s="23">
        <f>EXP(-LN(2)/25)*AA177+(1-EXP(-LN(2)/25))/(LN(2)/25)*Calculateur!V178*Calculateur!X178*VLOOKUP('Données projet'!$B$9,Paramètres!$A$1:$I$89,3,0)*0.475*44/12</f>
        <v>0.14186869561580071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4.3149180549632824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-1.0286385077051818E-13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332.68760696564266</v>
      </c>
      <c r="AO178" s="62">
        <f t="shared" si="144"/>
        <v>231.36959598460686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28.551457310815106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28.551457310815106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-8.5265128291212022E-14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74.447287056432231</v>
      </c>
      <c r="T179" s="62">
        <f t="shared" si="142"/>
        <v>325.27549009125408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4.0912184067194577</v>
      </c>
      <c r="AA179" s="23">
        <f>EXP(-LN(2)/25)*AA178+(1-EXP(-LN(2)/25))/(LN(2)/25)*Calculateur!V179*Calculateur!X179*VLOOKUP('Données projet'!$B$9,Paramètres!$A$1:$I$89,3,0)*0.475*44/12</f>
        <v>0.13798928867363619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4.2292076953930939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-1.0286385077051818E-13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332.68760696564266</v>
      </c>
      <c r="AO179" s="62">
        <f t="shared" si="144"/>
        <v>231.36959598460686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27.991580647619426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27.991580647619426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-8.5265128291212022E-14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74.447287056432231</v>
      </c>
      <c r="T180" s="62">
        <f t="shared" si="142"/>
        <v>325.27549009125408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4.010992109160517</v>
      </c>
      <c r="AA180" s="23">
        <f>EXP(-LN(2)/25)*AA179+(1-EXP(-LN(2)/25))/(LN(2)/25)*Calculateur!V180*Calculateur!X180*VLOOKUP('Données projet'!$B$9,Paramètres!$A$1:$I$89,3,0)*0.475*44/12</f>
        <v>0.13421596431831428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4.1452080734788312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-1.0286385077051818E-13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332.68760696564266</v>
      </c>
      <c r="AO180" s="62">
        <f t="shared" si="144"/>
        <v>231.36959598460686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27.442682824297968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27.442682824297968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-8.5265128291212022E-14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74.447287056432231</v>
      </c>
      <c r="T181" s="62">
        <f t="shared" si="142"/>
        <v>325.27549009125408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3.9323390003634975</v>
      </c>
      <c r="AA181" s="23">
        <f>EXP(-LN(2)/25)*AA180+(1-EXP(-LN(2)/25))/(LN(2)/25)*Calculateur!V181*Calculateur!X181*VLOOKUP('Données projet'!$B$9,Paramètres!$A$1:$I$89,3,0)*0.475*44/12</f>
        <v>0.13054582171591916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4.0628848220794165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-1.0286385077051818E-13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332.68760696564266</v>
      </c>
      <c r="AO181" s="62">
        <f t="shared" si="144"/>
        <v>231.36959598460686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26.904548552497229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26.904548552497229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-8.5265128291212022E-14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74.447287056432231</v>
      </c>
      <c r="T182" s="62">
        <f t="shared" si="142"/>
        <v>325.27549009125408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3.8552282310563282</v>
      </c>
      <c r="AA182" s="23">
        <f>EXP(-LN(2)/25)*AA181+(1-EXP(-LN(2)/25))/(LN(2)/25)*Calculateur!V182*Calculateur!X182*VLOOKUP('Données projet'!$B$9,Paramètres!$A$1:$I$89,3,0)*0.475*44/12</f>
        <v>0.12697603935599094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3.9822042704123191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-1.0286385077051818E-13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332.68760696564266</v>
      </c>
      <c r="AO182" s="62">
        <f t="shared" si="144"/>
        <v>231.36959598460686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26.376966765537006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26.376966765537006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-8.5265128291212022E-14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74.447287056432231</v>
      </c>
      <c r="T183" s="62">
        <f t="shared" si="142"/>
        <v>325.27549009125408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3.7796295569023473</v>
      </c>
      <c r="AA183" s="23">
        <f>EXP(-LN(2)/25)*AA182+(1-EXP(-LN(2)/25))/(LN(2)/25)*Calculateur!V183*Calculateur!X183*VLOOKUP('Données projet'!$B$9,Paramètres!$A$1:$I$89,3,0)*0.475*44/12</f>
        <v>0.12350387288242166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3.9031334297847691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-1.0286385077051818E-13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332.68760696564266</v>
      </c>
      <c r="AO183" s="62">
        <f t="shared" si="144"/>
        <v>231.36959598460686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25.859730535625957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25.859730535625957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-8.5265128291212022E-14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74.447287056432231</v>
      </c>
      <c r="T184" s="62">
        <f t="shared" si="142"/>
        <v>325.27549009125408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3.7055133266378877</v>
      </c>
      <c r="AA184" s="23">
        <f>EXP(-LN(2)/25)*AA183+(1-EXP(-LN(2)/25))/(LN(2)/25)*Calculateur!V184*Calculateur!X184*VLOOKUP('Données projet'!$B$9,Paramètres!$A$1:$I$89,3,0)*0.475*44/12</f>
        <v>0.12012665298366544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3.825639979621553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-1.0286385077051818E-13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332.68760696564266</v>
      </c>
      <c r="AO184" s="62">
        <f t="shared" si="144"/>
        <v>231.36959598460686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25.352636992700518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25.352636992700518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-8.5265128291212022E-14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74.447287056432231</v>
      </c>
      <c r="T185" s="62">
        <f t="shared" si="142"/>
        <v>325.27549009125408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3.6328504704424778</v>
      </c>
      <c r="AA185" s="23">
        <f>EXP(-LN(2)/25)*AA184+(1-EXP(-LN(2)/25))/(LN(2)/25)*Calculateur!V185*Calculateur!X185*VLOOKUP('Données projet'!$B$9,Paramètres!$A$1:$I$89,3,0)*0.475*44/12</f>
        <v>0.11684178334064098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3.7496922537831185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-1.0286385077051818E-13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332.68760696564266</v>
      </c>
      <c r="AO185" s="62">
        <f t="shared" si="144"/>
        <v>231.36959598460686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24.855487244855325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24.855487244855325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-8.5265128291212022E-14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74.447287056432231</v>
      </c>
      <c r="T186" s="62">
        <f t="shared" si="142"/>
        <v>325.27549009125408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3.5616124885370937</v>
      </c>
      <c r="AA186" s="23">
        <f>EXP(-LN(2)/25)*AA185+(1-EXP(-LN(2)/25))/(LN(2)/25)*Calculateur!V186*Calculateur!X186*VLOOKUP('Données projet'!$B$9,Paramètres!$A$1:$I$89,3,0)*0.475*44/12</f>
        <v>0.11364673863074881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3.6752592271678424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-1.0286385077051818E-13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332.68760696564266</v>
      </c>
      <c r="AO186" s="62">
        <f t="shared" si="144"/>
        <v>231.36959598460686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24.368086300333971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24.368086300333971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-8.5265128291212022E-14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74.447287056432231</v>
      </c>
      <c r="T187" s="62">
        <f t="shared" si="142"/>
        <v>325.27549009125408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3.4917714400059956</v>
      </c>
      <c r="AA187" s="23">
        <f>EXP(-LN(2)/25)*AA186+(1-EXP(-LN(2)/25))/(LN(2)/25)*Calculateur!V187*Calculateur!X187*VLOOKUP('Données projet'!$B$9,Paramètres!$A$1:$I$89,3,0)*0.475*44/12</f>
        <v>0.11053906258646874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3.6023105025924642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-1.0286385077051818E-13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332.68760696564266</v>
      </c>
      <c r="AO187" s="62">
        <f t="shared" si="144"/>
        <v>231.36959598460686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23.890242991049458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23.890242991049458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-8.5265128291212022E-14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74.447287056432231</v>
      </c>
      <c r="T188" s="62">
        <f t="shared" si="142"/>
        <v>325.27549009125408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3.423299931837759</v>
      </c>
      <c r="AA188" s="23">
        <f>EXP(-LN(2)/25)*AA187+(1-EXP(-LN(2)/25))/(LN(2)/25)*Calculateur!V188*Calculateur!X188*VLOOKUP('Données projet'!$B$9,Paramètres!$A$1:$I$89,3,0)*0.475*44/12</f>
        <v>0.1075163661070451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3.5308162979448041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-1.0286385077051818E-13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332.68760696564266</v>
      </c>
      <c r="AO188" s="62">
        <f t="shared" si="144"/>
        <v>231.36959598460686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23.421769897604374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23.421769897604374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-8.5265128291212022E-14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74.447287056432231</v>
      </c>
      <c r="T189" s="62">
        <f t="shared" si="142"/>
        <v>325.27549009125408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3.3561711081812056</v>
      </c>
      <c r="AA189" s="23">
        <f>EXP(-LN(2)/25)*AA188+(1-EXP(-LN(2)/25))/(LN(2)/25)*Calculateur!V189*Calculateur!X189*VLOOKUP('Données projet'!$B$9,Paramètres!$A$1:$I$89,3,0)*0.475*44/12</f>
        <v>0.10457632542180799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3.4607474336030135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-1.0286385077051818E-13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332.68760696564266</v>
      </c>
      <c r="AO189" s="62">
        <f t="shared" si="144"/>
        <v>231.36959598460686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22.962483275781377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22.962483275781377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-8.5265128291212022E-14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74.447287056432231</v>
      </c>
      <c r="T190" s="62">
        <f t="shared" si="142"/>
        <v>325.27549009125408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3.2903586398120175</v>
      </c>
      <c r="AA190" s="23">
        <f>EXP(-LN(2)/25)*AA189+(1-EXP(-LN(2)/25))/(LN(2)/25)*Calculateur!V190*Calculateur!X190*VLOOKUP('Données projet'!$B$9,Paramètres!$A$1:$I$89,3,0)*0.475*44/12</f>
        <v>0.10171668030371871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3.3920753201157363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-1.0286385077051818E-13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332.68760696564266</v>
      </c>
      <c r="AO190" s="62">
        <f t="shared" si="144"/>
        <v>231.36959598460686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22.512202984475152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22.512202984475152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-8.5265128291212022E-14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74.447287056432231</v>
      </c>
      <c r="T191" s="62">
        <f t="shared" si="142"/>
        <v>325.27549009125408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3.225836713805907</v>
      </c>
      <c r="AA191" s="23">
        <f>EXP(-LN(2)/25)*AA190+(1-EXP(-LN(2)/25))/(LN(2)/25)*Calculateur!V191*Calculateur!X191*VLOOKUP('Données projet'!$B$9,Paramètres!$A$1:$I$89,3,0)*0.475*44/12</f>
        <v>9.8935232331765779E-2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3.3247719461376728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-1.0286385077051818E-13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332.68760696564266</v>
      </c>
      <c r="AO191" s="62">
        <f t="shared" si="144"/>
        <v>231.36959598460686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22.070752415037582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22.070752415037582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-8.5265128291212022E-14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74.447287056432231</v>
      </c>
      <c r="T192" s="62">
        <f t="shared" si="142"/>
        <v>325.27549009125408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3.1625800234142876</v>
      </c>
      <c r="AA192" s="23">
        <f>EXP(-LN(2)/25)*AA191+(1-EXP(-LN(2)/25))/(LN(2)/25)*Calculateur!V192*Calculateur!X192*VLOOKUP('Données projet'!$B$9,Paramètres!$A$1:$I$89,3,0)*0.475*44/12</f>
        <v>9.6229843200875895E-2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3.2588098666151635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-1.0286385077051818E-13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332.68760696564266</v>
      </c>
      <c r="AO192" s="62">
        <f t="shared" si="144"/>
        <v>231.36959598460686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21.637958422008424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21.637958422008424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-8.5265128291212022E-14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74.447287056432231</v>
      </c>
      <c r="T193" s="62">
        <f t="shared" si="142"/>
        <v>325.27549009125408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3.1005637581384762</v>
      </c>
      <c r="AA193" s="23">
        <f>EXP(-LN(2)/25)*AA192+(1-EXP(-LN(2)/25))/(LN(2)/25)*Calculateur!V193*Calculateur!X193*VLOOKUP('Données projet'!$B$9,Paramètres!$A$1:$I$89,3,0)*0.475*44/12</f>
        <v>9.359843307804043E-2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3.1941621912165168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-1.0286385077051818E-13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332.68760696564266</v>
      </c>
      <c r="AO193" s="62">
        <f t="shared" si="144"/>
        <v>231.36959598460686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21.213651255204297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21.213651255204297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-8.5265128291212022E-14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74.447287056432231</v>
      </c>
      <c r="T194" s="62">
        <f t="shared" si="142"/>
        <v>325.27549009125408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3.0397635939985368</v>
      </c>
      <c r="AA194" s="23">
        <f>EXP(-LN(2)/25)*AA193+(1-EXP(-LN(2)/25))/(LN(2)/25)*Calculateur!V194*Calculateur!X194*VLOOKUP('Données projet'!$B$9,Paramètres!$A$1:$I$89,3,0)*0.475*44/12</f>
        <v>9.1038979003393736E-2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3.1308025730019304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-1.0286385077051818E-13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332.68760696564266</v>
      </c>
      <c r="AO194" s="62">
        <f t="shared" si="144"/>
        <v>231.36959598460686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20.797664493139383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20.797664493139383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-8.5265128291212022E-14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74.447287056432231</v>
      </c>
      <c r="T195" s="62">
        <f t="shared" si="142"/>
        <v>325.27549009125408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2.9801556839929435</v>
      </c>
      <c r="AA195" s="23">
        <f>EXP(-LN(2)/25)*AA194+(1-EXP(-LN(2)/25))/(LN(2)/25)*Calculateur!V195*Calculateur!X195*VLOOKUP('Données projet'!$B$9,Paramètres!$A$1:$I$89,3,0)*0.475*44/12</f>
        <v>8.8549513335014096E-2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3.0687051973279575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-1.0286385077051818E-13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332.68760696564266</v>
      </c>
      <c r="AO195" s="62">
        <f t="shared" si="144"/>
        <v>231.36959598460686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20.38983497775169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20.38983497775169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-8.5265128291212022E-14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74.447287056432231</v>
      </c>
      <c r="T196" s="62">
        <f t="shared" si="142"/>
        <v>325.27549009125408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2.9217166487453246</v>
      </c>
      <c r="AA196" s="23">
        <f>EXP(-LN(2)/25)*AA195+(1-EXP(-LN(2)/25))/(LN(2)/25)*Calculateur!V196*Calculateur!X196*VLOOKUP('Données projet'!$B$9,Paramètres!$A$1:$I$89,3,0)*0.475*44/12</f>
        <v>8.6128122236251617E-2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3.0078447709815763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-1.0286385077051818E-13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332.68760696564266</v>
      </c>
      <c r="AO196" s="62">
        <f t="shared" si="144"/>
        <v>231.36959598460686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19.990002750409307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19.990002750409307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-8.5265128291212022E-14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74.447287056432231</v>
      </c>
      <c r="T197" s="62">
        <f t="shared" ref="T197:T203" si="204">$T$3</f>
        <v>325.27549009125408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2.8644235673346197</v>
      </c>
      <c r="AA197" s="23">
        <f>EXP(-LN(2)/25)*AA196+(1-EXP(-LN(2)/25))/(LN(2)/25)*Calculateur!V197*Calculateur!X197*VLOOKUP('Données projet'!$B$9,Paramètres!$A$1:$I$89,3,0)*0.475*44/12</f>
        <v>8.3772944204420219E-2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2.9481965115390398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-1.0286385077051818E-13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332.68760696564266</v>
      </c>
      <c r="AO197" s="62">
        <f t="shared" ref="AO197:AO203" si="205">$AO$3</f>
        <v>231.36959598460686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19.598010989171531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19.598010989171531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-8.5265128291212022E-14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74.447287056432231</v>
      </c>
      <c r="T198" s="62">
        <f t="shared" si="204"/>
        <v>325.27549009125408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2.8082539683050496</v>
      </c>
      <c r="AA198" s="23">
        <f>EXP(-LN(2)/25)*AA197+(1-EXP(-LN(2)/25))/(LN(2)/25)*Calculateur!V198*Calculateur!X198*VLOOKUP('Données projet'!$B$9,Paramètres!$A$1:$I$89,3,0)*0.475*44/12</f>
        <v>8.1482168639722671E-2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2.889736136944772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-1.0286385077051818E-13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332.68760696564266</v>
      </c>
      <c r="AO198" s="62">
        <f t="shared" si="205"/>
        <v>231.36959598460686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19.21370594728026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19.21370594728026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-8.5265128291212022E-14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74.447287056432231</v>
      </c>
      <c r="T199" s="62">
        <f t="shared" si="204"/>
        <v>325.27549009125408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2.753185820852377</v>
      </c>
      <c r="AA199" s="23">
        <f>EXP(-LN(2)/25)*AA198+(1-EXP(-LN(2)/25))/(LN(2)/25)*Calculateur!V199*Calculateur!X199*VLOOKUP('Données projet'!$B$9,Paramètres!$A$1:$I$89,3,0)*0.475*44/12</f>
        <v>7.9254034453308433E-2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2.8324398553056853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-1.0286385077051818E-13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332.68760696564266</v>
      </c>
      <c r="AO199" s="62">
        <f t="shared" si="205"/>
        <v>231.36959598460686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18.836936892857548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18.836936892857548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-8.5265128291212022E-14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74.447287056432231</v>
      </c>
      <c r="T200" s="62">
        <f t="shared" si="204"/>
        <v>325.27549009125408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2.6991975261829975</v>
      </c>
      <c r="AA200" s="23">
        <f>EXP(-LN(2)/25)*AA199+(1-EXP(-LN(2)/25))/(LN(2)/25)*Calculateur!V200*Calculateur!X200*VLOOKUP('Données projet'!$B$9,Paramètres!$A$1:$I$89,3,0)*0.475*44/12</f>
        <v>7.7086828713394173E-2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2.7762843548963918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-1.0286385077051818E-13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332.68760696564266</v>
      </c>
      <c r="AO200" s="62">
        <f t="shared" si="205"/>
        <v>231.36959598460686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18.467556049785632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18.467556049785632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-8.5265128291212022E-14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74.447287056432231</v>
      </c>
      <c r="T201" s="62">
        <f t="shared" si="204"/>
        <v>325.27549009125408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2.6462679090424763</v>
      </c>
      <c r="AA201" s="23">
        <f>EXP(-LN(2)/25)*AA200+(1-EXP(-LN(2)/25))/(LN(2)/25)*Calculateur!V201*Calculateur!X201*VLOOKUP('Données projet'!$B$9,Paramètres!$A$1:$I$89,3,0)*0.475*44/12</f>
        <v>7.497888532840627E-2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2.7212467943708827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-1.0286385077051818E-13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332.68760696564266</v>
      </c>
      <c r="AO201" s="62">
        <f t="shared" si="205"/>
        <v>231.36959598460686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18.105418539746289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18.105418539746289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-8.5265128291212022E-14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74.447287056432231</v>
      </c>
      <c r="T202" s="62">
        <f t="shared" si="204"/>
        <v>325.27549009125408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2.5943762094102021</v>
      </c>
      <c r="AA202" s="23">
        <f>EXP(-LN(2)/25)*AA201+(1-EXP(-LN(2)/25))/(LN(2)/25)*Calculateur!V202*Calculateur!X202*VLOOKUP('Données projet'!$B$9,Paramètres!$A$1:$I$89,3,0)*0.475*44/12</f>
        <v>7.2928583766132787E-2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2.667304793176335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-1.0286385077051818E-13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332.68760696564266</v>
      </c>
      <c r="AO202" s="62">
        <f t="shared" si="205"/>
        <v>231.36959598460686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17.750382325396746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17.750382325396746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-8.5265128291212022E-14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74.447287056432231</v>
      </c>
      <c r="T203" s="62">
        <f t="shared" si="204"/>
        <v>325.27549009125408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2.5435020743569052</v>
      </c>
      <c r="AA203" s="23">
        <f>EXP(-LN(2)/25)*AA202+(1-EXP(-LN(2)/25))/(LN(2)/25)*Calculateur!V203*Calculateur!X203*VLOOKUP('Données projet'!$B$9,Paramètres!$A$1:$I$89,3,0)*0.475*44/12</f>
        <v>7.0934347807900353E-2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2.6144364221648058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-1.0286385077051818E-13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332.68760696564266</v>
      </c>
      <c r="AO203" s="62">
        <f t="shared" si="205"/>
        <v>231.36959598460686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17.402308154659892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17.402308154659892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-8.5265128291212022E-14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1.233350534411829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1.2054868146447177</v>
      </c>
      <c r="BA205" s="88">
        <f>EXP(LN('Données projet'!B88)/'Données projet'!A88)</f>
        <v>1.1191358811422176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I28" sqref="I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Robusta</v>
      </c>
      <c r="B6" s="155">
        <f>'Données projet'!D9</f>
        <v>5.04</v>
      </c>
      <c r="C6" s="156">
        <f ca="1">IF(OR('Données projet'!B9="",'Données projet'!C9="",'Données projet'!C9=0%),0,Calculateur!S3)</f>
        <v>74.447287056432231</v>
      </c>
      <c r="D6" s="156">
        <f>IF(OR('Données projet'!B9="",'Données projet'!C9="",'Données projet'!C9=0%),0,Calculateur!T3)</f>
        <v>325.27549009125408</v>
      </c>
      <c r="E6" s="156">
        <f ca="1">MIN(C6,D6)</f>
        <v>74.447287056432231</v>
      </c>
      <c r="F6" s="156">
        <f ca="1">E6*B6</f>
        <v>375.21432676441844</v>
      </c>
      <c r="G6" s="156">
        <f ca="1">F6*(100%-'Données projet'!$C$24)*(100%-'Données projet'!$C$25)*(100%-'Données projet'!$C$26)*(100%-'Données projet'!$C$27)</f>
        <v>337.69289408797658</v>
      </c>
      <c r="H6" s="157">
        <f>IF(OR('Données projet'!B9="",'Données projet'!C9="",'Données projet'!C9=0%),0,AVERAGE(Calculateur!$AC$3:$AC$33)*B6)</f>
        <v>69.168829991975912</v>
      </c>
      <c r="I6" s="158">
        <f>H6*(100%-'Données projet'!$C$24)*(100%-'Données projet'!$C$25)*(100%-'Données projet'!$C$26)*(100%-'Données projet'!$C$27)</f>
        <v>62.251946992778322</v>
      </c>
      <c r="J6" s="159">
        <f>IF(OR('Données projet'!B9="",'Données projet'!C9="",'Données projet'!C9=0%),0,SUM(Calculateur!$V$3:$V$33)*VLOOKUP('Données projet'!$B$9,Paramètres!$A$1:$I$89,9,0)*B6)</f>
        <v>1212.0413759999999</v>
      </c>
      <c r="K6" s="160">
        <f>J6*(100%-'Données projet'!$C$24)*(100%-'Données projet'!$C$25)*(100%-'Données projet'!$C$26)*(100%-'Données projet'!$C$27)</f>
        <v>1090.8372383999999</v>
      </c>
      <c r="L6" s="161">
        <f ca="1">G6+I6+K6</f>
        <v>1490.7820794807549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sessile</v>
      </c>
      <c r="B7" s="163">
        <f>'Données projet'!D10</f>
        <v>0.96</v>
      </c>
      <c r="C7" s="156">
        <f ca="1">IF(OR('Données projet'!B10="",'Données projet'!C10="",'Données projet'!C10=0%),0,Calculateur!AN3)</f>
        <v>332.68760696564266</v>
      </c>
      <c r="D7" s="156">
        <f>IF(OR('Données projet'!B10="",'Données projet'!C10="",'Données projet'!C10=0%),0,Calculateur!AO3)</f>
        <v>231.36959598460686</v>
      </c>
      <c r="E7" s="156">
        <f t="shared" ref="E7:E15" ca="1" si="0">MIN(C7,D7)</f>
        <v>231.36959598460686</v>
      </c>
      <c r="F7" s="156">
        <f t="shared" ref="F7:F15" ca="1" si="1">E7*B7</f>
        <v>222.11481214522257</v>
      </c>
      <c r="G7" s="156">
        <f ca="1">F7*(100%-'Données projet'!$C$24)*(100%-'Données projet'!$C$25)*(100%-'Données projet'!$C$26)*(100%-'Données projet'!$C$27)</f>
        <v>199.90333093070032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6.96</v>
      </c>
      <c r="K7" s="160">
        <f>J7*(100%-'Données projet'!$C$24)*(100%-'Données projet'!$C$25)*(100%-'Données projet'!$C$26)*(100%-'Données projet'!$C$27)</f>
        <v>6.2640000000000002</v>
      </c>
      <c r="L7" s="161">
        <f t="shared" ref="L7:L15" ca="1" si="2">G7+I7+K7</f>
        <v>206.16733093070033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597.32913890964096</v>
      </c>
      <c r="G16" s="175">
        <f t="shared" ca="1" si="3"/>
        <v>537.59622501867693</v>
      </c>
      <c r="H16" s="176">
        <f t="shared" si="3"/>
        <v>69.168829991975912</v>
      </c>
      <c r="I16" s="176">
        <f t="shared" si="3"/>
        <v>62.251946992778322</v>
      </c>
      <c r="J16" s="177">
        <f t="shared" si="3"/>
        <v>1219.0013759999999</v>
      </c>
      <c r="K16" s="177">
        <f t="shared" si="3"/>
        <v>1097.1012383999998</v>
      </c>
      <c r="L16" s="178">
        <f t="shared" ca="1" si="3"/>
        <v>1696.9494104114551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Robusta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7" zoomScale="90" zoomScaleNormal="90" workbookViewId="0">
      <selection activeCell="M39" sqref="M3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Robusta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864.92142577293635</v>
      </c>
      <c r="U10" s="190">
        <f>'Données projet'!D9</f>
        <v>5.04</v>
      </c>
      <c r="V10" s="189">
        <f>U10*T10</f>
        <v>4359.2039858955995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317.68307559975904</v>
      </c>
      <c r="U11" s="190">
        <f>'Données projet'!D10</f>
        <v>0.96</v>
      </c>
      <c r="V11" s="189">
        <f t="shared" ref="V11" si="0">U11*T11</f>
        <v>304.97575257576864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Robusta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1737</v>
      </c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1187.5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500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600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26</v>
      </c>
      <c r="B23" s="193">
        <f>'Données projet'!D36</f>
        <v>233.48</v>
      </c>
      <c r="C23" s="206">
        <v>35</v>
      </c>
      <c r="D23" s="194">
        <f>B23*C23</f>
        <v>8171.7999999999993</v>
      </c>
      <c r="E23" s="206"/>
      <c r="F23" s="261"/>
      <c r="H23" s="203">
        <v>3</v>
      </c>
      <c r="I23" s="204">
        <v>700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-12308.707220143006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-12308.707220143006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594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04">
        <v>8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8</v>
      </c>
      <c r="C55" s="204">
        <v>8</v>
      </c>
      <c r="D55" s="191">
        <f t="shared" ref="D55:D73" si="4">B55*C55</f>
        <v>64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21</v>
      </c>
      <c r="C56" s="204">
        <v>8</v>
      </c>
      <c r="D56" s="191">
        <f t="shared" si="4"/>
        <v>168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21</v>
      </c>
      <c r="C57" s="204">
        <v>18.8</v>
      </c>
      <c r="D57" s="191">
        <f t="shared" si="4"/>
        <v>394.8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21</v>
      </c>
      <c r="C58" s="204">
        <v>19</v>
      </c>
      <c r="D58" s="191">
        <f t="shared" si="4"/>
        <v>399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21</v>
      </c>
      <c r="C59" s="204">
        <v>93</v>
      </c>
      <c r="D59" s="191">
        <f t="shared" si="4"/>
        <v>1953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21</v>
      </c>
      <c r="C60" s="204">
        <v>106</v>
      </c>
      <c r="D60" s="191">
        <f t="shared" si="4"/>
        <v>2226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str">
        <f>IF(O59+1&lt;=MIN('Données projet'!$E$9:$E$18),O59+1,"STOP")</f>
        <v>STOP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21</v>
      </c>
      <c r="C61" s="204">
        <v>106</v>
      </c>
      <c r="D61" s="191">
        <f t="shared" si="4"/>
        <v>2226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21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21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21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21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21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21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21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95</v>
      </c>
      <c r="B69" s="193">
        <f>'Données projet'!D77</f>
        <v>21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100</v>
      </c>
      <c r="B70" s="193">
        <f>'Données projet'!D78</f>
        <v>282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42</v>
      </c>
      <c r="B85" s="193">
        <f>'Données projet'!D88</f>
        <v>30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48</v>
      </c>
      <c r="B86" s="193">
        <f>'Données projet'!D89</f>
        <v>28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56</v>
      </c>
      <c r="B87" s="193">
        <f>'Données projet'!D90</f>
        <v>36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64</v>
      </c>
      <c r="B88" s="193">
        <f>'Données projet'!D91</f>
        <v>41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72</v>
      </c>
      <c r="B89" s="193">
        <f>'Données projet'!D92</f>
        <v>32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81</v>
      </c>
      <c r="B90" s="193">
        <f>'Données projet'!D93</f>
        <v>31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90</v>
      </c>
      <c r="B91" s="193">
        <f>'Données projet'!D94</f>
        <v>30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102</v>
      </c>
      <c r="B92" s="193">
        <f>'Données projet'!D95</f>
        <v>211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2022-06-27T09:59:19Z</dcterms:modified>
</cp:coreProperties>
</file>